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chelseagreene/ws/github/epi_model_HIV_TB/param_files/"/>
    </mc:Choice>
  </mc:AlternateContent>
  <xr:revisionPtr revIDLastSave="0" documentId="13_ncr:1_{F099AE9B-213E-5B4A-B214-CDF31005C2E0}" xr6:coauthVersionLast="36" xr6:coauthVersionMax="45" xr10:uidLastSave="{00000000-0000-0000-0000-000000000000}"/>
  <bookViews>
    <workbookView xWindow="0" yWindow="460" windowWidth="28800" windowHeight="16160" xr2:uid="{00000000-000D-0000-FFFF-FFFF00000000}"/>
  </bookViews>
  <sheets>
    <sheet name="Model_Matched_Parameters" sheetId="1" r:id="rId1"/>
    <sheet name="Indirect Model Parameters" sheetId="4" r:id="rId2"/>
    <sheet name="Pop_Init" sheetId="6" r:id="rId3"/>
    <sheet name="Set Ref" sheetId="5" r:id="rId4"/>
  </sheets>
  <definedNames>
    <definedName name="_xlnm._FilterDatabase" localSheetId="0" hidden="1">Model_Matched_Parameters!$A$1:$O$204</definedName>
    <definedName name="_xlnm._FilterDatabase" localSheetId="2" hidden="1">Pop_Init!$A$1:$Q$129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4" i="1"/>
  <c r="K27" i="1"/>
  <c r="J27" i="1"/>
  <c r="J26" i="1"/>
  <c r="J25" i="1"/>
  <c r="K24" i="1"/>
  <c r="J24" i="1"/>
  <c r="J23" i="1"/>
  <c r="J22" i="1"/>
  <c r="J21" i="1"/>
  <c r="J20" i="1"/>
  <c r="J19" i="1"/>
  <c r="J18" i="1"/>
  <c r="J17" i="1"/>
  <c r="J16" i="1"/>
  <c r="B202" i="1" l="1"/>
  <c r="B203" i="1"/>
  <c r="B201" i="1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2" i="6"/>
  <c r="H2" i="6"/>
  <c r="J202" i="1"/>
  <c r="J203" i="1"/>
  <c r="J201" i="1" l="1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2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87" i="6"/>
  <c r="H88" i="6"/>
  <c r="H89" i="6"/>
  <c r="H90" i="6"/>
  <c r="H91" i="6"/>
  <c r="H92" i="6"/>
  <c r="H93" i="6"/>
  <c r="H94" i="6"/>
  <c r="H95" i="6"/>
  <c r="H96" i="6"/>
  <c r="H97" i="6"/>
  <c r="H86" i="6"/>
  <c r="H83" i="6"/>
  <c r="H84" i="6"/>
  <c r="H85" i="6"/>
  <c r="H82" i="6"/>
  <c r="H70" i="6"/>
  <c r="H39" i="6"/>
  <c r="H40" i="6"/>
  <c r="H41" i="6"/>
  <c r="H42" i="6"/>
  <c r="H43" i="6"/>
  <c r="H44" i="6"/>
  <c r="H45" i="6"/>
  <c r="H46" i="6"/>
  <c r="H47" i="6"/>
  <c r="H48" i="6"/>
  <c r="H49" i="6"/>
  <c r="H54" i="6"/>
  <c r="H55" i="6"/>
  <c r="H56" i="6"/>
  <c r="H57" i="6"/>
  <c r="H58" i="6"/>
  <c r="H59" i="6"/>
  <c r="H60" i="6"/>
  <c r="H61" i="6"/>
  <c r="H62" i="6"/>
  <c r="H63" i="6"/>
  <c r="H64" i="6"/>
  <c r="H65" i="6"/>
  <c r="H71" i="6"/>
  <c r="H72" i="6"/>
  <c r="H73" i="6"/>
  <c r="H74" i="6"/>
  <c r="H75" i="6"/>
  <c r="H76" i="6"/>
  <c r="H77" i="6"/>
  <c r="H78" i="6"/>
  <c r="H79" i="6"/>
  <c r="H80" i="6"/>
  <c r="H81" i="6"/>
  <c r="H38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5" i="6"/>
  <c r="H6" i="6"/>
  <c r="H7" i="6"/>
  <c r="H3" i="6"/>
  <c r="H4" i="6"/>
  <c r="L129" i="6" l="1"/>
  <c r="L126" i="6"/>
  <c r="L110" i="6"/>
  <c r="L128" i="6"/>
  <c r="L113" i="6"/>
  <c r="L65" i="6"/>
  <c r="L112" i="6"/>
  <c r="L111" i="6"/>
  <c r="L49" i="6"/>
  <c r="L62" i="6"/>
  <c r="L63" i="6"/>
  <c r="L127" i="6"/>
  <c r="L47" i="6"/>
  <c r="L46" i="6"/>
  <c r="L64" i="6"/>
  <c r="L48" i="6"/>
  <c r="G22" i="4"/>
  <c r="H116" i="6" l="1"/>
  <c r="H117" i="6"/>
  <c r="H36" i="6"/>
  <c r="H52" i="6"/>
  <c r="H68" i="6"/>
  <c r="H37" i="6"/>
  <c r="H69" i="6"/>
  <c r="H53" i="6"/>
  <c r="G21" i="4"/>
  <c r="G12" i="4"/>
  <c r="L28" i="6" l="1"/>
  <c r="L108" i="6"/>
  <c r="L93" i="6"/>
  <c r="L109" i="6"/>
  <c r="H114" i="6"/>
  <c r="H115" i="6"/>
  <c r="H66" i="6"/>
  <c r="H50" i="6"/>
  <c r="H35" i="6"/>
  <c r="H67" i="6"/>
  <c r="H51" i="6"/>
  <c r="H34" i="6"/>
  <c r="L97" i="6"/>
  <c r="L94" i="6"/>
  <c r="L96" i="6"/>
  <c r="L95" i="6"/>
  <c r="L40" i="6"/>
  <c r="L104" i="6"/>
  <c r="L88" i="6"/>
  <c r="L31" i="6"/>
  <c r="L89" i="6"/>
  <c r="L41" i="6"/>
  <c r="L105" i="6"/>
  <c r="L56" i="6"/>
  <c r="L120" i="6"/>
  <c r="L57" i="6"/>
  <c r="L121" i="6"/>
  <c r="L116" i="6"/>
  <c r="G11" i="4"/>
  <c r="L44" i="6"/>
  <c r="L61" i="6"/>
  <c r="L125" i="6"/>
  <c r="L45" i="6"/>
  <c r="L60" i="6"/>
  <c r="L92" i="6"/>
  <c r="L124" i="6"/>
  <c r="K160" i="1"/>
  <c r="K152" i="1"/>
  <c r="K150" i="1"/>
  <c r="K148" i="1"/>
  <c r="K144" i="1"/>
  <c r="K146" i="1"/>
  <c r="K136" i="1"/>
  <c r="K128" i="1"/>
  <c r="K108" i="1"/>
  <c r="K124" i="1" s="1"/>
  <c r="K120" i="1"/>
  <c r="K23" i="1" s="1"/>
  <c r="K112" i="1"/>
  <c r="K110" i="1"/>
  <c r="K166" i="1" s="1"/>
  <c r="K106" i="1"/>
  <c r="K162" i="1" s="1"/>
  <c r="K105" i="1"/>
  <c r="K109" i="1" l="1"/>
  <c r="K161" i="1"/>
  <c r="K151" i="1"/>
  <c r="L72" i="6"/>
  <c r="L26" i="6"/>
  <c r="L42" i="6"/>
  <c r="L106" i="6"/>
  <c r="L27" i="6"/>
  <c r="L43" i="6"/>
  <c r="L91" i="6"/>
  <c r="L107" i="6"/>
  <c r="K114" i="1"/>
  <c r="K122" i="1"/>
  <c r="K137" i="1"/>
  <c r="L24" i="6"/>
  <c r="L76" i="6"/>
  <c r="L73" i="6"/>
  <c r="L23" i="6"/>
  <c r="L78" i="6"/>
  <c r="L80" i="6"/>
  <c r="L79" i="6"/>
  <c r="L81" i="6"/>
  <c r="L77" i="6"/>
  <c r="L8" i="6"/>
  <c r="L25" i="6"/>
  <c r="L33" i="6"/>
  <c r="L30" i="6"/>
  <c r="L32" i="6"/>
  <c r="L16" i="6"/>
  <c r="L20" i="6"/>
  <c r="L100" i="6"/>
  <c r="L52" i="6"/>
  <c r="L68" i="6"/>
  <c r="L84" i="6"/>
  <c r="L117" i="6"/>
  <c r="L69" i="6"/>
  <c r="L36" i="6"/>
  <c r="L101" i="6"/>
  <c r="L85" i="6"/>
  <c r="L37" i="6"/>
  <c r="L53" i="6"/>
  <c r="L38" i="6"/>
  <c r="L70" i="6"/>
  <c r="L102" i="6"/>
  <c r="L22" i="6"/>
  <c r="L86" i="6"/>
  <c r="L14" i="6"/>
  <c r="L87" i="6"/>
  <c r="L39" i="6"/>
  <c r="L71" i="6"/>
  <c r="L103" i="6"/>
  <c r="L54" i="6"/>
  <c r="L118" i="6"/>
  <c r="L55" i="6"/>
  <c r="L119" i="6"/>
  <c r="L11" i="6"/>
  <c r="L74" i="6"/>
  <c r="L10" i="6"/>
  <c r="L75" i="6"/>
  <c r="L59" i="6"/>
  <c r="L123" i="6"/>
  <c r="L58" i="6"/>
  <c r="L90" i="6"/>
  <c r="L122" i="6"/>
  <c r="K121" i="1"/>
  <c r="K132" i="1"/>
  <c r="K153" i="1"/>
  <c r="K111" i="1"/>
  <c r="K147" i="1"/>
  <c r="K129" i="1"/>
  <c r="K117" i="1"/>
  <c r="K133" i="1"/>
  <c r="K165" i="1"/>
  <c r="K157" i="1"/>
  <c r="K141" i="1"/>
  <c r="K125" i="1"/>
  <c r="K113" i="1"/>
  <c r="K130" i="1"/>
  <c r="K138" i="1"/>
  <c r="K145" i="1"/>
  <c r="K154" i="1"/>
  <c r="K164" i="1"/>
  <c r="K134" i="1"/>
  <c r="K140" i="1"/>
  <c r="K156" i="1"/>
  <c r="K107" i="1"/>
  <c r="K118" i="1"/>
  <c r="K149" i="1"/>
  <c r="K126" i="1"/>
  <c r="K142" i="1"/>
  <c r="K158" i="1"/>
  <c r="K116" i="1"/>
  <c r="K183" i="1"/>
  <c r="K191" i="1" s="1"/>
  <c r="K180" i="1"/>
  <c r="K181" i="1" s="1"/>
  <c r="K184" i="1" l="1"/>
  <c r="L6" i="6"/>
  <c r="L15" i="6"/>
  <c r="L17" i="6"/>
  <c r="L9" i="6"/>
  <c r="L21" i="6"/>
  <c r="L13" i="6"/>
  <c r="L4" i="6"/>
  <c r="L12" i="6"/>
  <c r="L29" i="6"/>
  <c r="L7" i="6"/>
  <c r="L5" i="6"/>
  <c r="L34" i="6"/>
  <c r="L66" i="6"/>
  <c r="L98" i="6"/>
  <c r="L2" i="6"/>
  <c r="L83" i="6"/>
  <c r="L3" i="6"/>
  <c r="L35" i="6"/>
  <c r="L67" i="6"/>
  <c r="L99" i="6"/>
  <c r="L19" i="6"/>
  <c r="L115" i="6"/>
  <c r="L18" i="6"/>
  <c r="L50" i="6"/>
  <c r="L82" i="6"/>
  <c r="L114" i="6"/>
  <c r="L51" i="6"/>
  <c r="K119" i="1"/>
  <c r="K26" i="1" s="1"/>
  <c r="K167" i="1"/>
  <c r="K127" i="1"/>
  <c r="K159" i="1"/>
  <c r="K143" i="1"/>
  <c r="K135" i="1"/>
  <c r="K155" i="1"/>
  <c r="K139" i="1"/>
  <c r="K131" i="1"/>
  <c r="K115" i="1"/>
  <c r="K163" i="1"/>
  <c r="K123" i="1"/>
  <c r="A18" i="6"/>
  <c r="A34" i="6"/>
  <c r="A50" i="6"/>
  <c r="A66" i="6"/>
  <c r="A82" i="6"/>
  <c r="A98" i="6"/>
  <c r="A114" i="6"/>
  <c r="A3" i="6"/>
  <c r="A19" i="6"/>
  <c r="A35" i="6"/>
  <c r="A51" i="6"/>
  <c r="A67" i="6"/>
  <c r="A83" i="6"/>
  <c r="A99" i="6"/>
  <c r="A115" i="6"/>
  <c r="A7" i="6"/>
  <c r="A22" i="6"/>
  <c r="A38" i="6"/>
  <c r="A54" i="6"/>
  <c r="A70" i="6"/>
  <c r="A86" i="6"/>
  <c r="A102" i="6"/>
  <c r="A118" i="6"/>
  <c r="A6" i="6"/>
  <c r="A23" i="6"/>
  <c r="A39" i="6"/>
  <c r="A55" i="6"/>
  <c r="A71" i="6"/>
  <c r="A87" i="6"/>
  <c r="A103" i="6"/>
  <c r="A119" i="6"/>
  <c r="A11" i="6"/>
  <c r="A26" i="6"/>
  <c r="A42" i="6"/>
  <c r="A58" i="6"/>
  <c r="A74" i="6"/>
  <c r="A90" i="6"/>
  <c r="A106" i="6"/>
  <c r="A122" i="6"/>
  <c r="A10" i="6"/>
  <c r="A27" i="6"/>
  <c r="A43" i="6"/>
  <c r="A59" i="6"/>
  <c r="A75" i="6"/>
  <c r="A91" i="6"/>
  <c r="A107" i="6"/>
  <c r="A123" i="6"/>
  <c r="A15" i="6"/>
  <c r="A30" i="6"/>
  <c r="A46" i="6"/>
  <c r="A62" i="6"/>
  <c r="A78" i="6"/>
  <c r="A94" i="6"/>
  <c r="A110" i="6"/>
  <c r="A126" i="6"/>
  <c r="A14" i="6"/>
  <c r="A31" i="6"/>
  <c r="A47" i="6"/>
  <c r="A63" i="6"/>
  <c r="A79" i="6"/>
  <c r="A95" i="6"/>
  <c r="A111" i="6"/>
  <c r="A127" i="6"/>
  <c r="A5" i="6"/>
  <c r="A20" i="6"/>
  <c r="A36" i="6"/>
  <c r="A52" i="6"/>
  <c r="A68" i="6"/>
  <c r="A84" i="6"/>
  <c r="A100" i="6"/>
  <c r="A116" i="6"/>
  <c r="A4" i="6"/>
  <c r="A21" i="6"/>
  <c r="A37" i="6"/>
  <c r="A53" i="6"/>
  <c r="A69" i="6"/>
  <c r="A85" i="6"/>
  <c r="A101" i="6"/>
  <c r="A117" i="6"/>
  <c r="A9" i="6"/>
  <c r="A24" i="6"/>
  <c r="A40" i="6"/>
  <c r="A56" i="6"/>
  <c r="A72" i="6"/>
  <c r="A88" i="6"/>
  <c r="A104" i="6"/>
  <c r="A120" i="6"/>
  <c r="A8" i="6"/>
  <c r="A25" i="6"/>
  <c r="A41" i="6"/>
  <c r="A57" i="6"/>
  <c r="A73" i="6"/>
  <c r="A89" i="6"/>
  <c r="A105" i="6"/>
  <c r="A121" i="6"/>
  <c r="A13" i="6"/>
  <c r="A28" i="6"/>
  <c r="A44" i="6"/>
  <c r="A60" i="6"/>
  <c r="A76" i="6"/>
  <c r="A92" i="6"/>
  <c r="A108" i="6"/>
  <c r="A124" i="6"/>
  <c r="A12" i="6"/>
  <c r="A29" i="6"/>
  <c r="A45" i="6"/>
  <c r="A61" i="6"/>
  <c r="A77" i="6"/>
  <c r="A93" i="6"/>
  <c r="A109" i="6"/>
  <c r="A125" i="6"/>
  <c r="A17" i="6"/>
  <c r="A32" i="6"/>
  <c r="A48" i="6"/>
  <c r="A64" i="6"/>
  <c r="A80" i="6"/>
  <c r="A96" i="6"/>
  <c r="A112" i="6"/>
  <c r="A128" i="6"/>
  <c r="A16" i="6"/>
  <c r="A33" i="6"/>
  <c r="A49" i="6"/>
  <c r="A65" i="6"/>
  <c r="A81" i="6"/>
  <c r="A97" i="6"/>
  <c r="A113" i="6"/>
  <c r="A129" i="6"/>
  <c r="A2" i="6"/>
  <c r="B37" i="1"/>
  <c r="G18" i="6"/>
  <c r="G34" i="6"/>
  <c r="G50" i="6"/>
  <c r="G66" i="6"/>
  <c r="G82" i="6"/>
  <c r="G98" i="6"/>
  <c r="G114" i="6"/>
  <c r="G3" i="6"/>
  <c r="G19" i="6"/>
  <c r="G35" i="6"/>
  <c r="G51" i="6"/>
  <c r="G67" i="6"/>
  <c r="G83" i="6"/>
  <c r="G99" i="6"/>
  <c r="G115" i="6"/>
  <c r="G7" i="6"/>
  <c r="G22" i="6"/>
  <c r="G38" i="6"/>
  <c r="G54" i="6"/>
  <c r="G70" i="6"/>
  <c r="G86" i="6"/>
  <c r="G102" i="6"/>
  <c r="G118" i="6"/>
  <c r="G6" i="6"/>
  <c r="G23" i="6"/>
  <c r="G39" i="6"/>
  <c r="G55" i="6"/>
  <c r="G71" i="6"/>
  <c r="G87" i="6"/>
  <c r="G103" i="6"/>
  <c r="G119" i="6"/>
  <c r="G11" i="6"/>
  <c r="G26" i="6"/>
  <c r="G42" i="6"/>
  <c r="G58" i="6"/>
  <c r="G74" i="6"/>
  <c r="G90" i="6"/>
  <c r="G106" i="6"/>
  <c r="G122" i="6"/>
  <c r="G10" i="6"/>
  <c r="G27" i="6"/>
  <c r="G43" i="6"/>
  <c r="G59" i="6"/>
  <c r="G75" i="6"/>
  <c r="G91" i="6"/>
  <c r="G107" i="6"/>
  <c r="G123" i="6"/>
  <c r="G15" i="6"/>
  <c r="G30" i="6"/>
  <c r="G46" i="6"/>
  <c r="G62" i="6"/>
  <c r="G78" i="6"/>
  <c r="G94" i="6"/>
  <c r="G110" i="6"/>
  <c r="G126" i="6"/>
  <c r="G14" i="6"/>
  <c r="G31" i="6"/>
  <c r="G47" i="6"/>
  <c r="G63" i="6"/>
  <c r="G79" i="6"/>
  <c r="G95" i="6"/>
  <c r="G111" i="6"/>
  <c r="G127" i="6"/>
  <c r="G5" i="6"/>
  <c r="G20" i="6"/>
  <c r="G36" i="6"/>
  <c r="G52" i="6"/>
  <c r="G68" i="6"/>
  <c r="G84" i="6"/>
  <c r="G100" i="6"/>
  <c r="G116" i="6"/>
  <c r="G4" i="6"/>
  <c r="G21" i="6"/>
  <c r="G37" i="6"/>
  <c r="G53" i="6"/>
  <c r="G69" i="6"/>
  <c r="G85" i="6"/>
  <c r="G101" i="6"/>
  <c r="G117" i="6"/>
  <c r="G9" i="6"/>
  <c r="G24" i="6"/>
  <c r="G40" i="6"/>
  <c r="G56" i="6"/>
  <c r="G72" i="6"/>
  <c r="G88" i="6"/>
  <c r="G104" i="6"/>
  <c r="G120" i="6"/>
  <c r="G8" i="6"/>
  <c r="G25" i="6"/>
  <c r="G41" i="6"/>
  <c r="G57" i="6"/>
  <c r="G73" i="6"/>
  <c r="G89" i="6"/>
  <c r="G105" i="6"/>
  <c r="G121" i="6"/>
  <c r="G13" i="6"/>
  <c r="G28" i="6"/>
  <c r="G44" i="6"/>
  <c r="G60" i="6"/>
  <c r="G76" i="6"/>
  <c r="G92" i="6"/>
  <c r="G108" i="6"/>
  <c r="G124" i="6"/>
  <c r="G12" i="6"/>
  <c r="G29" i="6"/>
  <c r="G45" i="6"/>
  <c r="G61" i="6"/>
  <c r="G77" i="6"/>
  <c r="G93" i="6"/>
  <c r="G109" i="6"/>
  <c r="G125" i="6"/>
  <c r="G17" i="6"/>
  <c r="G32" i="6"/>
  <c r="G48" i="6"/>
  <c r="G64" i="6"/>
  <c r="G80" i="6"/>
  <c r="G96" i="6"/>
  <c r="G112" i="6"/>
  <c r="G128" i="6"/>
  <c r="G16" i="6"/>
  <c r="G33" i="6"/>
  <c r="G49" i="6"/>
  <c r="G65" i="6"/>
  <c r="G81" i="6"/>
  <c r="G97" i="6"/>
  <c r="G113" i="6"/>
  <c r="G129" i="6"/>
  <c r="G2" i="6"/>
  <c r="K185" i="1" l="1"/>
  <c r="K188" i="1"/>
  <c r="M82" i="6"/>
  <c r="N82" i="6" s="1"/>
  <c r="M51" i="6"/>
  <c r="N51" i="6" s="1"/>
  <c r="M18" i="6"/>
  <c r="N18" i="6" s="1"/>
  <c r="M67" i="6"/>
  <c r="N67" i="6" s="1"/>
  <c r="M2" i="6"/>
  <c r="N2" i="6" s="1"/>
  <c r="M129" i="6"/>
  <c r="N129" i="6" s="1"/>
  <c r="M111" i="6"/>
  <c r="N111" i="6" s="1"/>
  <c r="M112" i="6"/>
  <c r="N112" i="6" s="1"/>
  <c r="M113" i="6"/>
  <c r="N113" i="6" s="1"/>
  <c r="M63" i="6"/>
  <c r="N63" i="6" s="1"/>
  <c r="M49" i="6"/>
  <c r="N49" i="6" s="1"/>
  <c r="M127" i="6"/>
  <c r="N127" i="6" s="1"/>
  <c r="M128" i="6"/>
  <c r="N128" i="6" s="1"/>
  <c r="M110" i="6"/>
  <c r="N110" i="6" s="1"/>
  <c r="M62" i="6"/>
  <c r="N62" i="6" s="1"/>
  <c r="M65" i="6"/>
  <c r="N65" i="6" s="1"/>
  <c r="M126" i="6"/>
  <c r="N126" i="6" s="1"/>
  <c r="M48" i="6"/>
  <c r="N48" i="6" s="1"/>
  <c r="M64" i="6"/>
  <c r="N64" i="6" s="1"/>
  <c r="M46" i="6"/>
  <c r="N46" i="6" s="1"/>
  <c r="M47" i="6"/>
  <c r="N47" i="6" s="1"/>
  <c r="M124" i="6"/>
  <c r="N124" i="6" s="1"/>
  <c r="M41" i="6"/>
  <c r="N41" i="6" s="1"/>
  <c r="M60" i="6"/>
  <c r="N60" i="6" s="1"/>
  <c r="M89" i="6"/>
  <c r="N89" i="6" s="1"/>
  <c r="M109" i="6"/>
  <c r="N109" i="6" s="1"/>
  <c r="M57" i="6"/>
  <c r="N57" i="6" s="1"/>
  <c r="M116" i="6"/>
  <c r="N116" i="6" s="1"/>
  <c r="M97" i="6"/>
  <c r="N97" i="6" s="1"/>
  <c r="M120" i="6"/>
  <c r="N120" i="6" s="1"/>
  <c r="M61" i="6"/>
  <c r="N61" i="6" s="1"/>
  <c r="M108" i="6"/>
  <c r="N108" i="6" s="1"/>
  <c r="M96" i="6"/>
  <c r="N96" i="6" s="1"/>
  <c r="M125" i="6"/>
  <c r="N125" i="6" s="1"/>
  <c r="M40" i="6"/>
  <c r="N40" i="6" s="1"/>
  <c r="M121" i="6"/>
  <c r="N121" i="6" s="1"/>
  <c r="M104" i="6"/>
  <c r="N104" i="6" s="1"/>
  <c r="M56" i="6"/>
  <c r="N56" i="6" s="1"/>
  <c r="M95" i="6"/>
  <c r="N95" i="6" s="1"/>
  <c r="M44" i="6"/>
  <c r="N44" i="6" s="1"/>
  <c r="M45" i="6"/>
  <c r="N45" i="6" s="1"/>
  <c r="M28" i="6"/>
  <c r="N28" i="6" s="1"/>
  <c r="M105" i="6"/>
  <c r="N105" i="6" s="1"/>
  <c r="M92" i="6"/>
  <c r="N92" i="6" s="1"/>
  <c r="M72" i="6"/>
  <c r="N72" i="6" s="1"/>
  <c r="M94" i="6"/>
  <c r="N94" i="6" s="1"/>
  <c r="M88" i="6"/>
  <c r="N88" i="6" s="1"/>
  <c r="M93" i="6"/>
  <c r="N93" i="6" s="1"/>
  <c r="M31" i="6"/>
  <c r="N31" i="6" s="1"/>
  <c r="M5" i="6"/>
  <c r="N5" i="6" s="1"/>
  <c r="M4" i="6"/>
  <c r="N4" i="6" s="1"/>
  <c r="M17" i="6"/>
  <c r="N17" i="6" s="1"/>
  <c r="M79" i="6"/>
  <c r="N79" i="6" s="1"/>
  <c r="M36" i="6"/>
  <c r="N36" i="6" s="1"/>
  <c r="M118" i="6"/>
  <c r="N118" i="6" s="1"/>
  <c r="M58" i="6"/>
  <c r="N58" i="6" s="1"/>
  <c r="M119" i="6"/>
  <c r="N119" i="6" s="1"/>
  <c r="M87" i="6"/>
  <c r="N87" i="6" s="1"/>
  <c r="M81" i="6"/>
  <c r="N81" i="6" s="1"/>
  <c r="M101" i="6"/>
  <c r="N101" i="6" s="1"/>
  <c r="M55" i="6"/>
  <c r="N55" i="6" s="1"/>
  <c r="M90" i="6"/>
  <c r="N90" i="6" s="1"/>
  <c r="M103" i="6"/>
  <c r="N103" i="6" s="1"/>
  <c r="M37" i="6"/>
  <c r="N37" i="6" s="1"/>
  <c r="M117" i="6"/>
  <c r="N117" i="6" s="1"/>
  <c r="M76" i="6"/>
  <c r="N76" i="6" s="1"/>
  <c r="M114" i="6"/>
  <c r="N114" i="6" s="1"/>
  <c r="M115" i="6"/>
  <c r="N115" i="6" s="1"/>
  <c r="M35" i="6"/>
  <c r="N35" i="6" s="1"/>
  <c r="M98" i="6"/>
  <c r="N98" i="6" s="1"/>
  <c r="M7" i="6"/>
  <c r="N7" i="6" s="1"/>
  <c r="M13" i="6"/>
  <c r="N13" i="6" s="1"/>
  <c r="M15" i="6"/>
  <c r="N15" i="6" s="1"/>
  <c r="M25" i="6"/>
  <c r="N25" i="6" s="1"/>
  <c r="M53" i="6"/>
  <c r="N53" i="6" s="1"/>
  <c r="M11" i="6"/>
  <c r="N11" i="6" s="1"/>
  <c r="M78" i="6"/>
  <c r="N78" i="6" s="1"/>
  <c r="M123" i="6"/>
  <c r="N123" i="6" s="1"/>
  <c r="M107" i="6"/>
  <c r="N107" i="6" s="1"/>
  <c r="M33" i="6"/>
  <c r="N33" i="6" s="1"/>
  <c r="M38" i="6"/>
  <c r="N38" i="6" s="1"/>
  <c r="M42" i="6"/>
  <c r="N42" i="6" s="1"/>
  <c r="M77" i="6"/>
  <c r="N77" i="6" s="1"/>
  <c r="M75" i="6"/>
  <c r="N75" i="6" s="1"/>
  <c r="M106" i="6"/>
  <c r="N106" i="6" s="1"/>
  <c r="M14" i="6"/>
  <c r="N14" i="6" s="1"/>
  <c r="M52" i="6"/>
  <c r="N52" i="6" s="1"/>
  <c r="M3" i="6"/>
  <c r="N3" i="6" s="1"/>
  <c r="M29" i="6"/>
  <c r="N29" i="6" s="1"/>
  <c r="M6" i="6"/>
  <c r="N6" i="6" s="1"/>
  <c r="M16" i="6"/>
  <c r="N16" i="6" s="1"/>
  <c r="M22" i="6"/>
  <c r="N22" i="6" s="1"/>
  <c r="M10" i="6"/>
  <c r="N10" i="6" s="1"/>
  <c r="M30" i="6"/>
  <c r="N30" i="6" s="1"/>
  <c r="M80" i="6"/>
  <c r="N80" i="6" s="1"/>
  <c r="M91" i="6"/>
  <c r="N91" i="6" s="1"/>
  <c r="M20" i="6"/>
  <c r="N20" i="6" s="1"/>
  <c r="M86" i="6"/>
  <c r="N86" i="6" s="1"/>
  <c r="M43" i="6"/>
  <c r="N43" i="6" s="1"/>
  <c r="M100" i="6"/>
  <c r="N100" i="6" s="1"/>
  <c r="M8" i="6"/>
  <c r="N8" i="6" s="1"/>
  <c r="M26" i="6"/>
  <c r="N26" i="6" s="1"/>
  <c r="M74" i="6"/>
  <c r="N74" i="6" s="1"/>
  <c r="M102" i="6"/>
  <c r="N102" i="6" s="1"/>
  <c r="M19" i="6"/>
  <c r="N19" i="6" s="1"/>
  <c r="M66" i="6"/>
  <c r="N66" i="6" s="1"/>
  <c r="M21" i="6"/>
  <c r="N21" i="6" s="1"/>
  <c r="M50" i="6"/>
  <c r="N50" i="6" s="1"/>
  <c r="M99" i="6"/>
  <c r="N99" i="6" s="1"/>
  <c r="M83" i="6"/>
  <c r="N83" i="6" s="1"/>
  <c r="M34" i="6"/>
  <c r="N34" i="6" s="1"/>
  <c r="M12" i="6"/>
  <c r="N12" i="6" s="1"/>
  <c r="M9" i="6"/>
  <c r="N9" i="6" s="1"/>
  <c r="M73" i="6"/>
  <c r="N73" i="6" s="1"/>
  <c r="M68" i="6"/>
  <c r="N68" i="6" s="1"/>
  <c r="M39" i="6"/>
  <c r="N39" i="6" s="1"/>
  <c r="M27" i="6"/>
  <c r="N27" i="6" s="1"/>
  <c r="M70" i="6"/>
  <c r="N70" i="6" s="1"/>
  <c r="M69" i="6"/>
  <c r="N69" i="6" s="1"/>
  <c r="M23" i="6"/>
  <c r="N23" i="6" s="1"/>
  <c r="M84" i="6"/>
  <c r="N84" i="6" s="1"/>
  <c r="M71" i="6"/>
  <c r="N71" i="6" s="1"/>
  <c r="M59" i="6"/>
  <c r="N59" i="6" s="1"/>
  <c r="M85" i="6"/>
  <c r="N85" i="6" s="1"/>
  <c r="M32" i="6"/>
  <c r="N32" i="6" s="1"/>
  <c r="M24" i="6"/>
  <c r="N24" i="6" s="1"/>
  <c r="M122" i="6"/>
  <c r="N122" i="6" s="1"/>
  <c r="M54" i="6"/>
  <c r="N54" i="6" s="1"/>
  <c r="J193" i="1"/>
  <c r="B193" i="1"/>
  <c r="J189" i="1"/>
  <c r="B189" i="1"/>
  <c r="J185" i="1"/>
  <c r="B185" i="1"/>
  <c r="J181" i="1"/>
  <c r="B181" i="1"/>
  <c r="J191" i="1"/>
  <c r="B191" i="1"/>
  <c r="J187" i="1"/>
  <c r="B187" i="1"/>
  <c r="J183" i="1"/>
  <c r="B183" i="1"/>
  <c r="J179" i="1"/>
  <c r="B179" i="1"/>
  <c r="J177" i="1"/>
  <c r="K189" i="1" l="1"/>
  <c r="K192" i="1"/>
  <c r="K193" i="1" s="1"/>
  <c r="K12" i="1"/>
  <c r="K15" i="1"/>
  <c r="K11" i="1"/>
  <c r="K14" i="1"/>
  <c r="K171" i="1"/>
  <c r="K179" i="1" s="1"/>
  <c r="K187" i="1" s="1"/>
  <c r="K172" i="1"/>
  <c r="K170" i="1"/>
  <c r="B105" i="1" l="1"/>
  <c r="B112" i="1"/>
  <c r="B113" i="1"/>
  <c r="B120" i="1"/>
  <c r="B121" i="1"/>
  <c r="B128" i="1"/>
  <c r="B129" i="1"/>
  <c r="B136" i="1"/>
  <c r="B137" i="1"/>
  <c r="B144" i="1"/>
  <c r="B145" i="1"/>
  <c r="B152" i="1"/>
  <c r="B153" i="1"/>
  <c r="B160" i="1"/>
  <c r="B161" i="1"/>
  <c r="B104" i="1"/>
  <c r="B182" i="1"/>
  <c r="B186" i="1"/>
  <c r="B190" i="1"/>
  <c r="B180" i="1"/>
  <c r="B184" i="1"/>
  <c r="B188" i="1"/>
  <c r="B192" i="1"/>
  <c r="B178" i="1"/>
  <c r="B195" i="1"/>
  <c r="B196" i="1"/>
  <c r="B197" i="1"/>
  <c r="B194" i="1"/>
  <c r="B33" i="1"/>
  <c r="B34" i="1"/>
  <c r="B56" i="1"/>
  <c r="B57" i="1"/>
  <c r="B58" i="1"/>
  <c r="B80" i="1"/>
  <c r="B81" i="1"/>
  <c r="B82" i="1"/>
  <c r="B32" i="1"/>
  <c r="B163" i="1"/>
  <c r="B155" i="1"/>
  <c r="B151" i="1"/>
  <c r="B146" i="1"/>
  <c r="B143" i="1"/>
  <c r="B138" i="1"/>
  <c r="B135" i="1"/>
  <c r="B130" i="1"/>
  <c r="B127" i="1"/>
  <c r="B119" i="1"/>
  <c r="B114" i="1"/>
  <c r="J107" i="1"/>
  <c r="B106" i="1"/>
  <c r="B85" i="1"/>
  <c r="B84" i="1"/>
  <c r="B83" i="1"/>
  <c r="B61" i="1"/>
  <c r="B60" i="1"/>
  <c r="B59" i="1"/>
  <c r="B36" i="1"/>
  <c r="B35" i="1"/>
  <c r="J168" i="1"/>
  <c r="J173" i="1"/>
  <c r="J174" i="1"/>
  <c r="J175" i="1"/>
  <c r="J176" i="1"/>
  <c r="J194" i="1"/>
  <c r="J195" i="1"/>
  <c r="J196" i="1"/>
  <c r="J197" i="1"/>
  <c r="J28" i="1"/>
  <c r="J29" i="1"/>
  <c r="J4" i="1"/>
  <c r="J7" i="1"/>
  <c r="J10" i="1"/>
  <c r="J13" i="1"/>
  <c r="J178" i="1"/>
  <c r="J182" i="1"/>
  <c r="J186" i="1"/>
  <c r="J190" i="1"/>
  <c r="J180" i="1"/>
  <c r="J184" i="1"/>
  <c r="J188" i="1"/>
  <c r="J192" i="1"/>
  <c r="J104" i="1"/>
  <c r="J105" i="1"/>
  <c r="B86" i="1"/>
  <c r="J11" i="1" l="1"/>
  <c r="B150" i="1"/>
  <c r="B142" i="1"/>
  <c r="J110" i="1"/>
  <c r="B118" i="1"/>
  <c r="B167" i="1"/>
  <c r="J8" i="1"/>
  <c r="J106" i="1"/>
  <c r="B159" i="1"/>
  <c r="B166" i="1"/>
  <c r="B164" i="1"/>
  <c r="B158" i="1"/>
  <c r="B156" i="1"/>
  <c r="B77" i="1"/>
  <c r="J48" i="1"/>
  <c r="B50" i="1"/>
  <c r="B38" i="1"/>
  <c r="B126" i="1"/>
  <c r="B124" i="1"/>
  <c r="B148" i="1"/>
  <c r="B147" i="1"/>
  <c r="B139" i="1"/>
  <c r="B131" i="1"/>
  <c r="B123" i="1"/>
  <c r="B115" i="1"/>
  <c r="B107" i="1"/>
  <c r="B95" i="1"/>
  <c r="B162" i="1"/>
  <c r="B154" i="1"/>
  <c r="B122" i="1"/>
  <c r="B92" i="1"/>
  <c r="J5" i="1"/>
  <c r="B109" i="1"/>
  <c r="B149" i="1"/>
  <c r="B141" i="1"/>
  <c r="B133" i="1"/>
  <c r="B125" i="1"/>
  <c r="B117" i="1"/>
  <c r="J15" i="1"/>
  <c r="J68" i="1"/>
  <c r="B62" i="1"/>
  <c r="B88" i="1"/>
  <c r="J96" i="1"/>
  <c r="B90" i="1"/>
  <c r="J14" i="1"/>
  <c r="J6" i="1"/>
  <c r="J47" i="1"/>
  <c r="B41" i="1"/>
  <c r="B91" i="1"/>
  <c r="B71" i="1"/>
  <c r="J108" i="1"/>
  <c r="B89" i="1"/>
  <c r="B87" i="1"/>
  <c r="B65" i="1"/>
  <c r="J112" i="1"/>
  <c r="J30" i="1"/>
  <c r="J31" i="1"/>
  <c r="J198" i="1"/>
  <c r="J204" i="1"/>
  <c r="J32" i="1"/>
  <c r="J33" i="1"/>
  <c r="J34" i="1"/>
  <c r="J35" i="1"/>
  <c r="J36" i="1"/>
  <c r="J37" i="1"/>
  <c r="J38" i="1"/>
  <c r="J41" i="1"/>
  <c r="J56" i="1"/>
  <c r="J57" i="1"/>
  <c r="J58" i="1"/>
  <c r="J59" i="1"/>
  <c r="J60" i="1"/>
  <c r="J61" i="1"/>
  <c r="J62" i="1"/>
  <c r="J65" i="1"/>
  <c r="J71" i="1"/>
  <c r="J77" i="1"/>
  <c r="J80" i="1"/>
  <c r="J81" i="1"/>
  <c r="J82" i="1"/>
  <c r="J83" i="1"/>
  <c r="J84" i="1"/>
  <c r="J85" i="1"/>
  <c r="J86" i="1"/>
  <c r="J87" i="1"/>
  <c r="J88" i="1"/>
  <c r="J89" i="1"/>
  <c r="J90" i="1"/>
  <c r="J91" i="1"/>
  <c r="J199" i="1"/>
  <c r="J200" i="1"/>
  <c r="J169" i="1"/>
  <c r="J170" i="1"/>
  <c r="J171" i="1"/>
  <c r="J172" i="1"/>
  <c r="J3" i="1"/>
  <c r="J2" i="1"/>
  <c r="B116" i="1" l="1"/>
  <c r="B110" i="1"/>
  <c r="J12" i="1"/>
  <c r="J42" i="1"/>
  <c r="J44" i="1"/>
  <c r="B44" i="1"/>
  <c r="J50" i="1"/>
  <c r="B165" i="1"/>
  <c r="B66" i="1"/>
  <c r="B42" i="1"/>
  <c r="B140" i="1"/>
  <c r="J92" i="1"/>
  <c r="B157" i="1"/>
  <c r="B108" i="1"/>
  <c r="B63" i="1"/>
  <c r="B111" i="1"/>
  <c r="J95" i="1"/>
  <c r="J9" i="1"/>
  <c r="J109" i="1"/>
  <c r="B134" i="1"/>
  <c r="B132" i="1"/>
  <c r="B48" i="1"/>
  <c r="B96" i="1"/>
  <c r="J101" i="1"/>
  <c r="B47" i="1"/>
  <c r="J45" i="1"/>
  <c r="B68" i="1"/>
  <c r="J114" i="1"/>
  <c r="J113" i="1"/>
  <c r="B101" i="1" l="1"/>
  <c r="J111" i="1"/>
  <c r="J66" i="1"/>
  <c r="B98" i="1"/>
  <c r="B45" i="1"/>
  <c r="J98" i="1"/>
  <c r="J63" i="1"/>
  <c r="B46" i="1"/>
  <c r="J46" i="1"/>
  <c r="J51" i="1"/>
  <c r="B39" i="1"/>
  <c r="J39" i="1"/>
  <c r="B67" i="1"/>
  <c r="J67" i="1"/>
  <c r="B40" i="1"/>
  <c r="J40" i="1"/>
  <c r="B54" i="1"/>
  <c r="J54" i="1"/>
  <c r="B74" i="1"/>
  <c r="J74" i="1"/>
  <c r="B51" i="1"/>
  <c r="B53" i="1"/>
  <c r="J53" i="1"/>
  <c r="J102" i="1"/>
  <c r="B102" i="1"/>
  <c r="J115" i="1"/>
  <c r="J116" i="1"/>
  <c r="J72" i="1" l="1"/>
  <c r="B72" i="1"/>
  <c r="B69" i="1"/>
  <c r="J69" i="1"/>
  <c r="J100" i="1"/>
  <c r="J99" i="1"/>
  <c r="B99" i="1"/>
  <c r="B52" i="1"/>
  <c r="J52" i="1"/>
  <c r="B100" i="1"/>
  <c r="B43" i="1"/>
  <c r="J43" i="1"/>
  <c r="J94" i="1"/>
  <c r="B94" i="1"/>
  <c r="B73" i="1"/>
  <c r="J73" i="1"/>
  <c r="B93" i="1"/>
  <c r="J93" i="1"/>
  <c r="J118" i="1"/>
  <c r="J117" i="1"/>
  <c r="J78" i="1" l="1"/>
  <c r="B78" i="1"/>
  <c r="J75" i="1"/>
  <c r="B75" i="1"/>
  <c r="B64" i="1"/>
  <c r="J64" i="1"/>
  <c r="B79" i="1"/>
  <c r="J79" i="1"/>
  <c r="J97" i="1"/>
  <c r="B97" i="1"/>
  <c r="B49" i="1"/>
  <c r="J49" i="1"/>
  <c r="J119" i="1"/>
  <c r="J120" i="1"/>
  <c r="B70" i="1" l="1"/>
  <c r="J70" i="1"/>
  <c r="B55" i="1"/>
  <c r="J55" i="1"/>
  <c r="B103" i="1"/>
  <c r="J103" i="1"/>
  <c r="J121" i="1"/>
  <c r="J122" i="1"/>
  <c r="J76" i="1" l="1"/>
  <c r="B76" i="1"/>
  <c r="J124" i="1"/>
  <c r="J123" i="1"/>
  <c r="J125" i="1" l="1"/>
  <c r="J126" i="1"/>
  <c r="J128" i="1" l="1"/>
  <c r="J127" i="1"/>
  <c r="J130" i="1" l="1"/>
  <c r="J129" i="1"/>
  <c r="J131" i="1" l="1"/>
  <c r="J132" i="1"/>
  <c r="J134" i="1" l="1"/>
  <c r="J133" i="1"/>
  <c r="J136" i="1" l="1"/>
  <c r="J135" i="1"/>
  <c r="J138" i="1" l="1"/>
  <c r="J137" i="1"/>
  <c r="J139" i="1" l="1"/>
  <c r="J140" i="1"/>
  <c r="J142" i="1" l="1"/>
  <c r="J141" i="1"/>
  <c r="J143" i="1" l="1"/>
  <c r="J144" i="1"/>
  <c r="J146" i="1" l="1"/>
  <c r="J145" i="1"/>
  <c r="J147" i="1" l="1"/>
  <c r="J148" i="1"/>
  <c r="J149" i="1" l="1"/>
  <c r="J150" i="1"/>
  <c r="J152" i="1" l="1"/>
  <c r="J151" i="1"/>
  <c r="J153" i="1" l="1"/>
  <c r="J154" i="1"/>
  <c r="J156" i="1" l="1"/>
  <c r="J155" i="1"/>
  <c r="J157" i="1" l="1"/>
  <c r="J158" i="1"/>
  <c r="J160" i="1" l="1"/>
  <c r="J159" i="1"/>
  <c r="J161" i="1" l="1"/>
  <c r="J162" i="1"/>
  <c r="J163" i="1" l="1"/>
  <c r="J166" i="1"/>
  <c r="J164" i="1"/>
  <c r="J167" i="1" l="1"/>
  <c r="J1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K177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  <comment ref="N199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201" authorId="0" shapeId="0" xr:uid="{E41FFF7D-6323-DF46-BDEE-1787BC884E37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made these up</t>
        </r>
      </text>
    </comment>
  </commentList>
</comments>
</file>

<file path=xl/sharedStrings.xml><?xml version="1.0" encoding="utf-8"?>
<sst xmlns="http://schemas.openxmlformats.org/spreadsheetml/2006/main" count="1156" uniqueCount="360">
  <si>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</si>
  <si>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</si>
  <si>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</si>
  <si>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</si>
  <si>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</si>
  <si>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</si>
  <si>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</si>
  <si>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</si>
  <si>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</si>
  <si>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</si>
  <si>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</si>
  <si>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</si>
  <si>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</si>
  <si>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</si>
  <si>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</si>
  <si>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</si>
  <si>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</si>
  <si>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</si>
  <si>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</si>
  <si>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</si>
  <si>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</si>
  <si>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</si>
  <si>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</si>
  <si>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</si>
  <si>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</si>
  <si>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</si>
  <si>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</si>
  <si>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</si>
  <si>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</si>
  <si>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</si>
  <si>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</si>
  <si>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</si>
  <si>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</si>
  <si>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</si>
  <si>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</si>
  <si>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</si>
  <si>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</si>
  <si>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</si>
  <si>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</si>
  <si>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</si>
  <si>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</si>
  <si>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</si>
  <si>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</si>
  <si>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</si>
  <si>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</si>
  <si>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</si>
  <si>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</si>
  <si>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</si>
  <si>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</si>
  <si>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</si>
  <si>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</si>
  <si>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</si>
  <si>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</si>
  <si>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</si>
  <si>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</si>
  <si>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</si>
  <si>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</si>
  <si>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</si>
  <si>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</si>
  <si>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</si>
  <si>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</si>
  <si>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</si>
  <si>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</si>
  <si>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</si>
  <si>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</si>
  <si>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</si>
  <si>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</si>
  <si>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</si>
  <si>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</si>
  <si>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</si>
  <si>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</si>
  <si>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</si>
  <si>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</si>
  <si>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</si>
  <si>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</si>
  <si>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</si>
  <si>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</si>
  <si>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</si>
  <si>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</si>
  <si>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</si>
  <si>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</si>
  <si>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</si>
  <si>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</si>
  <si>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</si>
  <si>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</si>
  <si>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</si>
  <si>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</si>
  <si>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</si>
  <si>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</si>
  <si>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</si>
  <si>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</si>
  <si>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</si>
  <si>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</si>
  <si>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</si>
  <si>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</si>
  <si>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</si>
  <si>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</si>
  <si>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</si>
  <si>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</si>
  <si>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</si>
  <si>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</si>
  <si>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</si>
  <si>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</si>
  <si>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</si>
  <si>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</si>
  <si>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</si>
  <si>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</si>
  <si>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</si>
  <si>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</si>
  <si>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</si>
  <si>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</si>
  <si>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</si>
  <si>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</si>
  <si>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</si>
  <si>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</si>
  <si>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</si>
  <si>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</si>
  <si>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</si>
  <si>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</si>
  <si>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</si>
  <si>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</si>
  <si>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</si>
  <si>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</si>
  <si>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</si>
  <si>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</si>
  <si>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</si>
  <si>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</si>
  <si>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</si>
  <si>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</si>
  <si>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</si>
  <si>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</si>
  <si>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</si>
  <si>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</si>
  <si>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</si>
  <si>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</si>
  <si>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</si>
  <si>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</si>
  <si>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</si>
  <si>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</si>
  <si>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</si>
  <si>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HIV incidence per year (by gender?)</t>
  </si>
  <si>
    <t>HIV disease progression</t>
  </si>
  <si>
    <t>ART initiation at high CD4</t>
  </si>
  <si>
    <t>ART initiation at low CD4</t>
  </si>
  <si>
    <t>HIV incidence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</si>
  <si>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</si>
  <si>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</si>
  <si>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</si>
  <si>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</si>
  <si>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</si>
  <si>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</si>
  <si>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</si>
  <si>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</si>
  <si>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</si>
  <si>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</si>
  <si>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</si>
  <si>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</si>
  <si>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</si>
  <si>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</si>
  <si>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</si>
  <si>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</si>
  <si>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</si>
  <si>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</si>
  <si>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</si>
  <si>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</si>
  <si>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</si>
  <si>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</si>
  <si>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</si>
  <si>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</si>
  <si>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</si>
  <si>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</si>
  <si>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</si>
  <si>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</si>
  <si>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</si>
  <si>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</si>
  <si>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</si>
  <si>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</si>
  <si>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</si>
  <si>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</si>
  <si>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</si>
  <si>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</si>
  <si>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</si>
  <si>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</si>
  <si>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</si>
  <si>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</si>
  <si>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</si>
  <si>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</si>
  <si>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</si>
  <si>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</si>
  <si>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</si>
  <si>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</si>
  <si>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</si>
  <si>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</si>
  <si>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</si>
  <si>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</si>
  <si>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</si>
  <si>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</si>
  <si>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</si>
  <si>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</si>
  <si>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</si>
  <si>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</si>
  <si>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</si>
  <si>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</si>
  <si>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</si>
  <si>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</si>
  <si>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</si>
  <si>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</si>
  <si>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</si>
  <si>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</si>
  <si>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</si>
  <si>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</si>
  <si>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</si>
  <si>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</si>
  <si>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</si>
  <si>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</si>
  <si>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</si>
  <si>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</si>
  <si>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</si>
  <si>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</si>
  <si>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</si>
  <si>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</si>
  <si>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</si>
  <si>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</si>
  <si>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</si>
  <si>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</si>
  <si>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</si>
  <si>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</si>
  <si>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eta_3,4(2)</t>
  </si>
  <si>
    <t>eta_2,4(3)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</si>
  <si>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</si>
  <si>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</si>
  <si>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</si>
  <si>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</si>
  <si>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</si>
  <si>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</si>
  <si>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</si>
  <si>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</si>
  <si>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</si>
  <si>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</si>
  <si>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</si>
  <si>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</si>
  <si>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</si>
  <si>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</si>
  <si>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</si>
  <si>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</si>
  <si>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</si>
  <si>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</si>
  <si>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</si>
  <si>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</si>
  <si>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</si>
  <si>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</si>
  <si>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</si>
  <si>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</si>
  <si>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</si>
  <si>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</si>
  <si>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</si>
  <si>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</si>
  <si>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</si>
  <si>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</si>
  <si>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</si>
  <si>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</si>
  <si>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</si>
  <si>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</si>
  <si>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</si>
  <si>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</si>
  <si>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</si>
  <si>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</si>
  <si>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</si>
  <si>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</si>
  <si>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</si>
  <si>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</si>
  <si>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</si>
  <si>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</si>
  <si>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</si>
  <si>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</si>
  <si>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</si>
  <si>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</si>
  <si>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</si>
  <si>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</si>
  <si>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</si>
  <si>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</si>
  <si>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</si>
  <si>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</si>
  <si>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</si>
  <si>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</si>
  <si>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</si>
  <si>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</si>
  <si>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</si>
  <si>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</si>
  <si>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</si>
  <si>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</si>
  <si>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GBD 2018</t>
  </si>
  <si>
    <t>GBD 2019</t>
  </si>
  <si>
    <t>GBD 2020</t>
  </si>
  <si>
    <t>GBD 2021</t>
  </si>
  <si>
    <t>GBD 2022</t>
  </si>
  <si>
    <t>GBD 2023</t>
  </si>
  <si>
    <t>GBD 2024</t>
  </si>
  <si>
    <t>GBD 2025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</si>
  <si>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</si>
  <si>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</si>
  <si>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</si>
  <si>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</si>
  <si>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</si>
  <si>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</si>
  <si>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</si>
  <si>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</si>
  <si>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</si>
  <si>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</si>
  <si>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</si>
  <si>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TB Ajust</t>
  </si>
  <si>
    <t>DR adj</t>
  </si>
  <si>
    <t>HIV adj</t>
  </si>
  <si>
    <t>G adj</t>
  </si>
  <si>
    <t>Factor</t>
  </si>
  <si>
    <t>Factor adj</t>
  </si>
  <si>
    <t>Numerator = 588 virally suppressed + 66 reported current ART. Denominator = 2393 completed screening</t>
  </si>
  <si>
    <t>DO ART secondary calculation. May get revised further with a gender breakdown</t>
  </si>
  <si>
    <t>DO ART rough calculation based on published CD4 thresholds. Anticipate following up with Torin for actual data.</t>
  </si>
  <si>
    <t>2 years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</si>
  <si>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</si>
  <si>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</si>
  <si>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</si>
  <si>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</si>
  <si>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</si>
  <si>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</si>
  <si>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</si>
  <si>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</si>
  <si>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</si>
  <si>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</si>
  <si>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</si>
  <si>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</si>
  <si>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</si>
  <si>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</si>
  <si>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</si>
  <si>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</si>
  <si>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</si>
  <si>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</si>
  <si>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</si>
  <si>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</si>
  <si>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</si>
  <si>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</si>
  <si>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</si>
  <si>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</si>
  <si>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</si>
  <si>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</si>
  <si>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</si>
  <si>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</si>
  <si>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>varpi</t>
  </si>
  <si>
    <t xml:space="preserve">Percentage HIV - </t>
  </si>
  <si>
    <t>Reference-Expected Value</t>
  </si>
  <si>
    <t>IPT Adherence  under policy Community ART</t>
  </si>
  <si>
    <t>IPT Adherence  under policy Standard (baseline)</t>
  </si>
  <si>
    <t>Rate of populations moving from HIV negative to HIVPL CD4 &gt; 200 under policy Standard (baseline)-Male</t>
  </si>
  <si>
    <t>Rate of populations moving from HIV negative to HIVPL CD4 &gt; 200 under policy Community ART-Male</t>
  </si>
  <si>
    <t>Rate of populations moving from HIV negative to HIVPL CD4 &gt; 200 under policy Community ART + IPT-Male</t>
  </si>
  <si>
    <t>Rate of populations moving from HIV negative to HIVPL CD4 &gt; 200 under policy Standard (baseline)-Female</t>
  </si>
  <si>
    <t>Rate of populations moving from HIV negative to HIVPL CD4 &gt; 200 under policy Community ART-Female</t>
  </si>
  <si>
    <t>Rate of populations moving from HIV negative to HIVPL CD4 &gt; 200 under policy Community ART + IPT-Female</t>
  </si>
  <si>
    <t>Description (Pop Init in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</si>
</sst>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10" fillId="2" borderId="0" xfId="0" applyFont="1" applyFill="1" applyAlignment="1">
      <alignment wrapText="1"/>
    </xf>
    <xf numFmtId="0" fontId="10" fillId="0" borderId="0" xfId="0" applyFont="1" applyFill="1"/>
    <xf numFmtId="0" fontId="0" fillId="0" borderId="0" xfId="0" applyFill="1"/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vertical="center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vertical="center"/>
    </xf>
    <xf numFmtId="0" fontId="10" fillId="5" borderId="0" xfId="0" applyFont="1" applyFill="1"/>
    <xf numFmtId="0" fontId="10" fillId="5" borderId="0" xfId="0" applyFont="1" applyFill="1" applyAlignment="1">
      <alignment wrapText="1"/>
    </xf>
    <xf numFmtId="0" fontId="8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0" fillId="2" borderId="0" xfId="0" applyFont="1" applyFill="1"/>
    <xf numFmtId="0" fontId="6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>
      <alignment vertical="center" wrapText="1"/>
    </xf>
    <xf numFmtId="0" fontId="0" fillId="6" borderId="0" xfId="0" applyFill="1"/>
    <xf numFmtId="0" fontId="5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4" fillId="7" borderId="0" xfId="0" applyFont="1" applyFill="1" applyAlignment="1">
      <alignment wrapText="1"/>
    </xf>
    <xf numFmtId="0" fontId="3" fillId="7" borderId="0" xfId="0" applyFont="1" applyFill="1" applyAlignment="1">
      <alignment wrapText="1"/>
    </xf>
    <xf numFmtId="0" fontId="2" fillId="0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1" fillId="7" borderId="0" xfId="0" applyFont="1" applyFill="1" applyAlignment="1">
      <alignment wrapText="1"/>
    </xf>
    <xf numFmtId="1" fontId="0" fillId="6" borderId="0" xfId="0" applyNumberForma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4"/>
  <sheetViews>
    <sheetView tabSelected="1" zoomScaleNormal="100" workbookViewId="0">
      <pane xSplit="10" ySplit="1" topLeftCell="K70" activePane="bottomRight" state="frozen"/>
      <selection pane="topRight" activeCell="I1" sqref="I1"/>
      <selection pane="bottomLeft" activeCell="A2" sqref="A2"/>
      <selection pane="bottomRight" activeCell="K38" sqref="K38"/>
    </sheetView>
  </sheetViews>
  <sheetFormatPr baseColWidth="10" defaultColWidth="8.83203125" defaultRowHeight="15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customWidth="1"/>
    <col min="11" max="11" width="20" style="9" customWidth="1"/>
    <col min="12" max="12" width="17.83203125" style="9" customWidth="1"/>
    <col min="13" max="13" width="20.5" style="9" customWidth="1"/>
    <col min="14" max="14" width="10.6640625" style="9" customWidth="1"/>
    <col min="15" max="15" width="29" style="10" customWidth="1"/>
    <col min="16" max="16384" width="8.83203125" style="10"/>
  </cols>
  <sheetData>
    <row r="1" spans="1:15" s="7" customFormat="1" ht="5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7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</row>
    <row r="3" spans="1:15" ht="17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>CONCATENATE(C3, "_", E3, IF(E3&lt;&gt;"",",",""), F3, IF(F3&lt;&gt;"",",",""),  G3, IF(G3&lt;&gt;"",",",""),  H3, IF(I3&lt;&gt;"","(",""), I3, IF(I3&lt;&gt;"",")",""))</f>
        <v>beta_2</v>
      </c>
      <c r="K3" s="9">
        <v>5.5440000000000003E-3</v>
      </c>
      <c r="N3" s="9" t="s">
        <v>18</v>
      </c>
    </row>
    <row r="4" spans="1:15" ht="34">
      <c r="A4" s="20" t="s">
        <v>353</v>
      </c>
      <c r="B4" s="9" t="str">
        <f>CONCATENATE("Rate of populations moving from HIV negative to HIVPL CD4 &gt; 200 under policy ",VLOOKUP(I4,P_SET,2),"-",VLOOKUP(H4,G_SET,2))</f>
        <v>Rate of populations moving from HIV negative to HIVPL CD4 &gt; 200 under policy Standard (baseline)-Male</v>
      </c>
      <c r="C4" s="8" t="s">
        <v>138</v>
      </c>
      <c r="D4" s="8" t="s">
        <v>139</v>
      </c>
      <c r="E4" s="8"/>
      <c r="G4" s="9">
        <v>12</v>
      </c>
      <c r="H4" s="9">
        <v>1</v>
      </c>
      <c r="I4" s="9">
        <v>1</v>
      </c>
      <c r="J4" s="9" t="str">
        <f>CONCATENATE(C4, "_", E4, IF(E4&lt;&gt;"",",",""), F4, IF(F4&lt;&gt;"",",",""),  G4, IF(G4&lt;&gt;"",",",""),  H4, IF(I4&lt;&gt;"","(",""), I4, IF(I4&lt;&gt;"",")",""))</f>
        <v>eta_12,1(1)</v>
      </c>
      <c r="K4" s="23">
        <v>0.05</v>
      </c>
    </row>
    <row r="5" spans="1:15" ht="34">
      <c r="A5" s="20" t="s">
        <v>354</v>
      </c>
      <c r="B5" s="9" t="str">
        <f>CONCATENATE("Rate of populations moving from HIV negative to HIVPL CD4 &gt; 200 under policy ",VLOOKUP(I5,P_SET,2),"-",VLOOKUP(H5,G_SET,2))</f>
        <v>Rate of populations moving from HIV negative to HIVPL CD4 &gt; 200 under policy Community ART-Male</v>
      </c>
      <c r="C5" s="8" t="s">
        <v>138</v>
      </c>
      <c r="D5" s="8" t="s">
        <v>139</v>
      </c>
      <c r="E5" s="8"/>
      <c r="G5" s="9">
        <v>12</v>
      </c>
      <c r="H5" s="9">
        <v>1</v>
      </c>
      <c r="I5" s="9">
        <v>2</v>
      </c>
      <c r="J5" s="9" t="str">
        <f>CONCATENATE(C5, "_", E5, IF(E5&lt;&gt;"",",",""), F5, IF(F5&lt;&gt;"",",",""),  G5, IF(G5&lt;&gt;"",",",""),  H5, IF(I5&lt;&gt;"","(",""), I5, IF(I5&lt;&gt;"",")",""))</f>
        <v>eta_12,1(2)</v>
      </c>
      <c r="K5" s="23">
        <v>0.05</v>
      </c>
      <c r="O5" s="10" t="s">
        <v>144</v>
      </c>
    </row>
    <row r="6" spans="1:15" ht="34">
      <c r="A6" s="20" t="s">
        <v>355</v>
      </c>
      <c r="B6" s="9" t="str">
        <f>CONCATENATE("Rate of populations moving from HIV negative to HIVPL CD4 &gt; 200 under policy ",VLOOKUP(I6,P_SET,2),"-",VLOOKUP(H6,G_SET,2))</f>
        <v>Rate of populations moving from HIV negative to HIVPL CD4 &gt; 200 under policy Community ART + IPT-Male</v>
      </c>
      <c r="C6" s="8" t="s">
        <v>138</v>
      </c>
      <c r="D6" s="8" t="s">
        <v>139</v>
      </c>
      <c r="E6" s="8"/>
      <c r="G6" s="9">
        <v>12</v>
      </c>
      <c r="H6" s="9">
        <v>1</v>
      </c>
      <c r="I6" s="9">
        <v>3</v>
      </c>
      <c r="J6" s="9" t="str">
        <f>CONCATENATE(C6, "_", E6, IF(E6&lt;&gt;"",",",""), F6, IF(F6&lt;&gt;"",",",""),  G6, IF(G6&lt;&gt;"",",",""),  H6, IF(I6&lt;&gt;"","(",""), I6, IF(I6&lt;&gt;"",")",""))</f>
        <v>eta_12,1(3)</v>
      </c>
      <c r="K6" s="23">
        <v>0.05</v>
      </c>
      <c r="O6" s="10" t="s">
        <v>140</v>
      </c>
    </row>
    <row r="7" spans="1:15" ht="34">
      <c r="A7" s="20" t="s">
        <v>353</v>
      </c>
      <c r="B7" s="9" t="str">
        <f>CONCATENATE("Rate of populations moving from HIV negative to HIVPL CD4 &gt; 200 under policy ",VLOOKUP(I7,P_SET,2),"-",VLOOKUP(H7,G_SET,2))</f>
        <v>Rate of populations moving from HIV negative to HIVPL CD4 &gt; 200 under policy Standard (baseline)-Male</v>
      </c>
      <c r="C7" s="8" t="s">
        <v>138</v>
      </c>
      <c r="D7" s="8" t="s">
        <v>139</v>
      </c>
      <c r="E7" s="8"/>
      <c r="G7" s="9">
        <v>23</v>
      </c>
      <c r="H7" s="9">
        <v>1</v>
      </c>
      <c r="I7" s="9">
        <v>1</v>
      </c>
      <c r="J7" s="9" t="str">
        <f>CONCATENATE(C7, "_", E7, IF(E7&lt;&gt;"",",",""), F7, IF(F7&lt;&gt;"",",",""),  G7, IF(G7&lt;&gt;"",",",""),  H7, IF(I7&lt;&gt;"","(",""), I7, IF(I7&lt;&gt;"",")",""))</f>
        <v>eta_23,1(1)</v>
      </c>
      <c r="K7" s="23">
        <v>0.2</v>
      </c>
    </row>
    <row r="8" spans="1:15" ht="34">
      <c r="A8" s="20" t="s">
        <v>354</v>
      </c>
      <c r="B8" s="9" t="str">
        <f>CONCATENATE("Rate of populations moving from HIV negative to HIVPL CD4 &gt; 200 under policy ",VLOOKUP(I8,P_SET,2),"-",VLOOKUP(H8,G_SET,2))</f>
        <v>Rate of populations moving from HIV negative to HIVPL CD4 &gt; 200 under policy Community ART-Male</v>
      </c>
      <c r="C8" s="8" t="s">
        <v>138</v>
      </c>
      <c r="D8" s="8" t="s">
        <v>139</v>
      </c>
      <c r="E8" s="8"/>
      <c r="G8" s="9">
        <v>23</v>
      </c>
      <c r="H8" s="9">
        <v>1</v>
      </c>
      <c r="I8" s="9">
        <v>2</v>
      </c>
      <c r="J8" s="9" t="str">
        <f>CONCATENATE(C8, "_", E8, IF(E8&lt;&gt;"",",",""), F8, IF(F8&lt;&gt;"",",",""),  G8, IF(G8&lt;&gt;"",",",""),  H8, IF(I8&lt;&gt;"","(",""), I8, IF(I8&lt;&gt;"",")",""))</f>
        <v>eta_23,1(2)</v>
      </c>
      <c r="K8" s="23">
        <v>0.2</v>
      </c>
    </row>
    <row r="9" spans="1:15" ht="34">
      <c r="A9" s="20" t="s">
        <v>355</v>
      </c>
      <c r="B9" s="9" t="str">
        <f>CONCATENATE("Rate of populations moving from HIV negative to HIVPL CD4 &gt; 200 under policy ",VLOOKUP(I9,P_SET,2),"-",VLOOKUP(H9,G_SET,2))</f>
        <v>Rate of populations moving from HIV negative to HIVPL CD4 &gt; 200 under policy Community ART + IPT-Male</v>
      </c>
      <c r="C9" s="8" t="s">
        <v>138</v>
      </c>
      <c r="D9" s="8" t="s">
        <v>139</v>
      </c>
      <c r="E9" s="8"/>
      <c r="G9" s="9">
        <v>23</v>
      </c>
      <c r="H9" s="9">
        <v>1</v>
      </c>
      <c r="I9" s="9">
        <v>3</v>
      </c>
      <c r="J9" s="9" t="str">
        <f>CONCATENATE(C9, "_", E9, IF(E9&lt;&gt;"",",",""), F9, IF(F9&lt;&gt;"",",",""),  G9, IF(G9&lt;&gt;"",",",""),  H9, IF(I9&lt;&gt;"","(",""), I9, IF(I9&lt;&gt;"",")",""))</f>
        <v>eta_23,1(3)</v>
      </c>
      <c r="K9" s="23">
        <v>0.2</v>
      </c>
      <c r="O9" s="10" t="s">
        <v>141</v>
      </c>
    </row>
    <row r="10" spans="1:15" ht="34">
      <c r="A10" s="20" t="s">
        <v>353</v>
      </c>
      <c r="B10" s="9" t="str">
        <f>CONCATENATE("Rate of populations moving from HIV negative to HIVPL CD4 &gt; 200 under policy ",VLOOKUP(I10,P_SET,2),"-",VLOOKUP(H10,G_SET,2))</f>
        <v>Rate of populations moving from HIV negative to HIVPL CD4 &gt; 200 under policy Standard (baseline)-Male</v>
      </c>
      <c r="C10" s="8" t="s">
        <v>138</v>
      </c>
      <c r="D10" s="8" t="s">
        <v>139</v>
      </c>
      <c r="E10" s="8"/>
      <c r="G10" s="9">
        <v>24</v>
      </c>
      <c r="H10" s="9">
        <v>1</v>
      </c>
      <c r="I10" s="9">
        <v>1</v>
      </c>
      <c r="J10" s="9" t="str">
        <f>CONCATENATE(C10, "_", E10, IF(E10&lt;&gt;"",",",""), F10, IF(F10&lt;&gt;"",",",""),  G10, IF(G10&lt;&gt;"",",",""),  H10, IF(I10&lt;&gt;"","(",""), I10, IF(I10&lt;&gt;"",")",""))</f>
        <v>eta_24,1(1)</v>
      </c>
      <c r="K10" s="23">
        <v>0.4</v>
      </c>
    </row>
    <row r="11" spans="1:15" ht="34">
      <c r="A11" s="20" t="s">
        <v>354</v>
      </c>
      <c r="B11" s="9" t="str">
        <f>CONCATENATE("Rate of populations moving from HIV negative to HIVPL CD4 &gt; 200 under policy ",VLOOKUP(I11,P_SET,2),"-",VLOOKUP(H11,G_SET,2))</f>
        <v>Rate of populations moving from HIV negative to HIVPL CD4 &gt; 200 under policy Community ART-Male</v>
      </c>
      <c r="C11" s="8" t="s">
        <v>138</v>
      </c>
      <c r="D11" s="8" t="s">
        <v>139</v>
      </c>
      <c r="E11" s="8"/>
      <c r="G11" s="9">
        <v>24</v>
      </c>
      <c r="H11" s="9">
        <v>1</v>
      </c>
      <c r="I11" s="9">
        <v>2</v>
      </c>
      <c r="J11" s="9" t="str">
        <f>CONCATENATE(C11, "_", E11, IF(E11&lt;&gt;"",",",""), F11, IF(F11&lt;&gt;"",",",""),  G11, IF(G11&lt;&gt;"",",",""),  H11, IF(I11&lt;&gt;"","(",""), I11, IF(I11&lt;&gt;"",")",""))</f>
        <v>eta_24,1(2)</v>
      </c>
      <c r="K11" s="23">
        <f>$K$120*'Indirect Model Parameters'!G6</f>
        <v>3.6300000000000004E-3</v>
      </c>
    </row>
    <row r="12" spans="1:15" ht="34">
      <c r="A12" s="20" t="s">
        <v>355</v>
      </c>
      <c r="B12" s="9" t="str">
        <f>CONCATENATE("Rate of populations moving from HIV negative to HIVPL CD4 &gt; 200 under policy ",VLOOKUP(I12,P_SET,2),"-",VLOOKUP(H12,G_SET,2))</f>
        <v>Rate of populations moving from HIV negative to HIVPL CD4 &gt; 200 under policy Community ART + IPT-Male</v>
      </c>
      <c r="C12" s="8" t="s">
        <v>138</v>
      </c>
      <c r="D12" s="8" t="s">
        <v>139</v>
      </c>
      <c r="E12" s="8"/>
      <c r="G12" s="9">
        <v>24</v>
      </c>
      <c r="H12" s="9">
        <v>1</v>
      </c>
      <c r="I12" s="9">
        <v>3</v>
      </c>
      <c r="J12" s="9" t="str">
        <f>CONCATENATE(C12, "_", E12, IF(E12&lt;&gt;"",",",""), F12, IF(F12&lt;&gt;"",",",""),  G12, IF(G12&lt;&gt;"",",",""),  H12, IF(I12&lt;&gt;"","(",""), I12, IF(I12&lt;&gt;"",")",""))</f>
        <v>eta_24,1(3)</v>
      </c>
      <c r="K12" s="23">
        <f>K32*'Indirect Model Parameters'!G8</f>
        <v>0</v>
      </c>
      <c r="O12" s="10" t="s">
        <v>143</v>
      </c>
    </row>
    <row r="13" spans="1:15" ht="34">
      <c r="A13" s="20" t="s">
        <v>353</v>
      </c>
      <c r="B13" s="9" t="str">
        <f>CONCATENATE("Rate of populations moving from HIV negative to HIVPL CD4 &gt; 200 under policy ",VLOOKUP(I13,P_SET,2),"-",VLOOKUP(H13,G_SET,2))</f>
        <v>Rate of populations moving from HIV negative to HIVPL CD4 &gt; 200 under policy Standard (baseline)-Male</v>
      </c>
      <c r="C13" s="8" t="s">
        <v>138</v>
      </c>
      <c r="D13" s="8" t="s">
        <v>139</v>
      </c>
      <c r="E13" s="8"/>
      <c r="G13" s="9">
        <v>34</v>
      </c>
      <c r="H13" s="9">
        <v>1</v>
      </c>
      <c r="I13" s="9">
        <v>1</v>
      </c>
      <c r="J13" s="9" t="str">
        <f>CONCATENATE(C13, "_", E13, IF(E13&lt;&gt;"",",",""), F13, IF(F13&lt;&gt;"",",",""),  G13, IF(G13&lt;&gt;"",",",""),  H13, IF(I13&lt;&gt;"","(",""), I13, IF(I13&lt;&gt;"",")",""))</f>
        <v>eta_34,1(1)</v>
      </c>
      <c r="K13" s="23">
        <v>0.4</v>
      </c>
    </row>
    <row r="14" spans="1:15" ht="34">
      <c r="A14" s="20" t="s">
        <v>354</v>
      </c>
      <c r="B14" s="9" t="str">
        <f>CONCATENATE("Rate of populations moving from HIV negative to HIVPL CD4 &gt; 200 under policy ",VLOOKUP(I14,P_SET,2),"-",VLOOKUP(H14,G_SET,2))</f>
        <v>Rate of populations moving from HIV negative to HIVPL CD4 &gt; 200 under policy Community ART-Male</v>
      </c>
      <c r="C14" s="8" t="s">
        <v>138</v>
      </c>
      <c r="D14" s="8" t="s">
        <v>139</v>
      </c>
      <c r="E14" s="8"/>
      <c r="G14" s="9">
        <v>34</v>
      </c>
      <c r="H14" s="9">
        <v>1</v>
      </c>
      <c r="I14" s="9">
        <v>2</v>
      </c>
      <c r="J14" s="9" t="str">
        <f>CONCATENATE(C14, "_", E14, IF(E14&lt;&gt;"",",",""), F14, IF(F14&lt;&gt;"",",",""),  G14, IF(G14&lt;&gt;"",",",""),  H14, IF(I14&lt;&gt;"","(",""), I14, IF(I14&lt;&gt;"",")",""))</f>
        <v>eta_34,1(2)</v>
      </c>
      <c r="K14" s="23">
        <f>$K$119*'Indirect Model Parameters'!G5</f>
        <v>2.5080000000000002E-3</v>
      </c>
    </row>
    <row r="15" spans="1:15" ht="34">
      <c r="A15" s="20" t="s">
        <v>355</v>
      </c>
      <c r="B15" s="9" t="str">
        <f>CONCATENATE("Rate of populations moving from HIV negative to HIVPL CD4 &gt; 200 under policy ",VLOOKUP(I15,P_SET,2),"-",VLOOKUP(H15,G_SET,2))</f>
        <v>Rate of populations moving from HIV negative to HIVPL CD4 &gt; 200 under policy Community ART + IPT-Male</v>
      </c>
      <c r="C15" s="8" t="s">
        <v>138</v>
      </c>
      <c r="D15" s="8" t="s">
        <v>139</v>
      </c>
      <c r="E15" s="8"/>
      <c r="G15" s="9">
        <v>34</v>
      </c>
      <c r="H15" s="9">
        <v>1</v>
      </c>
      <c r="I15" s="9">
        <v>3</v>
      </c>
      <c r="J15" s="9" t="str">
        <f>CONCATENATE(C15, "_", E15, IF(E15&lt;&gt;"",",",""), F15, IF(F15&lt;&gt;"",",",""),  G15, IF(G15&lt;&gt;"",",",""),  H15, IF(I15&lt;&gt;"","(",""), I15, IF(I15&lt;&gt;"",")",""))</f>
        <v>eta_34,1(3)</v>
      </c>
      <c r="K15" s="23">
        <f>K35*'Indirect Model Parameters'!G7</f>
        <v>0</v>
      </c>
      <c r="O15" s="10" t="s">
        <v>142</v>
      </c>
    </row>
    <row r="16" spans="1:15" ht="34">
      <c r="A16" s="20" t="s">
        <v>356</v>
      </c>
      <c r="B16" s="9" t="str">
        <f>CONCATENATE("Rate of populations moving from HIV negative to HIVPL CD4 &gt; 200 under policy ",VLOOKUP(I16,P_SET,2),"-",VLOOKUP(H16,G_SET,2))</f>
        <v>Rate of populations moving from HIV negative to HIVPL CD4 &gt; 200 under policy Standard (baseline)-Female</v>
      </c>
      <c r="C16" s="8" t="s">
        <v>138</v>
      </c>
      <c r="D16" s="8" t="s">
        <v>139</v>
      </c>
      <c r="E16" s="8"/>
      <c r="G16" s="9">
        <v>12</v>
      </c>
      <c r="H16" s="9">
        <v>2</v>
      </c>
      <c r="I16" s="9">
        <v>1</v>
      </c>
      <c r="J16" s="9" t="str">
        <f>CONCATENATE(C16, "_", E16, IF(E16&lt;&gt;"",",",""), F16, IF(F16&lt;&gt;"",",",""),  G16, IF(G16&lt;&gt;"",",",""),  H16, IF(I16&lt;&gt;"","(",""), I16, IF(I16&lt;&gt;"",")",""))</f>
        <v>eta_12,2(1)</v>
      </c>
      <c r="K16" s="23">
        <v>0.05</v>
      </c>
    </row>
    <row r="17" spans="1:15" ht="34">
      <c r="A17" s="20" t="s">
        <v>357</v>
      </c>
      <c r="B17" s="9" t="str">
        <f>CONCATENATE("Rate of populations moving from HIV negative to HIVPL CD4 &gt; 200 under policy ",VLOOKUP(I17,P_SET,2),"-",VLOOKUP(H17,G_SET,2))</f>
        <v>Rate of populations moving from HIV negative to HIVPL CD4 &gt; 200 under policy Community ART-Female</v>
      </c>
      <c r="C17" s="8" t="s">
        <v>138</v>
      </c>
      <c r="D17" s="8" t="s">
        <v>139</v>
      </c>
      <c r="E17" s="8"/>
      <c r="G17" s="9">
        <v>12</v>
      </c>
      <c r="H17" s="9">
        <v>2</v>
      </c>
      <c r="I17" s="9">
        <v>2</v>
      </c>
      <c r="J17" s="9" t="str">
        <f>CONCATENATE(C17, "_", E17, IF(E17&lt;&gt;"",",",""), F17, IF(F17&lt;&gt;"",",",""),  G17, IF(G17&lt;&gt;"",",",""),  H17, IF(I17&lt;&gt;"","(",""), I17, IF(I17&lt;&gt;"",")",""))</f>
        <v>eta_12,2(2)</v>
      </c>
      <c r="K17" s="23">
        <v>0.05</v>
      </c>
      <c r="O17" s="10" t="s">
        <v>144</v>
      </c>
    </row>
    <row r="18" spans="1:15" ht="34">
      <c r="A18" s="20" t="s">
        <v>358</v>
      </c>
      <c r="B18" s="9" t="str">
        <f>CONCATENATE("Rate of populations moving from HIV negative to HIVPL CD4 &gt; 200 under policy ",VLOOKUP(I18,P_SET,2),"-",VLOOKUP(H18,G_SET,2))</f>
        <v>Rate of populations moving from HIV negative to HIVPL CD4 &gt; 200 under policy Community ART + IPT-Female</v>
      </c>
      <c r="C18" s="8" t="s">
        <v>138</v>
      </c>
      <c r="D18" s="8" t="s">
        <v>139</v>
      </c>
      <c r="E18" s="8"/>
      <c r="G18" s="9">
        <v>12</v>
      </c>
      <c r="H18" s="9">
        <v>2</v>
      </c>
      <c r="I18" s="9">
        <v>3</v>
      </c>
      <c r="J18" s="9" t="str">
        <f>CONCATENATE(C18, "_", E18, IF(E18&lt;&gt;"",",",""), F18, IF(F18&lt;&gt;"",",",""),  G18, IF(G18&lt;&gt;"",",",""),  H18, IF(I18&lt;&gt;"","(",""), I18, IF(I18&lt;&gt;"",")",""))</f>
        <v>eta_12,2(3)</v>
      </c>
      <c r="K18" s="23">
        <v>0.05</v>
      </c>
      <c r="O18" s="10" t="s">
        <v>140</v>
      </c>
    </row>
    <row r="19" spans="1:15" ht="34">
      <c r="A19" s="20" t="s">
        <v>356</v>
      </c>
      <c r="B19" s="9" t="str">
        <f>CONCATENATE("Rate of populations moving from HIV negative to HIVPL CD4 &gt; 200 under policy ",VLOOKUP(I19,P_SET,2),"-",VLOOKUP(H19,G_SET,2))</f>
        <v>Rate of populations moving from HIV negative to HIVPL CD4 &gt; 200 under policy Standard (baseline)-Female</v>
      </c>
      <c r="C19" s="8" t="s">
        <v>138</v>
      </c>
      <c r="D19" s="8" t="s">
        <v>139</v>
      </c>
      <c r="E19" s="8"/>
      <c r="G19" s="9">
        <v>23</v>
      </c>
      <c r="H19" s="9">
        <v>2</v>
      </c>
      <c r="I19" s="9">
        <v>1</v>
      </c>
      <c r="J19" s="9" t="str">
        <f>CONCATENATE(C19, "_", E19, IF(E19&lt;&gt;"",",",""), F19, IF(F19&lt;&gt;"",",",""),  G19, IF(G19&lt;&gt;"",",",""),  H19, IF(I19&lt;&gt;"","(",""), I19, IF(I19&lt;&gt;"",")",""))</f>
        <v>eta_23,2(1)</v>
      </c>
      <c r="K19" s="23">
        <v>0.2</v>
      </c>
    </row>
    <row r="20" spans="1:15" ht="34">
      <c r="A20" s="20" t="s">
        <v>357</v>
      </c>
      <c r="B20" s="9" t="str">
        <f>CONCATENATE("Rate of populations moving from HIV negative to HIVPL CD4 &gt; 200 under policy ",VLOOKUP(I20,P_SET,2),"-",VLOOKUP(H20,G_SET,2))</f>
        <v>Rate of populations moving from HIV negative to HIVPL CD4 &gt; 200 under policy Community ART-Female</v>
      </c>
      <c r="C20" s="8" t="s">
        <v>138</v>
      </c>
      <c r="D20" s="8" t="s">
        <v>139</v>
      </c>
      <c r="E20" s="8"/>
      <c r="G20" s="9">
        <v>23</v>
      </c>
      <c r="H20" s="9">
        <v>2</v>
      </c>
      <c r="I20" s="9">
        <v>2</v>
      </c>
      <c r="J20" s="9" t="str">
        <f>CONCATENATE(C20, "_", E20, IF(E20&lt;&gt;"",",",""), F20, IF(F20&lt;&gt;"",",",""),  G20, IF(G20&lt;&gt;"",",",""),  H20, IF(I20&lt;&gt;"","(",""), I20, IF(I20&lt;&gt;"",")",""))</f>
        <v>eta_23,2(2)</v>
      </c>
      <c r="K20" s="23">
        <v>0.2</v>
      </c>
    </row>
    <row r="21" spans="1:15" ht="34">
      <c r="A21" s="20" t="s">
        <v>358</v>
      </c>
      <c r="B21" s="9" t="str">
        <f>CONCATENATE("Rate of populations moving from HIV negative to HIVPL CD4 &gt; 200 under policy ",VLOOKUP(I21,P_SET,2),"-",VLOOKUP(H21,G_SET,2))</f>
        <v>Rate of populations moving from HIV negative to HIVPL CD4 &gt; 200 under policy Community ART + IPT-Female</v>
      </c>
      <c r="C21" s="8" t="s">
        <v>138</v>
      </c>
      <c r="D21" s="8" t="s">
        <v>139</v>
      </c>
      <c r="E21" s="8"/>
      <c r="G21" s="9">
        <v>23</v>
      </c>
      <c r="H21" s="9">
        <v>2</v>
      </c>
      <c r="I21" s="9">
        <v>3</v>
      </c>
      <c r="J21" s="9" t="str">
        <f>CONCATENATE(C21, "_", E21, IF(E21&lt;&gt;"",",",""), F21, IF(F21&lt;&gt;"",",",""),  G21, IF(G21&lt;&gt;"",",",""),  H21, IF(I21&lt;&gt;"","(",""), I21, IF(I21&lt;&gt;"",")",""))</f>
        <v>eta_23,2(3)</v>
      </c>
      <c r="K21" s="23">
        <v>0.2</v>
      </c>
      <c r="O21" s="10" t="s">
        <v>141</v>
      </c>
    </row>
    <row r="22" spans="1:15" ht="34">
      <c r="A22" s="20" t="s">
        <v>356</v>
      </c>
      <c r="B22" s="9" t="str">
        <f>CONCATENATE("Rate of populations moving from HIV negative to HIVPL CD4 &gt; 200 under policy ",VLOOKUP(I22,P_SET,2),"-",VLOOKUP(H22,G_SET,2))</f>
        <v>Rate of populations moving from HIV negative to HIVPL CD4 &gt; 200 under policy Standard (baseline)-Female</v>
      </c>
      <c r="C22" s="8" t="s">
        <v>138</v>
      </c>
      <c r="D22" s="8" t="s">
        <v>139</v>
      </c>
      <c r="E22" s="8"/>
      <c r="G22" s="9">
        <v>24</v>
      </c>
      <c r="H22" s="9">
        <v>2</v>
      </c>
      <c r="I22" s="9">
        <v>1</v>
      </c>
      <c r="J22" s="9" t="str">
        <f>CONCATENATE(C22, "_", E22, IF(E22&lt;&gt;"",",",""), F22, IF(F22&lt;&gt;"",",",""),  G22, IF(G22&lt;&gt;"",",",""),  H22, IF(I22&lt;&gt;"","(",""), I22, IF(I22&lt;&gt;"",")",""))</f>
        <v>eta_24,2(1)</v>
      </c>
      <c r="K22" s="23">
        <v>0.4</v>
      </c>
    </row>
    <row r="23" spans="1:15" ht="34">
      <c r="A23" s="20" t="s">
        <v>357</v>
      </c>
      <c r="B23" s="9" t="str">
        <f>CONCATENATE("Rate of populations moving from HIV negative to HIVPL CD4 &gt; 200 under policy ",VLOOKUP(I23,P_SET,2),"-",VLOOKUP(H23,G_SET,2))</f>
        <v>Rate of populations moving from HIV negative to HIVPL CD4 &gt; 200 under policy Community ART-Female</v>
      </c>
      <c r="C23" s="8" t="s">
        <v>138</v>
      </c>
      <c r="D23" s="8" t="s">
        <v>139</v>
      </c>
      <c r="E23" s="8"/>
      <c r="G23" s="9">
        <v>24</v>
      </c>
      <c r="H23" s="9">
        <v>2</v>
      </c>
      <c r="I23" s="9">
        <v>2</v>
      </c>
      <c r="J23" s="9" t="str">
        <f>CONCATENATE(C23, "_", E23, IF(E23&lt;&gt;"",",",""), F23, IF(F23&lt;&gt;"",",",""),  G23, IF(G23&lt;&gt;"",",",""),  H23, IF(I23&lt;&gt;"","(",""), I23, IF(I23&lt;&gt;"",")",""))</f>
        <v>eta_24,2(2)</v>
      </c>
      <c r="K23" s="23">
        <f>$K$120*'Indirect Model Parameters'!G18</f>
        <v>9.8999999999999999E-4</v>
      </c>
    </row>
    <row r="24" spans="1:15" ht="34">
      <c r="A24" s="20" t="s">
        <v>358</v>
      </c>
      <c r="B24" s="9" t="str">
        <f>CONCATENATE("Rate of populations moving from HIV negative to HIVPL CD4 &gt; 200 under policy ",VLOOKUP(I24,P_SET,2),"-",VLOOKUP(H24,G_SET,2))</f>
        <v>Rate of populations moving from HIV negative to HIVPL CD4 &gt; 200 under policy Community ART + IPT-Female</v>
      </c>
      <c r="C24" s="8" t="s">
        <v>138</v>
      </c>
      <c r="D24" s="8" t="s">
        <v>139</v>
      </c>
      <c r="E24" s="8"/>
      <c r="G24" s="9">
        <v>24</v>
      </c>
      <c r="H24" s="9">
        <v>2</v>
      </c>
      <c r="I24" s="9">
        <v>3</v>
      </c>
      <c r="J24" s="9" t="str">
        <f>CONCATENATE(C24, "_", E24, IF(E24&lt;&gt;"",",",""), F24, IF(F24&lt;&gt;"",",",""),  G24, IF(G24&lt;&gt;"",",",""),  H24, IF(I24&lt;&gt;"","(",""), I24, IF(I24&lt;&gt;"",")",""))</f>
        <v>eta_24,2(3)</v>
      </c>
      <c r="K24" s="23">
        <f>K44*'Indirect Model Parameters'!G20</f>
        <v>0.03</v>
      </c>
      <c r="O24" s="10" t="s">
        <v>143</v>
      </c>
    </row>
    <row r="25" spans="1:15" ht="34">
      <c r="A25" s="20" t="s">
        <v>356</v>
      </c>
      <c r="B25" s="9" t="str">
        <f>CONCATENATE("Rate of populations moving from HIV negative to HIVPL CD4 &gt; 200 under policy ",VLOOKUP(I25,P_SET,2),"-",VLOOKUP(H25,G_SET,2))</f>
        <v>Rate of populations moving from HIV negative to HIVPL CD4 &gt; 200 under policy Standard (baseline)-Female</v>
      </c>
      <c r="C25" s="8" t="s">
        <v>138</v>
      </c>
      <c r="D25" s="8" t="s">
        <v>139</v>
      </c>
      <c r="E25" s="8"/>
      <c r="G25" s="9">
        <v>34</v>
      </c>
      <c r="H25" s="9">
        <v>2</v>
      </c>
      <c r="I25" s="9">
        <v>1</v>
      </c>
      <c r="J25" s="9" t="str">
        <f>CONCATENATE(C25, "_", E25, IF(E25&lt;&gt;"",",",""), F25, IF(F25&lt;&gt;"",",",""),  G25, IF(G25&lt;&gt;"",",",""),  H25, IF(I25&lt;&gt;"","(",""), I25, IF(I25&lt;&gt;"",")",""))</f>
        <v>eta_34,2(1)</v>
      </c>
      <c r="K25" s="23">
        <v>0.4</v>
      </c>
    </row>
    <row r="26" spans="1:15" ht="34">
      <c r="A26" s="20" t="s">
        <v>357</v>
      </c>
      <c r="B26" s="9" t="str">
        <f>CONCATENATE("Rate of populations moving from HIV negative to HIVPL CD4 &gt; 200 under policy ",VLOOKUP(I26,P_SET,2),"-",VLOOKUP(H26,G_SET,2))</f>
        <v>Rate of populations moving from HIV negative to HIVPL CD4 &gt; 200 under policy Community ART-Female</v>
      </c>
      <c r="C26" s="8" t="s">
        <v>138</v>
      </c>
      <c r="D26" s="8" t="s">
        <v>139</v>
      </c>
      <c r="E26" s="8"/>
      <c r="G26" s="9">
        <v>34</v>
      </c>
      <c r="H26" s="9">
        <v>2</v>
      </c>
      <c r="I26" s="9">
        <v>2</v>
      </c>
      <c r="J26" s="9" t="str">
        <f>CONCATENATE(C26, "_", E26, IF(E26&lt;&gt;"",",",""), F26, IF(F26&lt;&gt;"",",",""),  G26, IF(G26&lt;&gt;"",",",""),  H26, IF(I26&lt;&gt;"","(",""), I26, IF(I26&lt;&gt;"",")",""))</f>
        <v>eta_34,2(2)</v>
      </c>
      <c r="K26" s="23">
        <f>$K$119*'Indirect Model Parameters'!G17</f>
        <v>1.5959999999999998E-3</v>
      </c>
    </row>
    <row r="27" spans="1:15" ht="34">
      <c r="A27" s="20" t="s">
        <v>358</v>
      </c>
      <c r="B27" s="9" t="str">
        <f>CONCATENATE("Rate of populations moving from HIV negative to HIVPL CD4 &gt; 200 under policy ",VLOOKUP(I27,P_SET,2),"-",VLOOKUP(H27,G_SET,2))</f>
        <v>Rate of populations moving from HIV negative to HIVPL CD4 &gt; 200 under policy Community ART + IPT-Female</v>
      </c>
      <c r="C27" s="8" t="s">
        <v>138</v>
      </c>
      <c r="D27" s="8" t="s">
        <v>139</v>
      </c>
      <c r="E27" s="8"/>
      <c r="G27" s="9">
        <v>34</v>
      </c>
      <c r="H27" s="9">
        <v>2</v>
      </c>
      <c r="I27" s="9">
        <v>3</v>
      </c>
      <c r="J27" s="9" t="str">
        <f>CONCATENATE(C27, "_", E27, IF(E27&lt;&gt;"",",",""), F27, IF(F27&lt;&gt;"",",",""),  G27, IF(G27&lt;&gt;"",",",""),  H27, IF(I27&lt;&gt;"","(",""), I27, IF(I27&lt;&gt;"",")",""))</f>
        <v>eta_34,2(3)</v>
      </c>
      <c r="K27" s="23">
        <f>K47*'Indirect Model Parameters'!G19</f>
        <v>0.03</v>
      </c>
      <c r="O27" s="10" t="s">
        <v>142</v>
      </c>
    </row>
    <row r="28" spans="1:15" ht="17">
      <c r="A28" s="20" t="s">
        <v>122</v>
      </c>
      <c r="B28" s="9" t="s">
        <v>122</v>
      </c>
      <c r="C28" s="8" t="s">
        <v>123</v>
      </c>
      <c r="D28" s="8" t="s">
        <v>43</v>
      </c>
      <c r="E28" s="8"/>
      <c r="F28" s="9">
        <v>1</v>
      </c>
      <c r="J28" s="9" t="str">
        <f>CONCATENATE(C28, "_", E28, IF(E28&lt;&gt;"",",",""), F28, IF(F28&lt;&gt;"",",",""),  G28, IF(G28&lt;&gt;"",",",""),  H28, IF(I28&lt;&gt;"","(",""), I28, IF(I28&lt;&gt;"",")",""))</f>
        <v>gamma_1,</v>
      </c>
      <c r="K28" s="9">
        <v>1</v>
      </c>
    </row>
    <row r="29" spans="1:15" ht="17">
      <c r="A29" s="20" t="s">
        <v>122</v>
      </c>
      <c r="B29" s="9" t="s">
        <v>122</v>
      </c>
      <c r="C29" s="8" t="s">
        <v>123</v>
      </c>
      <c r="D29" s="8" t="s">
        <v>43</v>
      </c>
      <c r="E29" s="8"/>
      <c r="F29" s="9">
        <v>2</v>
      </c>
      <c r="J29" s="9" t="str">
        <f>CONCATENATE(C29, "_", E29, IF(E29&lt;&gt;"",",",""), F29, IF(F29&lt;&gt;"",",",""),  G29, IF(G29&lt;&gt;"",",",""),  H29, IF(I29&lt;&gt;"","(",""), I29, IF(I29&lt;&gt;"",")",""))</f>
        <v>gamma_2,</v>
      </c>
      <c r="K29" s="9">
        <v>0</v>
      </c>
    </row>
    <row r="30" spans="1:15" ht="34">
      <c r="A30" s="20" t="s">
        <v>24</v>
      </c>
      <c r="B30" s="21" t="s">
        <v>24</v>
      </c>
      <c r="C30" s="8" t="s">
        <v>25</v>
      </c>
      <c r="D30" s="8" t="s">
        <v>17</v>
      </c>
      <c r="E30" s="8"/>
      <c r="F30" s="9">
        <v>1</v>
      </c>
      <c r="J30" s="9" t="str">
        <f>CONCATENATE(C30, "_", E30, IF(E30&lt;&gt;"",",",""), F30, IF(F30&lt;&gt;"",",",""),  G30, IF(G30&lt;&gt;"",",",""),  H30, IF(I30&lt;&gt;"","(",""), I30, IF(I30&lt;&gt;"",")",""))</f>
        <v>iota_1,</v>
      </c>
      <c r="K30" s="9">
        <v>0</v>
      </c>
      <c r="N30" s="9" t="s">
        <v>26</v>
      </c>
    </row>
    <row r="31" spans="1:15" ht="34">
      <c r="A31" s="20" t="s">
        <v>27</v>
      </c>
      <c r="B31" s="21" t="s">
        <v>27</v>
      </c>
      <c r="C31" s="8" t="s">
        <v>25</v>
      </c>
      <c r="D31" s="8" t="s">
        <v>17</v>
      </c>
      <c r="E31" s="8"/>
      <c r="F31" s="9">
        <v>2</v>
      </c>
      <c r="J31" s="9" t="str">
        <f>CONCATENATE(C31, "_", E31, IF(E31&lt;&gt;"",",",""), F31, IF(F31&lt;&gt;"",",",""),  G31, IF(G31&lt;&gt;"",",",""),  H31, IF(I31&lt;&gt;"","(",""), I31, IF(I31&lt;&gt;"",")",""))</f>
        <v>iota_2,</v>
      </c>
      <c r="K31" s="9">
        <v>0.15</v>
      </c>
      <c r="N31" s="9" t="s">
        <v>26</v>
      </c>
    </row>
    <row r="32" spans="1:15" ht="51">
      <c r="A32" s="20" t="s">
        <v>98</v>
      </c>
      <c r="B32" s="21" t="str">
        <f>CONCATENATE("Rate of IPT initiation from TB compartment ",VLOOKUP(E32,TB_SET,2)," and HIV compartment ",VLOOKUP(G32,HIV_SET,2)," for gender ",VLOOKUP(H32,G_SET,2), " under policy ", VLOOKUP(I32, P_SET,2))</f>
        <v>Rate of IPT initiation from TB compartment  Uninfected, not on IPT and HIV compartment  HIV-negative for gender Male under policy Standard (baseline)</v>
      </c>
      <c r="C32" s="8" t="s">
        <v>42</v>
      </c>
      <c r="D32" s="8" t="s">
        <v>43</v>
      </c>
      <c r="E32" s="8">
        <v>1</v>
      </c>
      <c r="G32" s="9">
        <v>1</v>
      </c>
      <c r="H32" s="9">
        <v>1</v>
      </c>
      <c r="I32" s="9">
        <v>1</v>
      </c>
      <c r="J32" s="9" t="str">
        <f>CONCATENATE(C32, "_", E32, IF(E32&lt;&gt;"",",",""), F32, IF(F32&lt;&gt;"",",",""),  G32, IF(G32&lt;&gt;"",",",""),  H32, IF(I32&lt;&gt;"","(",""), I32, IF(I32&lt;&gt;"",")",""))</f>
        <v>kappa_1,1,1(1)</v>
      </c>
      <c r="K32" s="9">
        <v>0</v>
      </c>
      <c r="O32" s="10" t="s">
        <v>90</v>
      </c>
    </row>
    <row r="33" spans="1:15" ht="51">
      <c r="A33" s="20" t="s">
        <v>71</v>
      </c>
      <c r="B33" s="21" t="str">
        <f>CONCATENATE("Rate of IPT initiation from TB compartment ",VLOOKUP(E33,TB_SET,2)," and HIV compartment ",VLOOKUP(G33,HIV_SET,2)," for gender ",VLOOKUP(H33,G_SET,2), " under policy ", VLOOKUP(I33, P_SET,2))</f>
        <v>Rate of IPT initiation from TB compartment  Uninfected, not on IPT and HIV compartment  HIV-negative for gender Male under policy Community ART</v>
      </c>
      <c r="C33" s="8" t="s">
        <v>42</v>
      </c>
      <c r="D33" s="8" t="s">
        <v>43</v>
      </c>
      <c r="E33" s="8">
        <v>1</v>
      </c>
      <c r="G33" s="9">
        <v>1</v>
      </c>
      <c r="H33" s="9">
        <v>1</v>
      </c>
      <c r="I33" s="9">
        <v>2</v>
      </c>
      <c r="J33" s="9" t="str">
        <f>CONCATENATE(C33, "_", E33, IF(E33&lt;&gt;"",",",""), F33, IF(F33&lt;&gt;"",",",""),  G33, IF(G33&lt;&gt;"",",",""),  H33, IF(I33&lt;&gt;"","(",""), I33, IF(I33&lt;&gt;"",")",""))</f>
        <v>kappa_1,1,1(2)</v>
      </c>
      <c r="K33" s="9">
        <v>0</v>
      </c>
      <c r="O33" s="10" t="s">
        <v>72</v>
      </c>
    </row>
    <row r="34" spans="1:15" ht="51">
      <c r="A34" s="20" t="s">
        <v>41</v>
      </c>
      <c r="B34" s="21" t="str">
        <f>CONCATENATE("Rate of IPT initiation from TB compartment ",VLOOKUP(E34,TB_SET,2)," and HIV compartment ",VLOOKUP(G34,HIV_SET,2)," for gender ",VLOOKUP(H34,G_SET,2), " under policy ", VLOOKUP(I34, P_SET,2))</f>
        <v>Rate of IPT initiation from TB compartment  Uninfected, not on IPT and HIV compartment  HIV-negative for gender Male under policy Community ART + IPT</v>
      </c>
      <c r="C34" s="8" t="s">
        <v>42</v>
      </c>
      <c r="D34" s="8" t="s">
        <v>43</v>
      </c>
      <c r="E34" s="8">
        <v>1</v>
      </c>
      <c r="G34" s="9">
        <v>1</v>
      </c>
      <c r="H34" s="9">
        <v>1</v>
      </c>
      <c r="I34" s="9">
        <v>3</v>
      </c>
      <c r="J34" s="9" t="str">
        <f>CONCATENATE(C34, "_", E34, IF(E34&lt;&gt;"",",",""), F34, IF(F34&lt;&gt;"",",",""),  G34, IF(G34&lt;&gt;"",",",""),  H34, IF(I34&lt;&gt;"","(",""), I34, IF(I34&lt;&gt;"",")",""))</f>
        <v>kappa_1,1,1(3)</v>
      </c>
      <c r="K34" s="28">
        <v>0</v>
      </c>
      <c r="O34" s="10" t="s">
        <v>44</v>
      </c>
    </row>
    <row r="35" spans="1:15" ht="51">
      <c r="A35" s="20" t="s">
        <v>99</v>
      </c>
      <c r="B35" s="21" t="str">
        <f>CONCATENATE("Rate of IPT initiation from TB compartment ",VLOOKUP(E35,TB_SET,2)," and HIV compartment ",VLOOKUP(G35,HIV_SET,2)," for gender ",VLOOKUP(H35,G_SET,2), " under policy ", VLOOKUP(I35, P_SET,2))</f>
        <v>Rate of IPT initiation from TB compartment  Uninfected, not on IPT and HIV compartment  HIV-negative for gender Female under policy Standard (baseline)</v>
      </c>
      <c r="C35" s="8" t="s">
        <v>42</v>
      </c>
      <c r="D35" s="8" t="s">
        <v>43</v>
      </c>
      <c r="E35" s="8">
        <v>1</v>
      </c>
      <c r="G35" s="9">
        <v>1</v>
      </c>
      <c r="H35" s="9">
        <v>2</v>
      </c>
      <c r="I35" s="9">
        <v>1</v>
      </c>
      <c r="J35" s="9" t="str">
        <f>CONCATENATE(C35, "_", E35, IF(E35&lt;&gt;"",",",""), F35, IF(F35&lt;&gt;"",",",""),  G35, IF(G35&lt;&gt;"",",",""),  H35, IF(I35&lt;&gt;"","(",""), I35, IF(I35&lt;&gt;"",")",""))</f>
        <v>kappa_1,1,2(1)</v>
      </c>
      <c r="K35" s="9">
        <v>0</v>
      </c>
      <c r="O35" s="10" t="s">
        <v>90</v>
      </c>
    </row>
    <row r="36" spans="1:15" ht="51">
      <c r="A36" s="20" t="s">
        <v>73</v>
      </c>
      <c r="B36" s="21" t="str">
        <f>CONCATENATE("Rate of IPT initiation from TB compartment ",VLOOKUP(E36,TB_SET,2)," and HIV compartment ",VLOOKUP(G36,HIV_SET,2)," for gender ",VLOOKUP(H36,G_SET,2), " under policy ", VLOOKUP(I36, P_SET,2))</f>
        <v>Rate of IPT initiation from TB compartment  Uninfected, not on IPT and HIV compartment  HIV-negative for gender Female under policy Community ART</v>
      </c>
      <c r="C36" s="8" t="s">
        <v>42</v>
      </c>
      <c r="D36" s="8" t="s">
        <v>43</v>
      </c>
      <c r="E36" s="8">
        <v>1</v>
      </c>
      <c r="G36" s="9">
        <v>1</v>
      </c>
      <c r="H36" s="9">
        <v>2</v>
      </c>
      <c r="I36" s="9">
        <v>2</v>
      </c>
      <c r="J36" s="9" t="str">
        <f>CONCATENATE(C36, "_", E36, IF(E36&lt;&gt;"",",",""), F36, IF(F36&lt;&gt;"",",",""),  G36, IF(G36&lt;&gt;"",",",""),  H36, IF(I36&lt;&gt;"","(",""), I36, IF(I36&lt;&gt;"",")",""))</f>
        <v>kappa_1,1,2(2)</v>
      </c>
      <c r="K36" s="9">
        <v>0</v>
      </c>
      <c r="O36" s="10" t="s">
        <v>72</v>
      </c>
    </row>
    <row r="37" spans="1:15" ht="51">
      <c r="A37" s="20" t="s">
        <v>45</v>
      </c>
      <c r="B37" s="21" t="str">
        <f>CONCATENATE("Rate of IPT initiation from TB compartment ",VLOOKUP(E37,TB_SET,2)," and HIV compartment ",VLOOKUP(G37,HIV_SET,2)," for gender ",VLOOKUP(H37,G_SET,2), " under policy ", VLOOKUP(I37, P_SET,2))</f>
        <v>Rate of IPT initiation from TB compartment  Uninfected, not on IPT and HIV compartment  HIV-negative for gender Female under policy Community ART + IPT</v>
      </c>
      <c r="C37" s="8" t="s">
        <v>42</v>
      </c>
      <c r="D37" s="8" t="s">
        <v>43</v>
      </c>
      <c r="E37" s="8">
        <v>1</v>
      </c>
      <c r="G37" s="9">
        <v>1</v>
      </c>
      <c r="H37" s="9">
        <v>2</v>
      </c>
      <c r="I37" s="9">
        <v>3</v>
      </c>
      <c r="J37" s="9" t="str">
        <f>CONCATENATE(C37, "_", E37, IF(E37&lt;&gt;"",",",""), F37, IF(F37&lt;&gt;"",",",""),  G37, IF(G37&lt;&gt;"",",",""),  H37, IF(I37&lt;&gt;"","(",""), I37, IF(I37&lt;&gt;"",")",""))</f>
        <v>kappa_1,1,2(3)</v>
      </c>
      <c r="K37" s="28">
        <v>0</v>
      </c>
      <c r="O37" s="10" t="s">
        <v>44</v>
      </c>
    </row>
    <row r="38" spans="1:15" ht="51">
      <c r="A38" s="20" t="s">
        <v>100</v>
      </c>
      <c r="B38" s="21" t="str">
        <f>CONCATENATE("Rate of IPT initiation from TB compartment ",VLOOKUP(E38,TB_SET,2)," and HIV compartment ",VLOOKUP(G38,HIV_SET,2)," for gender ",VLOOKUP(H38,G_SET,2), " under policy ", VLOOKUP(I38, P_SET,2))</f>
        <v>Rate of IPT initiation from TB compartment  Uninfected, not on IPT and HIV compartment  PLHIV not on ART, CD4&gt;200 for gender Male under policy Standard (baseline)</v>
      </c>
      <c r="C38" s="8" t="s">
        <v>42</v>
      </c>
      <c r="D38" s="8" t="s">
        <v>43</v>
      </c>
      <c r="E38" s="8">
        <v>1</v>
      </c>
      <c r="G38" s="9">
        <v>2</v>
      </c>
      <c r="H38" s="9">
        <v>1</v>
      </c>
      <c r="I38" s="9">
        <v>1</v>
      </c>
      <c r="J38" s="9" t="str">
        <f>CONCATENATE(C38, "_", E38, IF(E38&lt;&gt;"",",",""), F38, IF(F38&lt;&gt;"",",",""),  G38, IF(G38&lt;&gt;"",",",""),  H38, IF(I38&lt;&gt;"","(",""), I38, IF(I38&lt;&gt;"",")",""))</f>
        <v>kappa_1,2,1(1)</v>
      </c>
      <c r="K38" s="9">
        <v>0.06</v>
      </c>
      <c r="N38" s="9" t="s">
        <v>47</v>
      </c>
    </row>
    <row r="39" spans="1:15" ht="51">
      <c r="A39" s="20" t="s">
        <v>74</v>
      </c>
      <c r="B39" s="21" t="str">
        <f>CONCATENATE("Rate of IPT initiation from TB compartment ",VLOOKUP(E39,TB_SET,2)," and HIV compartment ",VLOOKUP(G39,HIV_SET,2)," for gender ",VLOOKUP(H39,G_SET,2), " under policy ", VLOOKUP(I39, P_SET,2))</f>
        <v>Rate of IPT initiation from TB compartment  Uninfected, not on IPT and HIV compartment  PLHIV not on ART, CD4&gt;200 for gender Male under policy Community ART</v>
      </c>
      <c r="C39" s="8" t="s">
        <v>42</v>
      </c>
      <c r="D39" s="8" t="s">
        <v>43</v>
      </c>
      <c r="E39" s="8">
        <v>1</v>
      </c>
      <c r="G39" s="9">
        <v>2</v>
      </c>
      <c r="H39" s="9">
        <v>1</v>
      </c>
      <c r="I39" s="9">
        <v>2</v>
      </c>
      <c r="J39" s="9" t="str">
        <f>CONCATENATE(C39, "_", E39, IF(E39&lt;&gt;"",",",""), F39, IF(F39&lt;&gt;"",",",""),  G39, IF(G39&lt;&gt;"",",",""),  H39, IF(I39&lt;&gt;"","(",""), I39, IF(I39&lt;&gt;"",")",""))</f>
        <v>kappa_1,2,1(2)</v>
      </c>
      <c r="K39" s="9">
        <v>0.06</v>
      </c>
      <c r="N39" s="9" t="s">
        <v>47</v>
      </c>
      <c r="O39" s="10" t="s">
        <v>75</v>
      </c>
    </row>
    <row r="40" spans="1:15" ht="51">
      <c r="A40" s="20" t="s">
        <v>46</v>
      </c>
      <c r="B40" s="21" t="str">
        <f>CONCATENATE("Rate of IPT initiation from TB compartment ",VLOOKUP(E40,TB_SET,2)," and HIV compartment ",VLOOKUP(G40,HIV_SET,2)," for gender ",VLOOKUP(H40,G_SET,2), " under policy ", VLOOKUP(I40, P_SET,2))</f>
        <v>Rate of IPT initiation from TB compartment  Uninfected, not on IPT and HIV compartment  PLHIV not on ART, CD4&gt;200 for gender Male under policy Community ART + IPT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3</v>
      </c>
      <c r="J40" s="9" t="str">
        <f>CONCATENATE(C40, "_", E40, IF(E40&lt;&gt;"",",",""), F40, IF(F40&lt;&gt;"",",",""),  G40, IF(G40&lt;&gt;"",",",""),  H40, IF(I40&lt;&gt;"","(",""), I40, IF(I40&lt;&gt;"",")",""))</f>
        <v>kappa_1,2,1(3)</v>
      </c>
      <c r="K40" s="9">
        <v>0.91</v>
      </c>
      <c r="N40" s="9" t="s">
        <v>47</v>
      </c>
      <c r="O40" s="10" t="s">
        <v>48</v>
      </c>
    </row>
    <row r="41" spans="1:15" ht="51">
      <c r="A41" s="20" t="s">
        <v>101</v>
      </c>
      <c r="B41" s="21" t="str">
        <f>CONCATENATE("Rate of IPT initiation from TB compartment ",VLOOKUP(E41,TB_SET,2)," and HIV compartment ",VLOOKUP(G41,HIV_SET,2)," for gender ",VLOOKUP(H41,G_SET,2), " under policy ", VLOOKUP(I41, P_SET,2))</f>
        <v>Rate of IPT initiation from TB compartment  Uninfected, not on IPT and HIV compartment  PLHIV not on ART, CD4&gt;200 for gender Female under policy Standard (baseline)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1</v>
      </c>
      <c r="J41" s="9" t="str">
        <f>CONCATENATE(C41, "_", E41, IF(E41&lt;&gt;"",",",""), F41, IF(F41&lt;&gt;"",",",""),  G41, IF(G41&lt;&gt;"",",",""),  H41, IF(I41&lt;&gt;"","(",""), I41, IF(I41&lt;&gt;"",")",""))</f>
        <v>kappa_1,2,2(1)</v>
      </c>
      <c r="K41" s="9">
        <v>0.06</v>
      </c>
      <c r="N41" s="9" t="s">
        <v>47</v>
      </c>
    </row>
    <row r="42" spans="1:15" ht="51">
      <c r="A42" s="20" t="s">
        <v>76</v>
      </c>
      <c r="B42" s="21" t="str">
        <f>CONCATENATE("Rate of IPT initiation from TB compartment ",VLOOKUP(E42,TB_SET,2)," and HIV compartment ",VLOOKUP(G42,HIV_SET,2)," for gender ",VLOOKUP(H42,G_SET,2), " under policy ", VLOOKUP(I42, P_SET,2))</f>
        <v>Rate of IPT initiation from TB compartment  Uninfected, not on IPT and HIV compartment  PLHIV not on ART, CD4&gt;200 for gender Female under policy Community ART</v>
      </c>
      <c r="C42" s="8" t="s">
        <v>42</v>
      </c>
      <c r="D42" s="8" t="s">
        <v>43</v>
      </c>
      <c r="E42" s="8">
        <v>1</v>
      </c>
      <c r="G42" s="9">
        <v>2</v>
      </c>
      <c r="H42" s="9">
        <v>2</v>
      </c>
      <c r="I42" s="9">
        <v>2</v>
      </c>
      <c r="J42" s="9" t="str">
        <f>CONCATENATE(C42, "_", E42, IF(E42&lt;&gt;"",",",""), F42, IF(F42&lt;&gt;"",",",""),  G42, IF(G42&lt;&gt;"",",",""),  H42, IF(I42&lt;&gt;"","(",""), I42, IF(I42&lt;&gt;"",")",""))</f>
        <v>kappa_1,2,2(2)</v>
      </c>
      <c r="K42" s="9">
        <v>0.06</v>
      </c>
      <c r="N42" s="9" t="s">
        <v>47</v>
      </c>
      <c r="O42" s="10" t="s">
        <v>75</v>
      </c>
    </row>
    <row r="43" spans="1:15" ht="51">
      <c r="A43" s="20" t="s">
        <v>49</v>
      </c>
      <c r="B43" s="21" t="str">
        <f>CONCATENATE("Rate of IPT initiation from TB compartment ",VLOOKUP(E43,TB_SET,2)," and HIV compartment ",VLOOKUP(G43,HIV_SET,2)," for gender ",VLOOKUP(H43,G_SET,2), " under policy ", VLOOKUP(I43, P_SET,2))</f>
        <v>Rate of IPT initiation from TB compartment  Uninfected, not on IPT and HIV compartment  PLHIV not on ART, CD4&gt;200 for gender Female under policy Community ART + IPT</v>
      </c>
      <c r="C43" s="8" t="s">
        <v>42</v>
      </c>
      <c r="D43" s="8" t="s">
        <v>43</v>
      </c>
      <c r="E43" s="8">
        <v>1</v>
      </c>
      <c r="G43" s="9">
        <v>2</v>
      </c>
      <c r="H43" s="9">
        <v>2</v>
      </c>
      <c r="I43" s="9">
        <v>3</v>
      </c>
      <c r="J43" s="9" t="str">
        <f>CONCATENATE(C43, "_", E43, IF(E43&lt;&gt;"",",",""), F43, IF(F43&lt;&gt;"",",",""),  G43, IF(G43&lt;&gt;"",",",""),  H43, IF(I43&lt;&gt;"","(",""), I43, IF(I43&lt;&gt;"",")",""))</f>
        <v>kappa_1,2,2(3)</v>
      </c>
      <c r="K43" s="9">
        <v>0.91</v>
      </c>
      <c r="N43" s="9" t="s">
        <v>47</v>
      </c>
      <c r="O43" s="10" t="s">
        <v>48</v>
      </c>
    </row>
    <row r="44" spans="1:15" ht="51">
      <c r="A44" s="20" t="s">
        <v>102</v>
      </c>
      <c r="B44" s="21" t="str">
        <f>CONCATENATE("Rate of IPT initiation from TB compartment ",VLOOKUP(E44,TB_SET,2)," and HIV compartment ",VLOOKUP(G44,HIV_SET,2)," for gender ",VLOOKUP(H44,G_SET,2), " under policy ", VLOOKUP(I44, P_SET,2))</f>
        <v>Rate of IPT initiation from TB compartment  Uninfected, not on IPT and HIV compartment  PLHIV not on ART, CD4≤200 for gender Male under policy Standard (baseline)</v>
      </c>
      <c r="C44" s="8" t="s">
        <v>42</v>
      </c>
      <c r="D44" s="8" t="s">
        <v>43</v>
      </c>
      <c r="E44" s="8">
        <v>1</v>
      </c>
      <c r="G44" s="9">
        <v>3</v>
      </c>
      <c r="H44" s="9">
        <v>1</v>
      </c>
      <c r="I44" s="9">
        <v>1</v>
      </c>
      <c r="J44" s="9" t="str">
        <f>CONCATENATE(C44, "_", E44, IF(E44&lt;&gt;"",",",""), F44, IF(F44&lt;&gt;"",",",""),  G44, IF(G44&lt;&gt;"",",",""),  H44, IF(I44&lt;&gt;"","(",""), I44, IF(I44&lt;&gt;"",")",""))</f>
        <v>kappa_1,3,1(1)</v>
      </c>
      <c r="K44" s="9">
        <v>0.06</v>
      </c>
      <c r="N44" s="9" t="s">
        <v>47</v>
      </c>
    </row>
    <row r="45" spans="1:15" ht="51">
      <c r="A45" s="20" t="s">
        <v>77</v>
      </c>
      <c r="B45" s="21" t="str">
        <f>CONCATENATE("Rate of IPT initiation from TB compartment ",VLOOKUP(E45,TB_SET,2)," and HIV compartment ",VLOOKUP(G45,HIV_SET,2)," for gender ",VLOOKUP(H45,G_SET,2), " under policy ", VLOOKUP(I45, P_SET,2))</f>
        <v>Rate of IPT initiation from TB compartment  Uninfected, not on IPT and HIV compartment  PLHIV not on ART, CD4≤200 for gender Male under policy Community ART</v>
      </c>
      <c r="C45" s="8" t="s">
        <v>42</v>
      </c>
      <c r="D45" s="8" t="s">
        <v>43</v>
      </c>
      <c r="E45" s="8">
        <v>1</v>
      </c>
      <c r="G45" s="9">
        <v>3</v>
      </c>
      <c r="H45" s="9">
        <v>1</v>
      </c>
      <c r="I45" s="9">
        <v>2</v>
      </c>
      <c r="J45" s="9" t="str">
        <f>CONCATENATE(C45, "_", E45, IF(E45&lt;&gt;"",",",""), F45, IF(F45&lt;&gt;"",",",""),  G45, IF(G45&lt;&gt;"",",",""),  H45, IF(I45&lt;&gt;"","(",""), I45, IF(I45&lt;&gt;"",")",""))</f>
        <v>kappa_1,3,1(2)</v>
      </c>
      <c r="K45" s="9">
        <v>0.06</v>
      </c>
      <c r="N45" s="9" t="s">
        <v>47</v>
      </c>
      <c r="O45" s="10" t="s">
        <v>75</v>
      </c>
    </row>
    <row r="46" spans="1:15" ht="51">
      <c r="A46" s="20" t="s">
        <v>50</v>
      </c>
      <c r="B46" s="21" t="str">
        <f>CONCATENATE("Rate of IPT initiation from TB compartment ",VLOOKUP(E46,TB_SET,2)," and HIV compartment ",VLOOKUP(G46,HIV_SET,2)," for gender ",VLOOKUP(H46,G_SET,2), " under policy ", VLOOKUP(I46, P_SET,2))</f>
        <v>Rate of IPT initiation from TB compartment  Uninfected, not on IPT and HIV compartment  PLHIV not on ART, CD4≤200 for gender Male under policy Community ART + IPT</v>
      </c>
      <c r="C46" s="8" t="s">
        <v>42</v>
      </c>
      <c r="D46" s="8" t="s">
        <v>43</v>
      </c>
      <c r="E46" s="8">
        <v>1</v>
      </c>
      <c r="G46" s="9">
        <v>3</v>
      </c>
      <c r="H46" s="9">
        <v>1</v>
      </c>
      <c r="I46" s="9">
        <v>3</v>
      </c>
      <c r="J46" s="9" t="str">
        <f>CONCATENATE(C46, "_", E46, IF(E46&lt;&gt;"",",",""), F46, IF(F46&lt;&gt;"",",",""),  G46, IF(G46&lt;&gt;"",",",""),  H46, IF(I46&lt;&gt;"","(",""), I46, IF(I46&lt;&gt;"",")",""))</f>
        <v>kappa_1,3,1(3)</v>
      </c>
      <c r="K46" s="9">
        <v>0.91</v>
      </c>
      <c r="N46" s="9" t="s">
        <v>47</v>
      </c>
      <c r="O46" s="10" t="s">
        <v>48</v>
      </c>
    </row>
    <row r="47" spans="1:15" ht="51">
      <c r="A47" s="20" t="s">
        <v>103</v>
      </c>
      <c r="B47" s="21" t="str">
        <f>CONCATENATE("Rate of IPT initiation from TB compartment ",VLOOKUP(E47,TB_SET,2)," and HIV compartment ",VLOOKUP(G47,HIV_SET,2)," for gender ",VLOOKUP(H47,G_SET,2), " under policy ", VLOOKUP(I47, P_SET,2))</f>
        <v>Rate of IPT initiation from TB compartment  Uninfected, not on IPT and HIV compartment  PLHIV not on ART, CD4≤200 for gender Female under policy Standard (baseline)</v>
      </c>
      <c r="C47" s="8" t="s">
        <v>42</v>
      </c>
      <c r="D47" s="8" t="s">
        <v>43</v>
      </c>
      <c r="E47" s="8">
        <v>1</v>
      </c>
      <c r="G47" s="9">
        <v>3</v>
      </c>
      <c r="H47" s="9">
        <v>2</v>
      </c>
      <c r="I47" s="9">
        <v>1</v>
      </c>
      <c r="J47" s="9" t="str">
        <f>CONCATENATE(C47, "_", E47, IF(E47&lt;&gt;"",",",""), F47, IF(F47&lt;&gt;"",",",""),  G47, IF(G47&lt;&gt;"",",",""),  H47, IF(I47&lt;&gt;"","(",""), I47, IF(I47&lt;&gt;"",")",""))</f>
        <v>kappa_1,3,2(1)</v>
      </c>
      <c r="K47" s="9">
        <v>0.06</v>
      </c>
      <c r="N47" s="9" t="s">
        <v>47</v>
      </c>
    </row>
    <row r="48" spans="1:15" ht="51">
      <c r="A48" s="20" t="s">
        <v>78</v>
      </c>
      <c r="B48" s="21" t="str">
        <f>CONCATENATE("Rate of IPT initiation from TB compartment ",VLOOKUP(E48,TB_SET,2)," and HIV compartment ",VLOOKUP(G48,HIV_SET,2)," for gender ",VLOOKUP(H48,G_SET,2), " under policy ", VLOOKUP(I48, P_SET,2))</f>
        <v>Rate of IPT initiation from TB compartment  Uninfected, not on IPT and HIV compartment  PLHIV not on ART, CD4≤200 for gender Female under policy Community ART</v>
      </c>
      <c r="C48" s="8" t="s">
        <v>42</v>
      </c>
      <c r="D48" s="8" t="s">
        <v>43</v>
      </c>
      <c r="E48" s="8">
        <v>1</v>
      </c>
      <c r="G48" s="9">
        <v>3</v>
      </c>
      <c r="H48" s="9">
        <v>2</v>
      </c>
      <c r="I48" s="9">
        <v>2</v>
      </c>
      <c r="J48" s="9" t="str">
        <f>CONCATENATE(C48, "_", E48, IF(E48&lt;&gt;"",",",""), F48, IF(F48&lt;&gt;"",",",""),  G48, IF(G48&lt;&gt;"",",",""),  H48, IF(I48&lt;&gt;"","(",""), I48, IF(I48&lt;&gt;"",")",""))</f>
        <v>kappa_1,3,2(2)</v>
      </c>
      <c r="K48" s="9">
        <v>0.06</v>
      </c>
      <c r="N48" s="9" t="s">
        <v>47</v>
      </c>
      <c r="O48" s="10" t="s">
        <v>75</v>
      </c>
    </row>
    <row r="49" spans="1:15" ht="51">
      <c r="A49" s="20" t="s">
        <v>51</v>
      </c>
      <c r="B49" s="21" t="str">
        <f>CONCATENATE("Rate of IPT initiation from TB compartment ",VLOOKUP(E49,TB_SET,2)," and HIV compartment ",VLOOKUP(G49,HIV_SET,2)," for gender ",VLOOKUP(H49,G_SET,2), " under policy ", VLOOKUP(I49, P_SET,2))</f>
        <v>Rate of IPT initiation from TB compartment  Uninfected, not on IPT and HIV compartment  PLHIV not on ART, CD4≤200 for gender Female under policy Community ART + IPT</v>
      </c>
      <c r="C49" s="8" t="s">
        <v>42</v>
      </c>
      <c r="D49" s="8" t="s">
        <v>43</v>
      </c>
      <c r="E49" s="8">
        <v>1</v>
      </c>
      <c r="G49" s="9">
        <v>3</v>
      </c>
      <c r="H49" s="9">
        <v>2</v>
      </c>
      <c r="I49" s="9">
        <v>3</v>
      </c>
      <c r="J49" s="9" t="str">
        <f>CONCATENATE(C49, "_", E49, IF(E49&lt;&gt;"",",",""), F49, IF(F49&lt;&gt;"",",",""),  G49, IF(G49&lt;&gt;"",",",""),  H49, IF(I49&lt;&gt;"","(",""), I49, IF(I49&lt;&gt;"",")",""))</f>
        <v>kappa_1,3,2(3)</v>
      </c>
      <c r="K49" s="9">
        <v>0.91</v>
      </c>
      <c r="N49" s="9" t="s">
        <v>47</v>
      </c>
      <c r="O49" s="10" t="s">
        <v>48</v>
      </c>
    </row>
    <row r="50" spans="1:15" ht="51">
      <c r="A50" s="20" t="s">
        <v>104</v>
      </c>
      <c r="B50" s="21" t="str">
        <f>CONCATENATE("Rate of IPT initiation from TB compartment ",VLOOKUP(E50,TB_SET,2)," and HIV compartment ",VLOOKUP(G50,HIV_SET,2)," for gender ",VLOOKUP(H50,G_SET,2), " under policy ", VLOOKUP(I50, P_SET,2))</f>
        <v>Rate of IPT initiation from TB compartment  Uninfected, not on IPT and HIV compartment  PLHIV and on ART for gender Male under policy Standard (baseline)</v>
      </c>
      <c r="C50" s="8" t="s">
        <v>42</v>
      </c>
      <c r="D50" s="8" t="s">
        <v>43</v>
      </c>
      <c r="E50" s="8">
        <v>1</v>
      </c>
      <c r="G50" s="9">
        <v>4</v>
      </c>
      <c r="H50" s="9">
        <v>1</v>
      </c>
      <c r="I50" s="9">
        <v>1</v>
      </c>
      <c r="J50" s="9" t="str">
        <f>CONCATENATE(C50, "_", E50, IF(E50&lt;&gt;"",",",""), F50, IF(F50&lt;&gt;"",",",""),  G50, IF(G50&lt;&gt;"",",",""),  H50, IF(I50&lt;&gt;"","(",""), I50, IF(I50&lt;&gt;"",")",""))</f>
        <v>kappa_1,4,1(1)</v>
      </c>
      <c r="K50" s="9">
        <v>0.06</v>
      </c>
      <c r="N50" s="9" t="s">
        <v>47</v>
      </c>
    </row>
    <row r="51" spans="1:15" ht="51">
      <c r="A51" s="20" t="s">
        <v>79</v>
      </c>
      <c r="B51" s="21" t="str">
        <f>CONCATENATE("Rate of IPT initiation from TB compartment ",VLOOKUP(E51,TB_SET,2)," and HIV compartment ",VLOOKUP(G51,HIV_SET,2)," for gender ",VLOOKUP(H51,G_SET,2), " under policy ", VLOOKUP(I51, P_SET,2))</f>
        <v>Rate of IPT initiation from TB compartment  Uninfected, not on IPT and HIV compartment  PLHIV and on ART for gender Male under policy Community ART</v>
      </c>
      <c r="C51" s="8" t="s">
        <v>42</v>
      </c>
      <c r="D51" s="8" t="s">
        <v>43</v>
      </c>
      <c r="E51" s="8">
        <v>1</v>
      </c>
      <c r="G51" s="9">
        <v>4</v>
      </c>
      <c r="H51" s="9">
        <v>1</v>
      </c>
      <c r="I51" s="9">
        <v>2</v>
      </c>
      <c r="J51" s="9" t="str">
        <f>CONCATENATE(C51, "_", E51, IF(E51&lt;&gt;"",",",""), F51, IF(F51&lt;&gt;"",",",""),  G51, IF(G51&lt;&gt;"",",",""),  H51, IF(I51&lt;&gt;"","(",""), I51, IF(I51&lt;&gt;"",")",""))</f>
        <v>kappa_1,4,1(2)</v>
      </c>
      <c r="K51" s="9">
        <v>0.06</v>
      </c>
      <c r="N51" s="9" t="s">
        <v>47</v>
      </c>
      <c r="O51" s="10" t="s">
        <v>75</v>
      </c>
    </row>
    <row r="52" spans="1:15" ht="51">
      <c r="A52" s="20" t="s">
        <v>52</v>
      </c>
      <c r="B52" s="21" t="str">
        <f>CONCATENATE("Rate of IPT initiation from TB compartment ",VLOOKUP(E52,TB_SET,2)," and HIV compartment ",VLOOKUP(G52,HIV_SET,2)," for gender ",VLOOKUP(H52,G_SET,2), " under policy ", VLOOKUP(I52, P_SET,2))</f>
        <v>Rate of IPT initiation from TB compartment  Uninfected, not on IPT and HIV compartment  PLHIV and on ART for gender Male under policy Community ART + IPT</v>
      </c>
      <c r="C52" s="8" t="s">
        <v>42</v>
      </c>
      <c r="D52" s="8" t="s">
        <v>43</v>
      </c>
      <c r="E52" s="8">
        <v>1</v>
      </c>
      <c r="G52" s="9">
        <v>4</v>
      </c>
      <c r="H52" s="9">
        <v>1</v>
      </c>
      <c r="I52" s="9">
        <v>3</v>
      </c>
      <c r="J52" s="9" t="str">
        <f>CONCATENATE(C52, "_", E52, IF(E52&lt;&gt;"",",",""), F52, IF(F52&lt;&gt;"",",",""),  G52, IF(G52&lt;&gt;"",",",""),  H52, IF(I52&lt;&gt;"","(",""), I52, IF(I52&lt;&gt;"",")",""))</f>
        <v>kappa_1,4,1(3)</v>
      </c>
      <c r="K52" s="9">
        <v>0.91</v>
      </c>
      <c r="N52" s="9" t="s">
        <v>47</v>
      </c>
      <c r="O52" s="10" t="s">
        <v>48</v>
      </c>
    </row>
    <row r="53" spans="1:15" ht="51">
      <c r="A53" s="20" t="s">
        <v>105</v>
      </c>
      <c r="B53" s="21" t="str">
        <f>CONCATENATE("Rate of IPT initiation from TB compartment ",VLOOKUP(E53,TB_SET,2)," and HIV compartment ",VLOOKUP(G53,HIV_SET,2)," for gender ",VLOOKUP(H53,G_SET,2), " under policy ", VLOOKUP(I53, P_SET,2))</f>
        <v>Rate of IPT initiation from TB compartment  Uninfected, not on IPT and HIV compartment  PLHIV and on ART for gender Female under policy Standard (baseline)</v>
      </c>
      <c r="C53" s="8" t="s">
        <v>42</v>
      </c>
      <c r="D53" s="8" t="s">
        <v>43</v>
      </c>
      <c r="E53" s="8">
        <v>1</v>
      </c>
      <c r="G53" s="9">
        <v>4</v>
      </c>
      <c r="H53" s="9">
        <v>2</v>
      </c>
      <c r="I53" s="9">
        <v>1</v>
      </c>
      <c r="J53" s="9" t="str">
        <f>CONCATENATE(C53, "_", E53, IF(E53&lt;&gt;"",",",""), F53, IF(F53&lt;&gt;"",",",""),  G53, IF(G53&lt;&gt;"",",",""),  H53, IF(I53&lt;&gt;"","(",""), I53, IF(I53&lt;&gt;"",")",""))</f>
        <v>kappa_1,4,2(1)</v>
      </c>
      <c r="K53" s="9">
        <v>0.06</v>
      </c>
      <c r="N53" s="9" t="s">
        <v>47</v>
      </c>
    </row>
    <row r="54" spans="1:15" ht="51">
      <c r="A54" s="20" t="s">
        <v>80</v>
      </c>
      <c r="B54" s="21" t="str">
        <f>CONCATENATE("Rate of IPT initiation from TB compartment ",VLOOKUP(E54,TB_SET,2)," and HIV compartment ",VLOOKUP(G54,HIV_SET,2)," for gender ",VLOOKUP(H54,G_SET,2), " under policy ", VLOOKUP(I54, P_SET,2))</f>
        <v>Rate of IPT initiation from TB compartment  Uninfected, not on IPT and HIV compartment  PLHIV and on ART for gender Female under policy Community ART</v>
      </c>
      <c r="C54" s="8" t="s">
        <v>42</v>
      </c>
      <c r="D54" s="8" t="s">
        <v>43</v>
      </c>
      <c r="E54" s="8">
        <v>1</v>
      </c>
      <c r="G54" s="9">
        <v>4</v>
      </c>
      <c r="H54" s="9">
        <v>2</v>
      </c>
      <c r="I54" s="9">
        <v>2</v>
      </c>
      <c r="J54" s="9" t="str">
        <f>CONCATENATE(C54, "_", E54, IF(E54&lt;&gt;"",",",""), F54, IF(F54&lt;&gt;"",",",""),  G54, IF(G54&lt;&gt;"",",",""),  H54, IF(I54&lt;&gt;"","(",""), I54, IF(I54&lt;&gt;"",")",""))</f>
        <v>kappa_1,4,2(2)</v>
      </c>
      <c r="K54" s="9">
        <v>0.06</v>
      </c>
      <c r="N54" s="9" t="s">
        <v>47</v>
      </c>
      <c r="O54" s="10" t="s">
        <v>75</v>
      </c>
    </row>
    <row r="55" spans="1:15" ht="51">
      <c r="A55" s="20" t="s">
        <v>53</v>
      </c>
      <c r="B55" s="21" t="str">
        <f>CONCATENATE("Rate of IPT initiation from TB compartment ",VLOOKUP(E55,TB_SET,2)," and HIV compartment ",VLOOKUP(G55,HIV_SET,2)," for gender ",VLOOKUP(H55,G_SET,2), " under policy ", VLOOKUP(I55, P_SET,2))</f>
        <v>Rate of IPT initiation from TB compartment  Uninfected, not on IPT and HIV compartment  PLHIV and on ART for gender Female under policy Community ART + IPT</v>
      </c>
      <c r="C55" s="8" t="s">
        <v>42</v>
      </c>
      <c r="D55" s="8" t="s">
        <v>43</v>
      </c>
      <c r="E55" s="8">
        <v>1</v>
      </c>
      <c r="G55" s="9">
        <v>4</v>
      </c>
      <c r="H55" s="9">
        <v>2</v>
      </c>
      <c r="I55" s="9">
        <v>3</v>
      </c>
      <c r="J55" s="9" t="str">
        <f>CONCATENATE(C55, "_", E55, IF(E55&lt;&gt;"",",",""), F55, IF(F55&lt;&gt;"",",",""),  G55, IF(G55&lt;&gt;"",",",""),  H55, IF(I55&lt;&gt;"","(",""), I55, IF(I55&lt;&gt;"",")",""))</f>
        <v>kappa_1,4,2(3)</v>
      </c>
      <c r="K55" s="9">
        <v>0.91</v>
      </c>
      <c r="N55" s="9" t="s">
        <v>47</v>
      </c>
      <c r="O55" s="10" t="s">
        <v>48</v>
      </c>
    </row>
    <row r="56" spans="1:15" ht="68">
      <c r="A56" s="20" t="s">
        <v>106</v>
      </c>
      <c r="B56" s="21" t="str">
        <f>CONCATENATE("Rate of IPT initiation from TB compartment ",VLOOKUP(E56,TB_SET,2)," and HIV compartment ",VLOOKUP(G56,HIV_SET,2)," for gender ",VLOOKUP(H56,G_SET,2), " under policy ", VLOOKUP(I56, P_SET,2))</f>
        <v>Rate of IPT initiation from TB compartment  LTBI, infected recently (at risk for rapid progression) and HIV compartment  HIV-negative for gender Male under policy Standard (baseline)</v>
      </c>
      <c r="C56" s="8" t="s">
        <v>42</v>
      </c>
      <c r="D56" s="8" t="s">
        <v>43</v>
      </c>
      <c r="E56" s="8">
        <v>3</v>
      </c>
      <c r="G56" s="9">
        <v>1</v>
      </c>
      <c r="H56" s="9">
        <v>1</v>
      </c>
      <c r="I56" s="9">
        <v>1</v>
      </c>
      <c r="J56" s="9" t="str">
        <f>CONCATENATE(C56, "_", E56, IF(E56&lt;&gt;"",",",""), F56, IF(F56&lt;&gt;"",",",""),  G56, IF(G56&lt;&gt;"",",",""),  H56, IF(I56&lt;&gt;"","(",""), I56, IF(I56&lt;&gt;"",")",""))</f>
        <v>kappa_3,1,1(1)</v>
      </c>
      <c r="K56" s="9">
        <v>0</v>
      </c>
      <c r="O56" s="10" t="s">
        <v>90</v>
      </c>
    </row>
    <row r="57" spans="1:15" ht="51">
      <c r="A57" s="20" t="s">
        <v>81</v>
      </c>
      <c r="B57" s="21" t="str">
        <f>CONCATENATE("Rate of IPT initiation from TB compartment ",VLOOKUP(E57,TB_SET,2)," and HIV compartment ",VLOOKUP(G57,HIV_SET,2)," for gender ",VLOOKUP(H57,G_SET,2), " under policy ", VLOOKUP(I57, P_SET,2))</f>
        <v>Rate of IPT initiation from TB compartment  LTBI, infected recently (at risk for rapid progression) and HIV compartment  HIV-negative for gender Male under policy Community ART</v>
      </c>
      <c r="C57" s="8" t="s">
        <v>42</v>
      </c>
      <c r="D57" s="8" t="s">
        <v>43</v>
      </c>
      <c r="E57" s="8">
        <v>3</v>
      </c>
      <c r="G57" s="9">
        <v>1</v>
      </c>
      <c r="H57" s="9">
        <v>1</v>
      </c>
      <c r="I57" s="9">
        <v>2</v>
      </c>
      <c r="J57" s="9" t="str">
        <f>CONCATENATE(C57, "_", E57, IF(E57&lt;&gt;"",",",""), F57, IF(F57&lt;&gt;"",",",""),  G57, IF(G57&lt;&gt;"",",",""),  H57, IF(I57&lt;&gt;"","(",""), I57, IF(I57&lt;&gt;"",")",""))</f>
        <v>kappa_3,1,1(2)</v>
      </c>
      <c r="K57" s="9">
        <v>0</v>
      </c>
      <c r="N57" s="9">
        <v>0</v>
      </c>
      <c r="O57" s="10" t="s">
        <v>72</v>
      </c>
    </row>
    <row r="58" spans="1:15" ht="68">
      <c r="A58" s="20" t="s">
        <v>54</v>
      </c>
      <c r="B58" s="21" t="str">
        <f>CONCATENATE("Rate of IPT initiation from TB compartment ",VLOOKUP(E58,TB_SET,2)," and HIV compartment ",VLOOKUP(G58,HIV_SET,2)," for gender ",VLOOKUP(H58,G_SET,2), " under policy ", VLOOKUP(I58, P_SET,2))</f>
        <v>Rate of IPT initiation from TB compartment  LTBI, infected recently (at risk for rapid progression) and HIV compartment  HIV-negative for gender Male under policy Community ART + IPT</v>
      </c>
      <c r="C58" s="8" t="s">
        <v>42</v>
      </c>
      <c r="D58" s="8" t="s">
        <v>43</v>
      </c>
      <c r="E58" s="8">
        <v>3</v>
      </c>
      <c r="G58" s="9">
        <v>1</v>
      </c>
      <c r="H58" s="9">
        <v>1</v>
      </c>
      <c r="I58" s="9">
        <v>3</v>
      </c>
      <c r="J58" s="9" t="str">
        <f>CONCATENATE(C58, "_", E58, IF(E58&lt;&gt;"",",",""), F58, IF(F58&lt;&gt;"",",",""),  G58, IF(G58&lt;&gt;"",",",""),  H58, IF(I58&lt;&gt;"","(",""), I58, IF(I58&lt;&gt;"",")",""))</f>
        <v>kappa_3,1,1(3)</v>
      </c>
      <c r="K58" s="9">
        <v>0</v>
      </c>
      <c r="O58" s="10" t="s">
        <v>44</v>
      </c>
    </row>
    <row r="59" spans="1:15" ht="68">
      <c r="A59" s="20" t="s">
        <v>107</v>
      </c>
      <c r="B59" s="21" t="str">
        <f>CONCATENATE("Rate of IPT initiation from TB compartment ",VLOOKUP(E59,TB_SET,2)," and HIV compartment ",VLOOKUP(G59,HIV_SET,2)," for gender ",VLOOKUP(H59,G_SET,2), " under policy ", VLOOKUP(I59, P_SET,2))</f>
        <v>Rate of IPT initiation from TB compartment  LTBI, infected recently (at risk for rapid progression) and HIV compartment  HIV-negative for gender Female under policy Standard (baseline)</v>
      </c>
      <c r="C59" s="8" t="s">
        <v>42</v>
      </c>
      <c r="D59" s="8" t="s">
        <v>43</v>
      </c>
      <c r="E59" s="8">
        <v>3</v>
      </c>
      <c r="G59" s="9">
        <v>1</v>
      </c>
      <c r="H59" s="9">
        <v>2</v>
      </c>
      <c r="I59" s="9">
        <v>1</v>
      </c>
      <c r="J59" s="9" t="str">
        <f>CONCATENATE(C59, "_", E59, IF(E59&lt;&gt;"",",",""), F59, IF(F59&lt;&gt;"",",",""),  G59, IF(G59&lt;&gt;"",",",""),  H59, IF(I59&lt;&gt;"","(",""), I59, IF(I59&lt;&gt;"",")",""))</f>
        <v>kappa_3,1,2(1)</v>
      </c>
      <c r="K59" s="9">
        <v>0</v>
      </c>
      <c r="O59" s="10" t="s">
        <v>90</v>
      </c>
    </row>
    <row r="60" spans="1:15" ht="51">
      <c r="A60" s="20" t="s">
        <v>82</v>
      </c>
      <c r="B60" s="21" t="str">
        <f>CONCATENATE("Rate of IPT initiation from TB compartment ",VLOOKUP(E60,TB_SET,2)," and HIV compartment ",VLOOKUP(G60,HIV_SET,2)," for gender ",VLOOKUP(H60,G_SET,2), " under policy ", VLOOKUP(I60, P_SET,2))</f>
        <v>Rate of IPT initiation from TB compartment  LTBI, infected recently (at risk for rapid progression) and HIV compartment  HIV-negative for gender Female under policy Community ART</v>
      </c>
      <c r="C60" s="8" t="s">
        <v>42</v>
      </c>
      <c r="D60" s="8" t="s">
        <v>43</v>
      </c>
      <c r="E60" s="8">
        <v>3</v>
      </c>
      <c r="G60" s="9">
        <v>1</v>
      </c>
      <c r="H60" s="9">
        <v>2</v>
      </c>
      <c r="I60" s="9">
        <v>2</v>
      </c>
      <c r="J60" s="9" t="str">
        <f>CONCATENATE(C60, "_", E60, IF(E60&lt;&gt;"",",",""), F60, IF(F60&lt;&gt;"",",",""),  G60, IF(G60&lt;&gt;"",",",""),  H60, IF(I60&lt;&gt;"","(",""), I60, IF(I60&lt;&gt;"",")",""))</f>
        <v>kappa_3,1,2(2)</v>
      </c>
      <c r="K60" s="9">
        <v>0</v>
      </c>
      <c r="N60" s="9">
        <v>0</v>
      </c>
      <c r="O60" s="10" t="s">
        <v>72</v>
      </c>
    </row>
    <row r="61" spans="1:15" ht="68">
      <c r="A61" s="20" t="s">
        <v>55</v>
      </c>
      <c r="B61" s="21" t="str">
        <f>CONCATENATE("Rate of IPT initiation from TB compartment ",VLOOKUP(E61,TB_SET,2)," and HIV compartment ",VLOOKUP(G61,HIV_SET,2)," for gender ",VLOOKUP(H61,G_SET,2), " under policy ", VLOOKUP(I61, P_SET,2))</f>
        <v>Rate of IPT initiation from TB compartment  LTBI, infected recently (at risk for rapid progression) and HIV compartment  HIV-negative for gender Female under policy Community ART + IPT</v>
      </c>
      <c r="C61" s="8" t="s">
        <v>42</v>
      </c>
      <c r="D61" s="8" t="s">
        <v>43</v>
      </c>
      <c r="E61" s="8">
        <v>3</v>
      </c>
      <c r="G61" s="9">
        <v>1</v>
      </c>
      <c r="H61" s="9">
        <v>2</v>
      </c>
      <c r="I61" s="9">
        <v>3</v>
      </c>
      <c r="J61" s="9" t="str">
        <f>CONCATENATE(C61, "_", E61, IF(E61&lt;&gt;"",",",""), F61, IF(F61&lt;&gt;"",",",""),  G61, IF(G61&lt;&gt;"",",",""),  H61, IF(I61&lt;&gt;"","(",""), I61, IF(I61&lt;&gt;"",")",""))</f>
        <v>kappa_3,1,2(3)</v>
      </c>
      <c r="K61" s="9">
        <v>0</v>
      </c>
      <c r="O61" s="10" t="s">
        <v>44</v>
      </c>
    </row>
    <row r="62" spans="1:15" ht="68">
      <c r="A62" s="20" t="s">
        <v>108</v>
      </c>
      <c r="B62" s="21" t="str">
        <f>CONCATENATE("Rate of IPT initiation from TB compartment ",VLOOKUP(E62,TB_SET,2)," and HIV compartment ",VLOOKUP(G62,HIV_SET,2)," for gender ",VLOOKUP(H62,G_SET,2), " under policy ", VLOOKUP(I62, P_SET,2))</f>
        <v>Rate of IPT initiation from TB compartment  LTBI, infected recently (at risk for rapid progression) and HIV compartment  PLHIV not on ART, CD4&gt;200 for gender Male under policy Standard (baseline)</v>
      </c>
      <c r="C62" s="8" t="s">
        <v>42</v>
      </c>
      <c r="D62" s="8" t="s">
        <v>43</v>
      </c>
      <c r="E62" s="8">
        <v>3</v>
      </c>
      <c r="G62" s="9">
        <v>2</v>
      </c>
      <c r="H62" s="9">
        <v>1</v>
      </c>
      <c r="I62" s="9">
        <v>1</v>
      </c>
      <c r="J62" s="9" t="str">
        <f>CONCATENATE(C62, "_", E62, IF(E62&lt;&gt;"",",",""), F62, IF(F62&lt;&gt;"",",",""),  G62, IF(G62&lt;&gt;"",",",""),  H62, IF(I62&lt;&gt;"","(",""), I62, IF(I62&lt;&gt;"",")",""))</f>
        <v>kappa_3,2,1(1)</v>
      </c>
      <c r="K62" s="9">
        <v>0.06</v>
      </c>
      <c r="N62" s="9" t="s">
        <v>47</v>
      </c>
    </row>
    <row r="63" spans="1:15" ht="68">
      <c r="A63" s="20" t="s">
        <v>83</v>
      </c>
      <c r="B63" s="21" t="str">
        <f>CONCATENATE("Rate of IPT initiation from TB compartment ",VLOOKUP(E63,TB_SET,2)," and HIV compartment ",VLOOKUP(G63,HIV_SET,2)," for gender ",VLOOKUP(H63,G_SET,2), " under policy ", VLOOKUP(I63, P_SET,2))</f>
        <v>Rate of IPT initiation from TB compartment  LTBI, infected recently (at risk for rapid progression) and HIV compartment  PLHIV not on ART, CD4&gt;200 for gender Male under policy Community ART</v>
      </c>
      <c r="C63" s="8" t="s">
        <v>42</v>
      </c>
      <c r="D63" s="8" t="s">
        <v>43</v>
      </c>
      <c r="E63" s="8">
        <v>3</v>
      </c>
      <c r="G63" s="9">
        <v>2</v>
      </c>
      <c r="H63" s="9">
        <v>1</v>
      </c>
      <c r="I63" s="9">
        <v>2</v>
      </c>
      <c r="J63" s="9" t="str">
        <f>CONCATENATE(C63, "_", E63, IF(E63&lt;&gt;"",",",""), F63, IF(F63&lt;&gt;"",",",""),  G63, IF(G63&lt;&gt;"",",",""),  H63, IF(I63&lt;&gt;"","(",""), I63, IF(I63&lt;&gt;"",")",""))</f>
        <v>kappa_3,2,1(2)</v>
      </c>
      <c r="K63" s="9">
        <v>0.06</v>
      </c>
      <c r="N63" s="9" t="s">
        <v>47</v>
      </c>
    </row>
    <row r="64" spans="1:15" ht="68">
      <c r="A64" s="20" t="s">
        <v>56</v>
      </c>
      <c r="B64" s="21" t="str">
        <f>CONCATENATE("Rate of IPT initiation from TB compartment ",VLOOKUP(E64,TB_SET,2)," and HIV compartment ",VLOOKUP(G64,HIV_SET,2)," for gender ",VLOOKUP(H64,G_SET,2), " under policy ", VLOOKUP(I64, P_SET,2))</f>
        <v>Rate of IPT initiation from TB compartment  LTBI, infected recently (at risk for rapid progression) and HIV compartment  PLHIV not on ART, CD4&gt;200 for gender Male under policy Community ART + IPT</v>
      </c>
      <c r="C64" s="8" t="s">
        <v>42</v>
      </c>
      <c r="D64" s="8" t="s">
        <v>43</v>
      </c>
      <c r="E64" s="8">
        <v>3</v>
      </c>
      <c r="G64" s="9">
        <v>2</v>
      </c>
      <c r="H64" s="9">
        <v>1</v>
      </c>
      <c r="I64" s="9">
        <v>3</v>
      </c>
      <c r="J64" s="9" t="str">
        <f>CONCATENATE(C64, "_", E64, IF(E64&lt;&gt;"",",",""), F64, IF(F64&lt;&gt;"",",",""),  G64, IF(G64&lt;&gt;"",",",""),  H64, IF(I64&lt;&gt;"","(",""), I64, IF(I64&lt;&gt;"",")",""))</f>
        <v>kappa_3,2,1(3)</v>
      </c>
      <c r="K64" s="9">
        <v>0.91</v>
      </c>
      <c r="N64" s="9" t="s">
        <v>47</v>
      </c>
      <c r="O64" s="10" t="s">
        <v>57</v>
      </c>
    </row>
    <row r="65" spans="1:15" ht="68">
      <c r="A65" s="20" t="s">
        <v>109</v>
      </c>
      <c r="B65" s="21" t="str">
        <f>CONCATENATE("Rate of IPT initiation from TB compartment ",VLOOKUP(E65,TB_SET,2)," and HIV compartment ",VLOOKUP(G65,HIV_SET,2)," for gender ",VLOOKUP(H65,G_SET,2), " under policy ", VLOOKUP(I65, P_SET,2))</f>
        <v>Rate of IPT initiation from TB compartment  LTBI, infected recently (at risk for rapid progression) and HIV compartment  PLHIV not on ART, CD4&gt;200 for gender Female under policy Standard (baseline)</v>
      </c>
      <c r="C65" s="8" t="s">
        <v>42</v>
      </c>
      <c r="D65" s="8" t="s">
        <v>43</v>
      </c>
      <c r="E65" s="8">
        <v>3</v>
      </c>
      <c r="G65" s="9">
        <v>2</v>
      </c>
      <c r="H65" s="9">
        <v>2</v>
      </c>
      <c r="I65" s="9">
        <v>1</v>
      </c>
      <c r="J65" s="9" t="str">
        <f>CONCATENATE(C65, "_", E65, IF(E65&lt;&gt;"",",",""), F65, IF(F65&lt;&gt;"",",",""),  G65, IF(G65&lt;&gt;"",",",""),  H65, IF(I65&lt;&gt;"","(",""), I65, IF(I65&lt;&gt;"",")",""))</f>
        <v>kappa_3,2,2(1)</v>
      </c>
      <c r="K65" s="9">
        <v>0.06</v>
      </c>
      <c r="N65" s="9" t="s">
        <v>47</v>
      </c>
    </row>
    <row r="66" spans="1:15" ht="68">
      <c r="A66" s="20" t="s">
        <v>84</v>
      </c>
      <c r="B66" s="21" t="str">
        <f>CONCATENATE("Rate of IPT initiation from TB compartment ",VLOOKUP(E66,TB_SET,2)," and HIV compartment ",VLOOKUP(G66,HIV_SET,2)," for gender ",VLOOKUP(H66,G_SET,2), " under policy ", VLOOKUP(I66, P_SET,2))</f>
        <v>Rate of IPT initiation from TB compartment  LTBI, infected recently (at risk for rapid progression) and HIV compartment  PLHIV not on ART, CD4&gt;200 for gender Female under policy Community ART</v>
      </c>
      <c r="C66" s="8" t="s">
        <v>42</v>
      </c>
      <c r="D66" s="8" t="s">
        <v>43</v>
      </c>
      <c r="E66" s="8">
        <v>3</v>
      </c>
      <c r="G66" s="9">
        <v>2</v>
      </c>
      <c r="H66" s="9">
        <v>2</v>
      </c>
      <c r="I66" s="9">
        <v>2</v>
      </c>
      <c r="J66" s="9" t="str">
        <f>CONCATENATE(C66, "_", E66, IF(E66&lt;&gt;"",",",""), F66, IF(F66&lt;&gt;"",",",""),  G66, IF(G66&lt;&gt;"",",",""),  H66, IF(I66&lt;&gt;"","(",""), I66, IF(I66&lt;&gt;"",")",""))</f>
        <v>kappa_3,2,2(2)</v>
      </c>
      <c r="K66" s="9">
        <v>0.06</v>
      </c>
      <c r="N66" s="9" t="s">
        <v>47</v>
      </c>
    </row>
    <row r="67" spans="1:15" ht="68">
      <c r="A67" s="20" t="s">
        <v>58</v>
      </c>
      <c r="B67" s="21" t="str">
        <f>CONCATENATE("Rate of IPT initiation from TB compartment ",VLOOKUP(E67,TB_SET,2)," and HIV compartment ",VLOOKUP(G67,HIV_SET,2)," for gender ",VLOOKUP(H67,G_SET,2), " under policy ", VLOOKUP(I67, P_SET,2))</f>
        <v>Rate of IPT initiation from TB compartment  LTBI, infected recently (at risk for rapid progression) and HIV compartment  PLHIV not on ART, CD4&gt;200 for gender Female under policy Community ART + IPT</v>
      </c>
      <c r="C67" s="8" t="s">
        <v>42</v>
      </c>
      <c r="D67" s="8" t="s">
        <v>43</v>
      </c>
      <c r="E67" s="8">
        <v>3</v>
      </c>
      <c r="G67" s="9">
        <v>2</v>
      </c>
      <c r="H67" s="9">
        <v>2</v>
      </c>
      <c r="I67" s="9">
        <v>3</v>
      </c>
      <c r="J67" s="9" t="str">
        <f>CONCATENATE(C67, "_", E67, IF(E67&lt;&gt;"",",",""), F67, IF(F67&lt;&gt;"",",",""),  G67, IF(G67&lt;&gt;"",",",""),  H67, IF(I67&lt;&gt;"","(",""), I67, IF(I67&lt;&gt;"",")",""))</f>
        <v>kappa_3,2,2(3)</v>
      </c>
      <c r="K67" s="9">
        <v>0.91</v>
      </c>
      <c r="N67" s="9" t="s">
        <v>47</v>
      </c>
      <c r="O67" s="10" t="s">
        <v>57</v>
      </c>
    </row>
    <row r="68" spans="1:15" ht="68">
      <c r="A68" s="20" t="s">
        <v>110</v>
      </c>
      <c r="B68" s="21" t="str">
        <f>CONCATENATE("Rate of IPT initiation from TB compartment ",VLOOKUP(E68,TB_SET,2)," and HIV compartment ",VLOOKUP(G68,HIV_SET,2)," for gender ",VLOOKUP(H68,G_SET,2), " under policy ", VLOOKUP(I68, P_SET,2))</f>
        <v>Rate of IPT initiation from TB compartment  LTBI, infected recently (at risk for rapid progression) and HIV compartment  PLHIV not on ART, CD4≤200 for gender Male under policy Standard (baseline)</v>
      </c>
      <c r="C68" s="8" t="s">
        <v>42</v>
      </c>
      <c r="D68" s="8" t="s">
        <v>43</v>
      </c>
      <c r="E68" s="8">
        <v>3</v>
      </c>
      <c r="G68" s="9">
        <v>3</v>
      </c>
      <c r="H68" s="9">
        <v>1</v>
      </c>
      <c r="I68" s="9">
        <v>1</v>
      </c>
      <c r="J68" s="9" t="str">
        <f>CONCATENATE(C68, "_", E68, IF(E68&lt;&gt;"",",",""), F68, IF(F68&lt;&gt;"",",",""),  G68, IF(G68&lt;&gt;"",",",""),  H68, IF(I68&lt;&gt;"","(",""), I68, IF(I68&lt;&gt;"",")",""))</f>
        <v>kappa_3,3,1(1)</v>
      </c>
      <c r="K68" s="9">
        <v>0.06</v>
      </c>
      <c r="N68" s="9" t="s">
        <v>47</v>
      </c>
    </row>
    <row r="69" spans="1:15" ht="68">
      <c r="A69" s="20" t="s">
        <v>85</v>
      </c>
      <c r="B69" s="21" t="str">
        <f>CONCATENATE("Rate of IPT initiation from TB compartment ",VLOOKUP(E69,TB_SET,2)," and HIV compartment ",VLOOKUP(G69,HIV_SET,2)," for gender ",VLOOKUP(H69,G_SET,2), " under policy ", VLOOKUP(I69, P_SET,2))</f>
        <v>Rate of IPT initiation from TB compartment  LTBI, infected recently (at risk for rapid progression) and HIV compartment  PLHIV not on ART, CD4≤200 for gender Male under policy Community ART</v>
      </c>
      <c r="C69" s="8" t="s">
        <v>42</v>
      </c>
      <c r="D69" s="8" t="s">
        <v>43</v>
      </c>
      <c r="E69" s="8">
        <v>3</v>
      </c>
      <c r="G69" s="9">
        <v>3</v>
      </c>
      <c r="H69" s="9">
        <v>1</v>
      </c>
      <c r="I69" s="9">
        <v>2</v>
      </c>
      <c r="J69" s="9" t="str">
        <f>CONCATENATE(C69, "_", E69, IF(E69&lt;&gt;"",",",""), F69, IF(F69&lt;&gt;"",",",""),  G69, IF(G69&lt;&gt;"",",",""),  H69, IF(I69&lt;&gt;"","(",""), I69, IF(I69&lt;&gt;"",")",""))</f>
        <v>kappa_3,3,1(2)</v>
      </c>
      <c r="K69" s="9">
        <v>0.06</v>
      </c>
      <c r="N69" s="9" t="s">
        <v>47</v>
      </c>
    </row>
    <row r="70" spans="1:15" ht="68">
      <c r="A70" s="20" t="s">
        <v>59</v>
      </c>
      <c r="B70" s="21" t="str">
        <f>CONCATENATE("Rate of IPT initiation from TB compartment ",VLOOKUP(E70,TB_SET,2)," and HIV compartment ",VLOOKUP(G70,HIV_SET,2)," for gender ",VLOOKUP(H70,G_SET,2), " under policy ", VLOOKUP(I70, P_SET,2))</f>
        <v>Rate of IPT initiation from TB compartment  LTBI, infected recently (at risk for rapid progression) and HIV compartment  PLHIV not on ART, CD4≤200 for gender Male under policy Community ART + IPT</v>
      </c>
      <c r="C70" s="8" t="s">
        <v>42</v>
      </c>
      <c r="D70" s="8" t="s">
        <v>43</v>
      </c>
      <c r="E70" s="8">
        <v>3</v>
      </c>
      <c r="G70" s="9">
        <v>3</v>
      </c>
      <c r="H70" s="9">
        <v>1</v>
      </c>
      <c r="I70" s="9">
        <v>3</v>
      </c>
      <c r="J70" s="9" t="str">
        <f>CONCATENATE(C70, "_", E70, IF(E70&lt;&gt;"",",",""), F70, IF(F70&lt;&gt;"",",",""),  G70, IF(G70&lt;&gt;"",",",""),  H70, IF(I70&lt;&gt;"","(",""), I70, IF(I70&lt;&gt;"",")",""))</f>
        <v>kappa_3,3,1(3)</v>
      </c>
      <c r="K70" s="9">
        <v>0.91</v>
      </c>
      <c r="N70" s="9" t="s">
        <v>47</v>
      </c>
      <c r="O70" s="10" t="s">
        <v>57</v>
      </c>
    </row>
    <row r="71" spans="1:15" ht="68">
      <c r="A71" s="20" t="s">
        <v>111</v>
      </c>
      <c r="B71" s="21" t="str">
        <f>CONCATENATE("Rate of IPT initiation from TB compartment ",VLOOKUP(E71,TB_SET,2)," and HIV compartment ",VLOOKUP(G71,HIV_SET,2)," for gender ",VLOOKUP(H71,G_SET,2), " under policy ", VLOOKUP(I71, P_SET,2))</f>
        <v>Rate of IPT initiation from TB compartment  LTBI, infected recently (at risk for rapid progression) and HIV compartment  PLHIV not on ART, CD4≤200 for gender Female under policy Standard (baseline)</v>
      </c>
      <c r="C71" s="8" t="s">
        <v>42</v>
      </c>
      <c r="D71" s="8" t="s">
        <v>43</v>
      </c>
      <c r="E71" s="8">
        <v>3</v>
      </c>
      <c r="G71" s="9">
        <v>3</v>
      </c>
      <c r="H71" s="9">
        <v>2</v>
      </c>
      <c r="I71" s="9">
        <v>1</v>
      </c>
      <c r="J71" s="9" t="str">
        <f>CONCATENATE(C71, "_", E71, IF(E71&lt;&gt;"",",",""), F71, IF(F71&lt;&gt;"",",",""),  G71, IF(G71&lt;&gt;"",",",""),  H71, IF(I71&lt;&gt;"","(",""), I71, IF(I71&lt;&gt;"",")",""))</f>
        <v>kappa_3,3,2(1)</v>
      </c>
      <c r="K71" s="9">
        <v>0.06</v>
      </c>
      <c r="N71" s="9" t="s">
        <v>47</v>
      </c>
    </row>
    <row r="72" spans="1:15" ht="68">
      <c r="A72" s="20" t="s">
        <v>86</v>
      </c>
      <c r="B72" s="21" t="str">
        <f>CONCATENATE("Rate of IPT initiation from TB compartment ",VLOOKUP(E72,TB_SET,2)," and HIV compartment ",VLOOKUP(G72,HIV_SET,2)," for gender ",VLOOKUP(H72,G_SET,2), " under policy ", VLOOKUP(I72, P_SET,2))</f>
        <v>Rate of IPT initiation from TB compartment  LTBI, infected recently (at risk for rapid progression) and HIV compartment  PLHIV not on ART, CD4≤200 for gender Female under policy Community ART</v>
      </c>
      <c r="C72" s="8" t="s">
        <v>42</v>
      </c>
      <c r="D72" s="8" t="s">
        <v>43</v>
      </c>
      <c r="E72" s="8">
        <v>3</v>
      </c>
      <c r="G72" s="9">
        <v>3</v>
      </c>
      <c r="H72" s="9">
        <v>2</v>
      </c>
      <c r="I72" s="9">
        <v>2</v>
      </c>
      <c r="J72" s="9" t="str">
        <f>CONCATENATE(C72, "_", E72, IF(E72&lt;&gt;"",",",""), F72, IF(F72&lt;&gt;"",",",""),  G72, IF(G72&lt;&gt;"",",",""),  H72, IF(I72&lt;&gt;"","(",""), I72, IF(I72&lt;&gt;"",")",""))</f>
        <v>kappa_3,3,2(2)</v>
      </c>
      <c r="K72" s="9">
        <v>0.06</v>
      </c>
      <c r="N72" s="9" t="s">
        <v>47</v>
      </c>
    </row>
    <row r="73" spans="1:15" ht="68">
      <c r="A73" s="20" t="s">
        <v>60</v>
      </c>
      <c r="B73" s="21" t="str">
        <f>CONCATENATE("Rate of IPT initiation from TB compartment ",VLOOKUP(E73,TB_SET,2)," and HIV compartment ",VLOOKUP(G73,HIV_SET,2)," for gender ",VLOOKUP(H73,G_SET,2), " under policy ", VLOOKUP(I73, P_SET,2))</f>
        <v>Rate of IPT initiation from TB compartment  LTBI, infected recently (at risk for rapid progression) and HIV compartment  PLHIV not on ART, CD4≤200 for gender Female under policy Community ART + IPT</v>
      </c>
      <c r="C73" s="8" t="s">
        <v>42</v>
      </c>
      <c r="D73" s="8" t="s">
        <v>43</v>
      </c>
      <c r="E73" s="8">
        <v>3</v>
      </c>
      <c r="G73" s="9">
        <v>3</v>
      </c>
      <c r="H73" s="9">
        <v>2</v>
      </c>
      <c r="I73" s="9">
        <v>3</v>
      </c>
      <c r="J73" s="9" t="str">
        <f>CONCATENATE(C73, "_", E73, IF(E73&lt;&gt;"",",",""), F73, IF(F73&lt;&gt;"",",",""),  G73, IF(G73&lt;&gt;"",",",""),  H73, IF(I73&lt;&gt;"","(",""), I73, IF(I73&lt;&gt;"",")",""))</f>
        <v>kappa_3,3,2(3)</v>
      </c>
      <c r="K73" s="9">
        <v>0.91</v>
      </c>
      <c r="N73" s="9" t="s">
        <v>47</v>
      </c>
      <c r="O73" s="10" t="s">
        <v>57</v>
      </c>
    </row>
    <row r="74" spans="1:15" ht="68">
      <c r="A74" s="20" t="s">
        <v>112</v>
      </c>
      <c r="B74" s="21" t="str">
        <f>CONCATENATE("Rate of IPT initiation from TB compartment ",VLOOKUP(E74,TB_SET,2)," and HIV compartment ",VLOOKUP(G74,HIV_SET,2)," for gender ",VLOOKUP(H74,G_SET,2), " under policy ", VLOOKUP(I74, P_SET,2))</f>
        <v>Rate of IPT initiation from TB compartment  LTBI, infected recently (at risk for rapid progression) and HIV compartment  PLHIV and on ART for gender Male under policy Standard (baseline)</v>
      </c>
      <c r="C74" s="8" t="s">
        <v>42</v>
      </c>
      <c r="D74" s="8" t="s">
        <v>43</v>
      </c>
      <c r="E74" s="8">
        <v>3</v>
      </c>
      <c r="G74" s="9">
        <v>4</v>
      </c>
      <c r="H74" s="9">
        <v>1</v>
      </c>
      <c r="I74" s="9">
        <v>1</v>
      </c>
      <c r="J74" s="9" t="str">
        <f>CONCATENATE(C74, "_", E74, IF(E74&lt;&gt;"",",",""), F74, IF(F74&lt;&gt;"",",",""),  G74, IF(G74&lt;&gt;"",",",""),  H74, IF(I74&lt;&gt;"","(",""), I74, IF(I74&lt;&gt;"",")",""))</f>
        <v>kappa_3,4,1(1)</v>
      </c>
      <c r="K74" s="9">
        <v>0.06</v>
      </c>
      <c r="N74" s="9" t="s">
        <v>47</v>
      </c>
    </row>
    <row r="75" spans="1:15" ht="68">
      <c r="A75" s="20" t="s">
        <v>87</v>
      </c>
      <c r="B75" s="21" t="str">
        <f>CONCATENATE("Rate of IPT initiation from TB compartment ",VLOOKUP(E75,TB_SET,2)," and HIV compartment ",VLOOKUP(G75,HIV_SET,2)," for gender ",VLOOKUP(H75,G_SET,2), " under policy ", VLOOKUP(I75, P_SET,2))</f>
        <v>Rate of IPT initiation from TB compartment  LTBI, infected recently (at risk for rapid progression) and HIV compartment  PLHIV and on ART for gender Male under policy Community ART</v>
      </c>
      <c r="C75" s="8" t="s">
        <v>42</v>
      </c>
      <c r="D75" s="8" t="s">
        <v>43</v>
      </c>
      <c r="E75" s="8">
        <v>3</v>
      </c>
      <c r="G75" s="9">
        <v>4</v>
      </c>
      <c r="H75" s="9">
        <v>1</v>
      </c>
      <c r="I75" s="9">
        <v>2</v>
      </c>
      <c r="J75" s="9" t="str">
        <f>CONCATENATE(C75, "_", E75, IF(E75&lt;&gt;"",",",""), F75, IF(F75&lt;&gt;"",",",""),  G75, IF(G75&lt;&gt;"",",",""),  H75, IF(I75&lt;&gt;"","(",""), I75, IF(I75&lt;&gt;"",")",""))</f>
        <v>kappa_3,4,1(2)</v>
      </c>
      <c r="K75" s="9">
        <v>0.06</v>
      </c>
      <c r="N75" s="9" t="s">
        <v>47</v>
      </c>
    </row>
    <row r="76" spans="1:15" ht="68">
      <c r="A76" s="20" t="s">
        <v>61</v>
      </c>
      <c r="B76" s="21" t="str">
        <f>CONCATENATE("Rate of IPT initiation from TB compartment ",VLOOKUP(E76,TB_SET,2)," and HIV compartment ",VLOOKUP(G76,HIV_SET,2)," for gender ",VLOOKUP(H76,G_SET,2), " under policy ", VLOOKUP(I76, P_SET,2))</f>
        <v>Rate of IPT initiation from TB compartment  LTBI, infected recently (at risk for rapid progression) and HIV compartment  PLHIV and on ART for gender Male under policy Community ART + IPT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3</v>
      </c>
      <c r="J76" s="9" t="str">
        <f>CONCATENATE(C76, "_", E76, IF(E76&lt;&gt;"",",",""), F76, IF(F76&lt;&gt;"",",",""),  G76, IF(G76&lt;&gt;"",",",""),  H76, IF(I76&lt;&gt;"","(",""), I76, IF(I76&lt;&gt;"",")",""))</f>
        <v>kappa_3,4,1(3)</v>
      </c>
      <c r="K76" s="9">
        <v>0.91</v>
      </c>
      <c r="N76" s="9" t="s">
        <v>47</v>
      </c>
    </row>
    <row r="77" spans="1:15" ht="68">
      <c r="A77" s="20" t="s">
        <v>113</v>
      </c>
      <c r="B77" s="21" t="str">
        <f>CONCATENATE("Rate of IPT initiation from TB compartment ",VLOOKUP(E77,TB_SET,2)," and HIV compartment ",VLOOKUP(G77,HIV_SET,2)," for gender ",VLOOKUP(H77,G_SET,2), " under policy ", VLOOKUP(I77, P_SET,2))</f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>CONCATENATE(C77, "_", E77, IF(E77&lt;&gt;"",",",""), F77, IF(F77&lt;&gt;"",",",""),  G77, IF(G77&lt;&gt;"",",",""),  H77, IF(I77&lt;&gt;"","(",""), I77, IF(I77&lt;&gt;"",")",""))</f>
        <v>kappa_3,4,2(1)</v>
      </c>
      <c r="K77" s="9">
        <v>0.06</v>
      </c>
      <c r="N77" s="9" t="s">
        <v>47</v>
      </c>
    </row>
    <row r="78" spans="1:15" ht="68">
      <c r="A78" s="20" t="s">
        <v>88</v>
      </c>
      <c r="B78" s="21" t="str">
        <f>CONCATENATE("Rate of IPT initiation from TB compartment ",VLOOKUP(E78,TB_SET,2)," and HIV compartment ",VLOOKUP(G78,HIV_SET,2)," for gender ",VLOOKUP(H78,G_SET,2), " under policy ", VLOOKUP(I78, P_SET,2))</f>
        <v>Rate of IPT initiation from TB compartment  LTBI, infected recently (at risk for rapid progression) and HIV compartment  PLHIV and on ART for gender Female under policy Community ART</v>
      </c>
      <c r="C78" s="8" t="s">
        <v>42</v>
      </c>
      <c r="D78" s="8" t="s">
        <v>43</v>
      </c>
      <c r="E78" s="8">
        <v>3</v>
      </c>
      <c r="G78" s="9">
        <v>4</v>
      </c>
      <c r="H78" s="9">
        <v>2</v>
      </c>
      <c r="I78" s="9">
        <v>2</v>
      </c>
      <c r="J78" s="9" t="str">
        <f>CONCATENATE(C78, "_", E78, IF(E78&lt;&gt;"",",",""), F78, IF(F78&lt;&gt;"",",",""),  G78, IF(G78&lt;&gt;"",",",""),  H78, IF(I78&lt;&gt;"","(",""), I78, IF(I78&lt;&gt;"",")",""))</f>
        <v>kappa_3,4,2(2)</v>
      </c>
      <c r="K78" s="9">
        <v>0.06</v>
      </c>
      <c r="N78" s="9" t="s">
        <v>47</v>
      </c>
    </row>
    <row r="79" spans="1:15" ht="68">
      <c r="A79" s="20" t="s">
        <v>62</v>
      </c>
      <c r="B79" s="21" t="str">
        <f>CONCATENATE("Rate of IPT initiation from TB compartment ",VLOOKUP(E79,TB_SET,2)," and HIV compartment ",VLOOKUP(G79,HIV_SET,2)," for gender ",VLOOKUP(H79,G_SET,2), " under policy ", VLOOKUP(I79, P_SET,2))</f>
        <v>Rate of IPT initiation from TB compartment  LTBI, infected recently (at risk for rapid progression) and HIV compartment  PLHIV and on ART for gender Female under policy Community ART + IPT</v>
      </c>
      <c r="C79" s="8" t="s">
        <v>42</v>
      </c>
      <c r="D79" s="8" t="s">
        <v>43</v>
      </c>
      <c r="E79" s="8">
        <v>3</v>
      </c>
      <c r="G79" s="9">
        <v>4</v>
      </c>
      <c r="H79" s="9">
        <v>2</v>
      </c>
      <c r="I79" s="9">
        <v>3</v>
      </c>
      <c r="J79" s="9" t="str">
        <f>CONCATENATE(C79, "_", E79, IF(E79&lt;&gt;"",",",""), F79, IF(F79&lt;&gt;"",",",""),  G79, IF(G79&lt;&gt;"",",",""),  H79, IF(I79&lt;&gt;"","(",""), I79, IF(I79&lt;&gt;"",")",""))</f>
        <v>kappa_3,4,2(3)</v>
      </c>
      <c r="K79" s="9">
        <v>0.91</v>
      </c>
      <c r="N79" s="9" t="s">
        <v>47</v>
      </c>
    </row>
    <row r="80" spans="1:15" ht="51">
      <c r="A80" s="20" t="s">
        <v>114</v>
      </c>
      <c r="B80" s="21" t="str">
        <f>CONCATENATE("Rate of IPT initiation from TB compartment ",VLOOKUP(E80,TB_SET,2)," and HIV compartment ",VLOOKUP(G80,HIV_SET,2)," for gender ",VLOOKUP(H80,G_SET,2), " under policy ", VLOOKUP(I80, P_SET,2))</f>
        <v>Rate of IPT initiation from TB compartment  LTBI, infected remotely and HIV compartment  HIV-negative for gender Male under policy Standard (baseline)</v>
      </c>
      <c r="C80" s="8" t="s">
        <v>42</v>
      </c>
      <c r="D80" s="8" t="s">
        <v>43</v>
      </c>
      <c r="E80" s="8">
        <v>4</v>
      </c>
      <c r="G80" s="9">
        <v>1</v>
      </c>
      <c r="H80" s="9">
        <v>1</v>
      </c>
      <c r="I80" s="9">
        <v>1</v>
      </c>
      <c r="J80" s="9" t="str">
        <f>CONCATENATE(C80, "_", E80, IF(E80&lt;&gt;"",",",""), F80, IF(F80&lt;&gt;"",",",""),  G80, IF(G80&lt;&gt;"",",",""),  H80, IF(I80&lt;&gt;"","(",""), I80, IF(I80&lt;&gt;"",")",""))</f>
        <v>kappa_4,1,1(1)</v>
      </c>
      <c r="K80" s="9">
        <v>0</v>
      </c>
      <c r="O80" s="10" t="s">
        <v>90</v>
      </c>
    </row>
    <row r="81" spans="1:15" ht="51">
      <c r="A81" s="20" t="s">
        <v>89</v>
      </c>
      <c r="B81" s="21" t="str">
        <f>CONCATENATE("Rate of IPT initiation from TB compartment ",VLOOKUP(E81,TB_SET,2)," and HIV compartment ",VLOOKUP(G81,HIV_SET,2)," for gender ",VLOOKUP(H81,G_SET,2), " under policy ", VLOOKUP(I81, P_SET,2))</f>
        <v>Rate of IPT initiation from TB compartment  LTBI, infected remotely and HIV compartment  HIV-negative for gender Male under policy Community ART</v>
      </c>
      <c r="C81" s="8" t="s">
        <v>42</v>
      </c>
      <c r="D81" s="8" t="s">
        <v>43</v>
      </c>
      <c r="E81" s="8">
        <v>4</v>
      </c>
      <c r="G81" s="9">
        <v>1</v>
      </c>
      <c r="H81" s="9">
        <v>1</v>
      </c>
      <c r="I81" s="9">
        <v>2</v>
      </c>
      <c r="J81" s="9" t="str">
        <f>CONCATENATE(C81, "_", E81, IF(E81&lt;&gt;"",",",""), F81, IF(F81&lt;&gt;"",",",""),  G81, IF(G81&lt;&gt;"",",",""),  H81, IF(I81&lt;&gt;"","(",""), I81, IF(I81&lt;&gt;"",")",""))</f>
        <v>kappa_4,1,1(2)</v>
      </c>
      <c r="K81" s="9">
        <v>0</v>
      </c>
      <c r="O81" s="10" t="s">
        <v>90</v>
      </c>
    </row>
    <row r="82" spans="1:15" ht="51">
      <c r="A82" s="20" t="s">
        <v>63</v>
      </c>
      <c r="B82" s="21" t="str">
        <f>CONCATENATE("Rate of IPT initiation from TB compartment ",VLOOKUP(E82,TB_SET,2)," and HIV compartment ",VLOOKUP(G82,HIV_SET,2)," for gender ",VLOOKUP(H82,G_SET,2), " under policy ", VLOOKUP(I82, P_SET,2))</f>
        <v>Rate of IPT initiation from TB compartment  LTBI, infected remotely and HIV compartment  HIV-negative for gender Male under policy Community ART + IPT</v>
      </c>
      <c r="C82" s="8" t="s">
        <v>42</v>
      </c>
      <c r="D82" s="8" t="s">
        <v>43</v>
      </c>
      <c r="E82" s="8">
        <v>4</v>
      </c>
      <c r="G82" s="9">
        <v>1</v>
      </c>
      <c r="H82" s="9">
        <v>1</v>
      </c>
      <c r="I82" s="9">
        <v>3</v>
      </c>
      <c r="J82" s="9" t="str">
        <f>CONCATENATE(C82, "_", E82, IF(E82&lt;&gt;"",",",""), F82, IF(F82&lt;&gt;"",",",""),  G82, IF(G82&lt;&gt;"",",",""),  H82, IF(I82&lt;&gt;"","(",""), I82, IF(I82&lt;&gt;"",")",""))</f>
        <v>kappa_4,1,1(3)</v>
      </c>
      <c r="K82" s="9">
        <v>0</v>
      </c>
      <c r="O82" s="10" t="s">
        <v>44</v>
      </c>
    </row>
    <row r="83" spans="1:15" ht="51">
      <c r="A83" s="20" t="s">
        <v>115</v>
      </c>
      <c r="B83" s="21" t="str">
        <f>CONCATENATE("Rate of IPT initiation from TB compartment ",VLOOKUP(E83,TB_SET,2)," and HIV compartment ",VLOOKUP(G83,HIV_SET,2)," for gender ",VLOOKUP(H83,G_SET,2), " under policy ", VLOOKUP(I83, P_SET,2))</f>
        <v>Rate of IPT initiation from TB compartment  LTBI, infected remotely and HIV compartment  HIV-negative for gender Female under policy Standard (baseline)</v>
      </c>
      <c r="C83" s="8" t="s">
        <v>42</v>
      </c>
      <c r="D83" s="8" t="s">
        <v>43</v>
      </c>
      <c r="E83" s="8">
        <v>4</v>
      </c>
      <c r="G83" s="9">
        <v>1</v>
      </c>
      <c r="H83" s="9">
        <v>2</v>
      </c>
      <c r="I83" s="9">
        <v>1</v>
      </c>
      <c r="J83" s="9" t="str">
        <f>CONCATENATE(C83, "_", E83, IF(E83&lt;&gt;"",",",""), F83, IF(F83&lt;&gt;"",",",""),  G83, IF(G83&lt;&gt;"",",",""),  H83, IF(I83&lt;&gt;"","(",""), I83, IF(I83&lt;&gt;"",")",""))</f>
        <v>kappa_4,1,2(1)</v>
      </c>
      <c r="K83" s="9">
        <v>0</v>
      </c>
      <c r="O83" s="10" t="s">
        <v>90</v>
      </c>
    </row>
    <row r="84" spans="1:15" ht="51">
      <c r="A84" s="20" t="s">
        <v>91</v>
      </c>
      <c r="B84" s="21" t="str">
        <f>CONCATENATE("Rate of IPT initiation from TB compartment ",VLOOKUP(E84,TB_SET,2)," and HIV compartment ",VLOOKUP(G84,HIV_SET,2)," for gender ",VLOOKUP(H84,G_SET,2), " under policy ", VLOOKUP(I84, P_SET,2))</f>
        <v>Rate of IPT initiation from TB compartment  LTBI, infected remotely and HIV compartment  HIV-negative for gender Female under policy Community ART</v>
      </c>
      <c r="C84" s="8" t="s">
        <v>42</v>
      </c>
      <c r="D84" s="8" t="s">
        <v>43</v>
      </c>
      <c r="E84" s="8">
        <v>4</v>
      </c>
      <c r="G84" s="9">
        <v>1</v>
      </c>
      <c r="H84" s="9">
        <v>2</v>
      </c>
      <c r="I84" s="9">
        <v>2</v>
      </c>
      <c r="J84" s="9" t="str">
        <f>CONCATENATE(C84, "_", E84, IF(E84&lt;&gt;"",",",""), F84, IF(F84&lt;&gt;"",",",""),  G84, IF(G84&lt;&gt;"",",",""),  H84, IF(I84&lt;&gt;"","(",""), I84, IF(I84&lt;&gt;"",")",""))</f>
        <v>kappa_4,1,2(2)</v>
      </c>
      <c r="K84" s="9">
        <v>0</v>
      </c>
      <c r="O84" s="10" t="s">
        <v>90</v>
      </c>
    </row>
    <row r="85" spans="1:15" ht="51">
      <c r="A85" s="20" t="s">
        <v>64</v>
      </c>
      <c r="B85" s="21" t="str">
        <f>CONCATENATE("Rate of IPT initiation from TB compartment ",VLOOKUP(E85,TB_SET,2)," and HIV compartment ",VLOOKUP(G85,HIV_SET,2)," for gender ",VLOOKUP(H85,G_SET,2), " under policy ", VLOOKUP(I85, P_SET,2))</f>
        <v>Rate of IPT initiation from TB compartment  LTBI, infected remotely and HIV compartment  HIV-negative for gender Female under policy Community ART + IPT</v>
      </c>
      <c r="C85" s="8" t="s">
        <v>42</v>
      </c>
      <c r="D85" s="8" t="s">
        <v>43</v>
      </c>
      <c r="E85" s="8">
        <v>4</v>
      </c>
      <c r="G85" s="9">
        <v>1</v>
      </c>
      <c r="H85" s="9">
        <v>2</v>
      </c>
      <c r="I85" s="9">
        <v>3</v>
      </c>
      <c r="J85" s="9" t="str">
        <f>CONCATENATE(C85, "_", E85, IF(E85&lt;&gt;"",",",""), F85, IF(F85&lt;&gt;"",",",""),  G85, IF(G85&lt;&gt;"",",",""),  H85, IF(I85&lt;&gt;"","(",""), I85, IF(I85&lt;&gt;"",")",""))</f>
        <v>kappa_4,1,2(3)</v>
      </c>
      <c r="K85" s="9">
        <v>0</v>
      </c>
      <c r="O85" s="10" t="s">
        <v>44</v>
      </c>
    </row>
    <row r="86" spans="1:15" ht="51">
      <c r="A86" s="20" t="s">
        <v>116</v>
      </c>
      <c r="B86" s="21" t="str">
        <f>CONCATENATE("Rate of IPT initiation from TB compartment ",VLOOKUP(E86,TB_SET,2)," and HIV compartment ",VLOOKUP(G86,HIV_SET,2)," for gender ",VLOOKUP(H86,G_SET,2), " under policy ", VLOOKUP(I86, P_SET,2))</f>
        <v>Rate of IPT initiation from TB compartment  LTBI, infected remotely and HIV compartment  PLHIV not on ART, CD4&gt;200 for gender Male under policy Standard (baseline)</v>
      </c>
      <c r="C86" s="8" t="s">
        <v>42</v>
      </c>
      <c r="D86" s="8" t="s">
        <v>43</v>
      </c>
      <c r="E86" s="8">
        <v>4</v>
      </c>
      <c r="G86" s="9">
        <v>2</v>
      </c>
      <c r="H86" s="9">
        <v>1</v>
      </c>
      <c r="I86" s="9">
        <v>1</v>
      </c>
      <c r="J86" s="9" t="str">
        <f>CONCATENATE(C86, "_", E86, IF(E86&lt;&gt;"",",",""), F86, IF(F86&lt;&gt;"",",",""),  G86, IF(G86&lt;&gt;"",",",""),  H86, IF(I86&lt;&gt;"","(",""), I86, IF(I86&lt;&gt;"",")",""))</f>
        <v>kappa_4,2,1(1)</v>
      </c>
      <c r="K86" s="9">
        <v>0.06</v>
      </c>
      <c r="N86" s="9" t="s">
        <v>47</v>
      </c>
    </row>
    <row r="87" spans="1:15" ht="51">
      <c r="A87" s="20" t="s">
        <v>92</v>
      </c>
      <c r="B87" s="21" t="str">
        <f>CONCATENATE("Rate of IPT initiation from TB compartment ",VLOOKUP(E87,TB_SET,2)," and HIV compartment ",VLOOKUP(G87,HIV_SET,2)," for gender ",VLOOKUP(H87,G_SET,2), " under policy ", VLOOKUP(I87, P_SET,2))</f>
        <v>Rate of IPT initiation from TB compartment  LTBI, infected remotely and HIV compartment  PLHIV not on ART, CD4&gt;200 for gender Male under policy Community ART</v>
      </c>
      <c r="C87" s="8" t="s">
        <v>42</v>
      </c>
      <c r="D87" s="8" t="s">
        <v>43</v>
      </c>
      <c r="E87" s="8">
        <v>4</v>
      </c>
      <c r="G87" s="9">
        <v>2</v>
      </c>
      <c r="H87" s="9">
        <v>1</v>
      </c>
      <c r="I87" s="9">
        <v>2</v>
      </c>
      <c r="J87" s="9" t="str">
        <f>CONCATENATE(C87, "_", E87, IF(E87&lt;&gt;"",",",""), F87, IF(F87&lt;&gt;"",",",""),  G87, IF(G87&lt;&gt;"",",",""),  H87, IF(I87&lt;&gt;"","(",""), I87, IF(I87&lt;&gt;"",")",""))</f>
        <v>kappa_4,2,1(2)</v>
      </c>
      <c r="K87" s="9">
        <v>0.06</v>
      </c>
      <c r="N87" s="9" t="s">
        <v>47</v>
      </c>
    </row>
    <row r="88" spans="1:15" ht="51">
      <c r="A88" s="20" t="s">
        <v>65</v>
      </c>
      <c r="B88" s="21" t="str">
        <f>CONCATENATE("Rate of IPT initiation from TB compartment ",VLOOKUP(E88,TB_SET,2)," and HIV compartment ",VLOOKUP(G88,HIV_SET,2)," for gender ",VLOOKUP(H88,G_SET,2), " under policy ", VLOOKUP(I88, P_SET,2))</f>
        <v>Rate of IPT initiation from TB compartment  LTBI, infected remotely and HIV compartment  PLHIV not on ART, CD4&gt;200 for gender Male under policy Community ART + IPT</v>
      </c>
      <c r="C88" s="8" t="s">
        <v>42</v>
      </c>
      <c r="D88" s="8" t="s">
        <v>43</v>
      </c>
      <c r="E88" s="8">
        <v>4</v>
      </c>
      <c r="G88" s="9">
        <v>2</v>
      </c>
      <c r="H88" s="9">
        <v>1</v>
      </c>
      <c r="I88" s="9">
        <v>3</v>
      </c>
      <c r="J88" s="9" t="str">
        <f>CONCATENATE(C88, "_", E88, IF(E88&lt;&gt;"",",",""), F88, IF(F88&lt;&gt;"",",",""),  G88, IF(G88&lt;&gt;"",",",""),  H88, IF(I88&lt;&gt;"","(",""), I88, IF(I88&lt;&gt;"",")",""))</f>
        <v>kappa_4,2,1(3)</v>
      </c>
      <c r="K88" s="9">
        <v>0.91</v>
      </c>
      <c r="N88" s="9" t="s">
        <v>47</v>
      </c>
    </row>
    <row r="89" spans="1:15" ht="51">
      <c r="A89" s="20" t="s">
        <v>117</v>
      </c>
      <c r="B89" s="21" t="str">
        <f>CONCATENATE("Rate of IPT initiation from TB compartment ",VLOOKUP(E89,TB_SET,2)," and HIV compartment ",VLOOKUP(G89,HIV_SET,2)," for gender ",VLOOKUP(H89,G_SET,2), " under policy ", VLOOKUP(I89, P_SET,2))</f>
        <v>Rate of IPT initiation from TB compartment  LTBI, infected remotely and HIV compartment  PLHIV not on ART, CD4&gt;200 for gender Female under policy Standard (baseline)</v>
      </c>
      <c r="C89" s="8" t="s">
        <v>42</v>
      </c>
      <c r="D89" s="8" t="s">
        <v>43</v>
      </c>
      <c r="E89" s="8">
        <v>4</v>
      </c>
      <c r="G89" s="9">
        <v>2</v>
      </c>
      <c r="H89" s="9">
        <v>2</v>
      </c>
      <c r="I89" s="9">
        <v>1</v>
      </c>
      <c r="J89" s="9" t="str">
        <f>CONCATENATE(C89, "_", E89, IF(E89&lt;&gt;"",",",""), F89, IF(F89&lt;&gt;"",",",""),  G89, IF(G89&lt;&gt;"",",",""),  H89, IF(I89&lt;&gt;"","(",""), I89, IF(I89&lt;&gt;"",")",""))</f>
        <v>kappa_4,2,2(1)</v>
      </c>
      <c r="K89" s="9">
        <v>0.06</v>
      </c>
      <c r="N89" s="9" t="s">
        <v>47</v>
      </c>
    </row>
    <row r="90" spans="1:15" ht="51">
      <c r="A90" s="20" t="s">
        <v>93</v>
      </c>
      <c r="B90" s="21" t="str">
        <f>CONCATENATE("Rate of IPT initiation from TB compartment ",VLOOKUP(E90,TB_SET,2)," and HIV compartment ",VLOOKUP(G90,HIV_SET,2)," for gender ",VLOOKUP(H90,G_SET,2), " under policy ", VLOOKUP(I90, P_SET,2))</f>
        <v>Rate of IPT initiation from TB compartment  LTBI, infected remotely and HIV compartment  PLHIV not on ART, CD4&gt;200 for gender Female under policy Community ART</v>
      </c>
      <c r="C90" s="8" t="s">
        <v>42</v>
      </c>
      <c r="D90" s="8" t="s">
        <v>43</v>
      </c>
      <c r="E90" s="8">
        <v>4</v>
      </c>
      <c r="G90" s="9">
        <v>2</v>
      </c>
      <c r="H90" s="9">
        <v>2</v>
      </c>
      <c r="I90" s="9">
        <v>2</v>
      </c>
      <c r="J90" s="9" t="str">
        <f>CONCATENATE(C90, "_", E90, IF(E90&lt;&gt;"",",",""), F90, IF(F90&lt;&gt;"",",",""),  G90, IF(G90&lt;&gt;"",",",""),  H90, IF(I90&lt;&gt;"","(",""), I90, IF(I90&lt;&gt;"",")",""))</f>
        <v>kappa_4,2,2(2)</v>
      </c>
      <c r="K90" s="9">
        <v>0.06</v>
      </c>
      <c r="N90" s="9" t="s">
        <v>47</v>
      </c>
    </row>
    <row r="91" spans="1:15" ht="51">
      <c r="A91" s="20" t="s">
        <v>66</v>
      </c>
      <c r="B91" s="21" t="str">
        <f>CONCATENATE("Rate of IPT initiation from TB compartment ",VLOOKUP(E91,TB_SET,2)," and HIV compartment ",VLOOKUP(G91,HIV_SET,2)," for gender ",VLOOKUP(H91,G_SET,2), " under policy ", VLOOKUP(I91, P_SET,2))</f>
        <v>Rate of IPT initiation from TB compartment  LTBI, infected remotely and HIV compartment  PLHIV not on ART, CD4&gt;200 for gender Female under policy Community ART + IPT</v>
      </c>
      <c r="C91" s="8" t="s">
        <v>42</v>
      </c>
      <c r="D91" s="8" t="s">
        <v>43</v>
      </c>
      <c r="E91" s="8">
        <v>4</v>
      </c>
      <c r="G91" s="9">
        <v>2</v>
      </c>
      <c r="H91" s="9">
        <v>2</v>
      </c>
      <c r="I91" s="9">
        <v>3</v>
      </c>
      <c r="J91" s="9" t="str">
        <f>CONCATENATE(C91, "_", E91, IF(E91&lt;&gt;"",",",""), F91, IF(F91&lt;&gt;"",",",""),  G91, IF(G91&lt;&gt;"",",",""),  H91, IF(I91&lt;&gt;"","(",""), I91, IF(I91&lt;&gt;"",")",""))</f>
        <v>kappa_4,2,2(3)</v>
      </c>
      <c r="K91" s="9">
        <v>0.91</v>
      </c>
      <c r="N91" s="9" t="s">
        <v>47</v>
      </c>
    </row>
    <row r="92" spans="1:15" ht="51">
      <c r="A92" s="20" t="s">
        <v>118</v>
      </c>
      <c r="B92" s="21" t="str">
        <f>CONCATENATE("Rate of IPT initiation from TB compartment ",VLOOKUP(E92,TB_SET,2)," and HIV compartment ",VLOOKUP(G92,HIV_SET,2)," for gender ",VLOOKUP(H92,G_SET,2), " under policy ", VLOOKUP(I92, P_SET,2))</f>
        <v>Rate of IPT initiation from TB compartment  LTBI, infected remotely and HIV compartment  PLHIV not on ART, CD4≤200 for gender Male under policy Standard (baseline)</v>
      </c>
      <c r="C92" s="8" t="s">
        <v>42</v>
      </c>
      <c r="D92" s="8" t="s">
        <v>43</v>
      </c>
      <c r="E92" s="8">
        <v>4</v>
      </c>
      <c r="G92" s="9">
        <v>3</v>
      </c>
      <c r="H92" s="9">
        <v>1</v>
      </c>
      <c r="I92" s="9">
        <v>1</v>
      </c>
      <c r="J92" s="9" t="str">
        <f>CONCATENATE(C92, "_", E92, IF(E92&lt;&gt;"",",",""), F92, IF(F92&lt;&gt;"",",",""),  G92, IF(G92&lt;&gt;"",",",""),  H92, IF(I92&lt;&gt;"","(",""), I92, IF(I92&lt;&gt;"",")",""))</f>
        <v>kappa_4,3,1(1)</v>
      </c>
      <c r="K92" s="9">
        <v>0.06</v>
      </c>
      <c r="N92" s="9" t="s">
        <v>47</v>
      </c>
    </row>
    <row r="93" spans="1:15" ht="51">
      <c r="A93" s="20" t="s">
        <v>94</v>
      </c>
      <c r="B93" s="21" t="str">
        <f>CONCATENATE("Rate of IPT initiation from TB compartment ",VLOOKUP(E93,TB_SET,2)," and HIV compartment ",VLOOKUP(G93,HIV_SET,2)," for gender ",VLOOKUP(H93,G_SET,2), " under policy ", VLOOKUP(I93, P_SET,2))</f>
        <v>Rate of IPT initiation from TB compartment  LTBI, infected remotely and HIV compartment  PLHIV not on ART, CD4≤200 for gender Male under policy Community ART</v>
      </c>
      <c r="C93" s="8" t="s">
        <v>42</v>
      </c>
      <c r="D93" s="8" t="s">
        <v>43</v>
      </c>
      <c r="E93" s="8">
        <v>4</v>
      </c>
      <c r="G93" s="9">
        <v>3</v>
      </c>
      <c r="H93" s="9">
        <v>1</v>
      </c>
      <c r="I93" s="9">
        <v>2</v>
      </c>
      <c r="J93" s="9" t="str">
        <f>CONCATENATE(C93, "_", E93, IF(E93&lt;&gt;"",",",""), F93, IF(F93&lt;&gt;"",",",""),  G93, IF(G93&lt;&gt;"",",",""),  H93, IF(I93&lt;&gt;"","(",""), I93, IF(I93&lt;&gt;"",")",""))</f>
        <v>kappa_4,3,1(2)</v>
      </c>
      <c r="K93" s="9">
        <v>0.06</v>
      </c>
      <c r="N93" s="9" t="s">
        <v>47</v>
      </c>
    </row>
    <row r="94" spans="1:15" ht="51">
      <c r="A94" s="20" t="s">
        <v>67</v>
      </c>
      <c r="B94" s="21" t="str">
        <f>CONCATENATE("Rate of IPT initiation from TB compartment ",VLOOKUP(E94,TB_SET,2)," and HIV compartment ",VLOOKUP(G94,HIV_SET,2)," for gender ",VLOOKUP(H94,G_SET,2), " under policy ", VLOOKUP(I94, P_SET,2))</f>
        <v>Rate of IPT initiation from TB compartment  LTBI, infected remotely and HIV compartment  PLHIV not on ART, CD4≤200 for gender Male under policy Community ART + IPT</v>
      </c>
      <c r="C94" s="8" t="s">
        <v>42</v>
      </c>
      <c r="D94" s="8" t="s">
        <v>43</v>
      </c>
      <c r="E94" s="8">
        <v>4</v>
      </c>
      <c r="G94" s="9">
        <v>3</v>
      </c>
      <c r="H94" s="9">
        <v>1</v>
      </c>
      <c r="I94" s="9">
        <v>3</v>
      </c>
      <c r="J94" s="9" t="str">
        <f>CONCATENATE(C94, "_", E94, IF(E94&lt;&gt;"",",",""), F94, IF(F94&lt;&gt;"",",",""),  G94, IF(G94&lt;&gt;"",",",""),  H94, IF(I94&lt;&gt;"","(",""), I94, IF(I94&lt;&gt;"",")",""))</f>
        <v>kappa_4,3,1(3)</v>
      </c>
      <c r="K94" s="9">
        <v>0.91</v>
      </c>
      <c r="N94" s="9" t="s">
        <v>47</v>
      </c>
    </row>
    <row r="95" spans="1:15" ht="51">
      <c r="A95" s="20" t="s">
        <v>119</v>
      </c>
      <c r="B95" s="21" t="str">
        <f>CONCATENATE("Rate of IPT initiation from TB compartment ",VLOOKUP(E95,TB_SET,2)," and HIV compartment ",VLOOKUP(G95,HIV_SET,2)," for gender ",VLOOKUP(H95,G_SET,2), " under policy ", VLOOKUP(I95, P_SET,2))</f>
        <v>Rate of IPT initiation from TB compartment  LTBI, infected remotely and HIV compartment  PLHIV not on ART, CD4≤200 for gender Female under policy Standard (baseline)</v>
      </c>
      <c r="C95" s="8" t="s">
        <v>42</v>
      </c>
      <c r="D95" s="8" t="s">
        <v>43</v>
      </c>
      <c r="E95" s="8">
        <v>4</v>
      </c>
      <c r="G95" s="9">
        <v>3</v>
      </c>
      <c r="H95" s="9">
        <v>2</v>
      </c>
      <c r="I95" s="9">
        <v>1</v>
      </c>
      <c r="J95" s="9" t="str">
        <f>CONCATENATE(C95, "_", E95, IF(E95&lt;&gt;"",",",""), F95, IF(F95&lt;&gt;"",",",""),  G95, IF(G95&lt;&gt;"",",",""),  H95, IF(I95&lt;&gt;"","(",""), I95, IF(I95&lt;&gt;"",")",""))</f>
        <v>kappa_4,3,2(1)</v>
      </c>
      <c r="K95" s="9">
        <v>0.06</v>
      </c>
      <c r="N95" s="9" t="s">
        <v>47</v>
      </c>
    </row>
    <row r="96" spans="1:15" ht="51">
      <c r="A96" s="20" t="s">
        <v>95</v>
      </c>
      <c r="B96" s="21" t="str">
        <f>CONCATENATE("Rate of IPT initiation from TB compartment ",VLOOKUP(E96,TB_SET,2)," and HIV compartment ",VLOOKUP(G96,HIV_SET,2)," for gender ",VLOOKUP(H96,G_SET,2), " under policy ", VLOOKUP(I96, P_SET,2))</f>
        <v>Rate of IPT initiation from TB compartment  LTBI, infected remotely and HIV compartment  PLHIV not on ART, CD4≤200 for gender Female under policy Community ART</v>
      </c>
      <c r="C96" s="8" t="s">
        <v>42</v>
      </c>
      <c r="D96" s="8" t="s">
        <v>43</v>
      </c>
      <c r="E96" s="8">
        <v>4</v>
      </c>
      <c r="G96" s="9">
        <v>3</v>
      </c>
      <c r="H96" s="9">
        <v>2</v>
      </c>
      <c r="I96" s="9">
        <v>2</v>
      </c>
      <c r="J96" s="9" t="str">
        <f>CONCATENATE(C96, "_", E96, IF(E96&lt;&gt;"",",",""), F96, IF(F96&lt;&gt;"",",",""),  G96, IF(G96&lt;&gt;"",",",""),  H96, IF(I96&lt;&gt;"","(",""), I96, IF(I96&lt;&gt;"",")",""))</f>
        <v>kappa_4,3,2(2)</v>
      </c>
      <c r="K96" s="9">
        <v>0.06</v>
      </c>
      <c r="N96" s="9" t="s">
        <v>47</v>
      </c>
    </row>
    <row r="97" spans="1:15" ht="51">
      <c r="A97" s="20" t="s">
        <v>68</v>
      </c>
      <c r="B97" s="21" t="str">
        <f>CONCATENATE("Rate of IPT initiation from TB compartment ",VLOOKUP(E97,TB_SET,2)," and HIV compartment ",VLOOKUP(G97,HIV_SET,2)," for gender ",VLOOKUP(H97,G_SET,2), " under policy ", VLOOKUP(I97, P_SET,2))</f>
        <v>Rate of IPT initiation from TB compartment  LTBI, infected remotely and HIV compartment  PLHIV not on ART, CD4≤200 for gender Female under policy Community ART + IPT</v>
      </c>
      <c r="C97" s="8" t="s">
        <v>42</v>
      </c>
      <c r="D97" s="8" t="s">
        <v>43</v>
      </c>
      <c r="E97" s="8">
        <v>4</v>
      </c>
      <c r="G97" s="9">
        <v>3</v>
      </c>
      <c r="H97" s="9">
        <v>2</v>
      </c>
      <c r="I97" s="9">
        <v>3</v>
      </c>
      <c r="J97" s="9" t="str">
        <f>CONCATENATE(C97, "_", E97, IF(E97&lt;&gt;"",",",""), F97, IF(F97&lt;&gt;"",",",""),  G97, IF(G97&lt;&gt;"",",",""),  H97, IF(I97&lt;&gt;"","(",""), I97, IF(I97&lt;&gt;"",")",""))</f>
        <v>kappa_4,3,2(3)</v>
      </c>
      <c r="K97" s="9">
        <v>0.91</v>
      </c>
      <c r="N97" s="9" t="s">
        <v>47</v>
      </c>
    </row>
    <row r="98" spans="1:15" ht="51">
      <c r="A98" s="20" t="s">
        <v>120</v>
      </c>
      <c r="B98" s="21" t="str">
        <f>CONCATENATE("Rate of IPT initiation from TB compartment ",VLOOKUP(E98,TB_SET,2)," and HIV compartment ",VLOOKUP(G98,HIV_SET,2)," for gender ",VLOOKUP(H98,G_SET,2), " under policy ", VLOOKUP(I98, P_SET,2))</f>
        <v>Rate of IPT initiation from TB compartment  LTBI, infected remotely and HIV compartment  PLHIV and on ART for gender Male under policy Standard (baseline)</v>
      </c>
      <c r="C98" s="8" t="s">
        <v>42</v>
      </c>
      <c r="D98" s="8" t="s">
        <v>43</v>
      </c>
      <c r="E98" s="8">
        <v>4</v>
      </c>
      <c r="G98" s="9">
        <v>4</v>
      </c>
      <c r="H98" s="9">
        <v>1</v>
      </c>
      <c r="I98" s="9">
        <v>1</v>
      </c>
      <c r="J98" s="9" t="str">
        <f>CONCATENATE(C98, "_", E98, IF(E98&lt;&gt;"",",",""), F98, IF(F98&lt;&gt;"",",",""),  G98, IF(G98&lt;&gt;"",",",""),  H98, IF(I98&lt;&gt;"","(",""), I98, IF(I98&lt;&gt;"",")",""))</f>
        <v>kappa_4,4,1(1)</v>
      </c>
      <c r="K98" s="9">
        <v>0.06</v>
      </c>
      <c r="N98" s="9" t="s">
        <v>47</v>
      </c>
    </row>
    <row r="99" spans="1:15" ht="51">
      <c r="A99" s="20" t="s">
        <v>96</v>
      </c>
      <c r="B99" s="21" t="str">
        <f>CONCATENATE("Rate of IPT initiation from TB compartment ",VLOOKUP(E99,TB_SET,2)," and HIV compartment ",VLOOKUP(G99,HIV_SET,2)," for gender ",VLOOKUP(H99,G_SET,2), " under policy ", VLOOKUP(I99, P_SET,2))</f>
        <v>Rate of IPT initiation from TB compartment  LTBI, infected remotely and HIV compartment  PLHIV and on ART for gender Male under policy Community ART</v>
      </c>
      <c r="C99" s="8" t="s">
        <v>42</v>
      </c>
      <c r="D99" s="8" t="s">
        <v>43</v>
      </c>
      <c r="E99" s="8">
        <v>4</v>
      </c>
      <c r="G99" s="9">
        <v>4</v>
      </c>
      <c r="H99" s="9">
        <v>1</v>
      </c>
      <c r="I99" s="9">
        <v>2</v>
      </c>
      <c r="J99" s="9" t="str">
        <f>CONCATENATE(C99, "_", E99, IF(E99&lt;&gt;"",",",""), F99, IF(F99&lt;&gt;"",",",""),  G99, IF(G99&lt;&gt;"",",",""),  H99, IF(I99&lt;&gt;"","(",""), I99, IF(I99&lt;&gt;"",")",""))</f>
        <v>kappa_4,4,1(2)</v>
      </c>
      <c r="K99" s="9">
        <v>0.06</v>
      </c>
      <c r="N99" s="9" t="s">
        <v>47</v>
      </c>
    </row>
    <row r="100" spans="1:15" ht="51">
      <c r="A100" s="20" t="s">
        <v>69</v>
      </c>
      <c r="B100" s="21" t="str">
        <f>CONCATENATE("Rate of IPT initiation from TB compartment ",VLOOKUP(E100,TB_SET,2)," and HIV compartment ",VLOOKUP(G100,HIV_SET,2)," for gender ",VLOOKUP(H100,G_SET,2), " under policy ", VLOOKUP(I100, P_SET,2))</f>
        <v>Rate of IPT initiation from TB compartment  LTBI, infected remotely and HIV compartment  PLHIV and on ART for gender Male under policy Community ART + IPT</v>
      </c>
      <c r="C100" s="8" t="s">
        <v>42</v>
      </c>
      <c r="D100" s="8" t="s">
        <v>43</v>
      </c>
      <c r="E100" s="8">
        <v>4</v>
      </c>
      <c r="G100" s="9">
        <v>4</v>
      </c>
      <c r="H100" s="9">
        <v>1</v>
      </c>
      <c r="I100" s="9">
        <v>3</v>
      </c>
      <c r="J100" s="9" t="str">
        <f>CONCATENATE(C100, "_", E100, IF(E100&lt;&gt;"",",",""), F100, IF(F100&lt;&gt;"",",",""),  G100, IF(G100&lt;&gt;"",",",""),  H100, IF(I100&lt;&gt;"","(",""), I100, IF(I100&lt;&gt;"",")",""))</f>
        <v>kappa_4,4,1(3)</v>
      </c>
      <c r="K100" s="9">
        <v>0.91</v>
      </c>
      <c r="N100" s="9" t="s">
        <v>47</v>
      </c>
    </row>
    <row r="101" spans="1:15" ht="51">
      <c r="A101" s="20" t="s">
        <v>121</v>
      </c>
      <c r="B101" s="21" t="str">
        <f>CONCATENATE("Rate of IPT initiation from TB compartment ",VLOOKUP(E101,TB_SET,2)," and HIV compartment ",VLOOKUP(G101,HIV_SET,2)," for gender ",VLOOKUP(H101,G_SET,2), " under policy ", VLOOKUP(I101, P_SET,2))</f>
        <v>Rate of IPT initiation from TB compartment  LTBI, infected remotely and HIV compartment  PLHIV and on ART for gender Female under policy Standard (baseline)</v>
      </c>
      <c r="C101" s="8" t="s">
        <v>42</v>
      </c>
      <c r="D101" s="8" t="s">
        <v>43</v>
      </c>
      <c r="E101" s="8">
        <v>4</v>
      </c>
      <c r="G101" s="9">
        <v>4</v>
      </c>
      <c r="H101" s="9">
        <v>2</v>
      </c>
      <c r="I101" s="9">
        <v>1</v>
      </c>
      <c r="J101" s="9" t="str">
        <f>CONCATENATE(C101, "_", E101, IF(E101&lt;&gt;"",",",""), F101, IF(F101&lt;&gt;"",",",""),  G101, IF(G101&lt;&gt;"",",",""),  H101, IF(I101&lt;&gt;"","(",""), I101, IF(I101&lt;&gt;"",")",""))</f>
        <v>kappa_4,4,2(1)</v>
      </c>
      <c r="K101" s="9">
        <v>0.06</v>
      </c>
      <c r="N101" s="9" t="s">
        <v>47</v>
      </c>
    </row>
    <row r="102" spans="1:15" ht="51">
      <c r="A102" s="20" t="s">
        <v>97</v>
      </c>
      <c r="B102" s="21" t="str">
        <f>CONCATENATE("Rate of IPT initiation from TB compartment ",VLOOKUP(E102,TB_SET,2)," and HIV compartment ",VLOOKUP(G102,HIV_SET,2)," for gender ",VLOOKUP(H102,G_SET,2), " under policy ", VLOOKUP(I102, P_SET,2))</f>
        <v>Rate of IPT initiation from TB compartment  LTBI, infected remotely and HIV compartment  PLHIV and on ART for gender Female under policy Community ART</v>
      </c>
      <c r="C102" s="8" t="s">
        <v>42</v>
      </c>
      <c r="D102" s="8" t="s">
        <v>43</v>
      </c>
      <c r="E102" s="8">
        <v>4</v>
      </c>
      <c r="G102" s="9">
        <v>4</v>
      </c>
      <c r="H102" s="9">
        <v>2</v>
      </c>
      <c r="I102" s="9">
        <v>2</v>
      </c>
      <c r="J102" s="9" t="str">
        <f>CONCATENATE(C102, "_", E102, IF(E102&lt;&gt;"",",",""), F102, IF(F102&lt;&gt;"",",",""),  G102, IF(G102&lt;&gt;"",",",""),  H102, IF(I102&lt;&gt;"","(",""), I102, IF(I102&lt;&gt;"",")",""))</f>
        <v>kappa_4,4,2(2)</v>
      </c>
      <c r="K102" s="9">
        <v>0.06</v>
      </c>
      <c r="N102" s="9" t="s">
        <v>47</v>
      </c>
    </row>
    <row r="103" spans="1:15" ht="51">
      <c r="A103" s="20" t="s">
        <v>70</v>
      </c>
      <c r="B103" s="21" t="str">
        <f>CONCATENATE("Rate of IPT initiation from TB compartment ",VLOOKUP(E103,TB_SET,2)," and HIV compartment ",VLOOKUP(G103,HIV_SET,2)," for gender ",VLOOKUP(H103,G_SET,2), " under policy ", VLOOKUP(I103, P_SET,2))</f>
        <v>Rate of IPT initiation from TB compartment  LTBI, infected remotely and HIV compartment  PLHIV and on ART for gender Female under policy Community ART + IPT</v>
      </c>
      <c r="C103" s="8" t="s">
        <v>42</v>
      </c>
      <c r="D103" s="8" t="s">
        <v>43</v>
      </c>
      <c r="E103" s="8">
        <v>4</v>
      </c>
      <c r="G103" s="9">
        <v>4</v>
      </c>
      <c r="H103" s="9">
        <v>2</v>
      </c>
      <c r="I103" s="9">
        <v>3</v>
      </c>
      <c r="J103" s="9" t="str">
        <f>CONCATENATE(C103, "_", E103, IF(E103&lt;&gt;"",",",""), F103, IF(F103&lt;&gt;"",",",""),  G103, IF(G103&lt;&gt;"",",",""),  H103, IF(I103&lt;&gt;"","(",""), I103, IF(I103&lt;&gt;"",")",""))</f>
        <v>kappa_4,4,2(3)</v>
      </c>
      <c r="K103" s="9">
        <v>0.91</v>
      </c>
      <c r="N103" s="9" t="s">
        <v>47</v>
      </c>
    </row>
    <row r="104" spans="1:15" ht="48">
      <c r="A104" s="20" t="s">
        <v>145</v>
      </c>
      <c r="B104" s="9" t="str">
        <f>CONCATENATE("Mortality rates from populations in TB compartment ",VLOOKUP(E104,TB_SET,2)," and HIV compartment ",VLOOKUP(G104,HIV_SET,2)," and gender compartment ",VLOOKUP(H104,G_SET,2)," per year")</f>
        <v>Mortality rates from populations in TB compartment  Uninfected, not on IPT and HIV compartment  HIV-negative and gender compartment Male per year</v>
      </c>
      <c r="C104" s="8" t="s">
        <v>146</v>
      </c>
      <c r="D104" s="8" t="s">
        <v>147</v>
      </c>
      <c r="E104" s="8">
        <v>1</v>
      </c>
      <c r="G104" s="9">
        <v>1</v>
      </c>
      <c r="H104" s="9">
        <v>1</v>
      </c>
      <c r="J104" s="9" t="str">
        <f>CONCATENATE(C104, "_", E104, IF(E104&lt;&gt;"",",",""), F104, IF(F104&lt;&gt;"",",",""),  G104, IF(G104&lt;&gt;"",",",""),  H104, IF(I104&lt;&gt;"","(",""), I104, IF(I104&lt;&gt;"",")",""))</f>
        <v>mu_1,1,1</v>
      </c>
      <c r="K104" s="11">
        <v>3.3E-3</v>
      </c>
      <c r="O104" s="10" t="s">
        <v>306</v>
      </c>
    </row>
    <row r="105" spans="1:15" ht="48">
      <c r="A105" s="20" t="s">
        <v>148</v>
      </c>
      <c r="B105" s="9" t="str">
        <f>CONCATENATE("Mortality rates from populations in TB compartment ",VLOOKUP(E105,TB_SET,2)," and HIV compartment ",VLOOKUP(G105,HIV_SET,2)," and gender compartment ",VLOOKUP(H105,G_SET,2)," per year")</f>
        <v>Mortality rates from populations in TB compartment  Uninfected, not on IPT and HIV compartment  HIV-negative and gender compartment Female per year</v>
      </c>
      <c r="C105" s="8" t="s">
        <v>146</v>
      </c>
      <c r="D105" s="8" t="s">
        <v>147</v>
      </c>
      <c r="E105" s="8">
        <v>1</v>
      </c>
      <c r="G105" s="9">
        <v>1</v>
      </c>
      <c r="H105" s="9">
        <v>2</v>
      </c>
      <c r="J105" s="9" t="str">
        <f>CONCATENATE(C105, "_", E105, IF(E105&lt;&gt;"",",",""), F105, IF(F105&lt;&gt;"",",",""),  G105, IF(G105&lt;&gt;"",",",""),  H105, IF(I105&lt;&gt;"","(",""), I105, IF(I105&lt;&gt;"",")",""))</f>
        <v>mu_1,1,2</v>
      </c>
      <c r="K105" s="11">
        <f>0.0019</f>
        <v>1.9E-3</v>
      </c>
      <c r="O105" s="10" t="s">
        <v>307</v>
      </c>
    </row>
    <row r="106" spans="1:15" ht="51">
      <c r="A106" s="20" t="s">
        <v>149</v>
      </c>
      <c r="B106" s="9" t="str">
        <f>CONCATENATE("Mortality rates from populations in TB compartment ",VLOOKUP(E106,TB_SET,2)," and HIV compartment ",VLOOKUP(G106,HIV_SET,2)," and gender compartment ",VLOOKUP(H106,G_SET,2)," per year")</f>
        <v>Mortality rates from populations in TB compartment  Uninfected, not on IPT and HIV compartment  PLHIV not on ART, CD4&gt;200 and gender compartment Male per year</v>
      </c>
      <c r="C106" s="8" t="s">
        <v>146</v>
      </c>
      <c r="D106" s="8" t="s">
        <v>147</v>
      </c>
      <c r="E106" s="8">
        <v>1</v>
      </c>
      <c r="G106" s="9">
        <v>2</v>
      </c>
      <c r="H106" s="9">
        <v>1</v>
      </c>
      <c r="J106" s="9" t="str">
        <f>CONCATENATE(C106, "_", E106, IF(E106&lt;&gt;"",",",""), F106, IF(F106&lt;&gt;"",",",""),  G106, IF(G106&lt;&gt;"",",",""),  H106, IF(I106&lt;&gt;"","(",""), I106, IF(I106&lt;&gt;"",")",""))</f>
        <v>mu_1,2,1</v>
      </c>
      <c r="K106" s="11">
        <f>K104*5</f>
        <v>1.6500000000000001E-2</v>
      </c>
      <c r="O106" s="10" t="s">
        <v>300</v>
      </c>
    </row>
    <row r="107" spans="1:15" ht="51">
      <c r="A107" s="20" t="s">
        <v>150</v>
      </c>
      <c r="B107" s="9" t="str">
        <f>CONCATENATE("Mortality rates from populations in TB compartment ",VLOOKUP(E107,TB_SET,2)," and HIV compartment ",VLOOKUP(G107,HIV_SET,2)," and gender compartment ",VLOOKUP(H107,G_SET,2)," per year")</f>
        <v>Mortality rates from populations in TB compartment  Uninfected, not on IPT and HIV compartment  PLHIV not on ART, CD4&gt;200 and gender compartment Female per year</v>
      </c>
      <c r="C107" s="8" t="s">
        <v>146</v>
      </c>
      <c r="D107" s="8" t="s">
        <v>147</v>
      </c>
      <c r="E107" s="8">
        <v>1</v>
      </c>
      <c r="G107" s="9">
        <v>2</v>
      </c>
      <c r="H107" s="9">
        <v>2</v>
      </c>
      <c r="J107" s="9" t="str">
        <f>CONCATENATE(C107, "_", E107, IF(E107&lt;&gt;"",",",""), F107, IF(F107&lt;&gt;"",",",""),  G107, IF(G107&lt;&gt;"",",",""),  H107, IF(I107&lt;&gt;"","(",""), I107, IF(I107&lt;&gt;"",")",""))</f>
        <v>mu_1,2,2</v>
      </c>
      <c r="K107" s="11">
        <f>K105*5</f>
        <v>9.4999999999999998E-3</v>
      </c>
      <c r="O107" s="10" t="s">
        <v>300</v>
      </c>
    </row>
    <row r="108" spans="1:15" ht="51">
      <c r="A108" s="20" t="s">
        <v>151</v>
      </c>
      <c r="B108" s="9" t="str">
        <f>CONCATENATE("Mortality rates from populations in TB compartment ",VLOOKUP(E108,TB_SET,2)," and HIV compartment ",VLOOKUP(G108,HIV_SET,2)," and gender compartment ",VLOOKUP(H108,G_SET,2)," per year")</f>
        <v>Mortality rates from populations in TB compartment  Uninfected, not on IPT and HIV compartment  PLHIV not on ART, CD4≤200 and gender compartment Male per year</v>
      </c>
      <c r="C108" s="8" t="s">
        <v>146</v>
      </c>
      <c r="D108" s="8" t="s">
        <v>147</v>
      </c>
      <c r="E108" s="8">
        <v>1</v>
      </c>
      <c r="G108" s="9">
        <v>3</v>
      </c>
      <c r="H108" s="9">
        <v>1</v>
      </c>
      <c r="J108" s="9" t="str">
        <f>CONCATENATE(C108, "_", E108, IF(E108&lt;&gt;"",",",""), F108, IF(F108&lt;&gt;"",",",""),  G108, IF(G108&lt;&gt;"",",",""),  H108, IF(I108&lt;&gt;"","(",""), I108, IF(I108&lt;&gt;"",")",""))</f>
        <v>mu_1,3,1</v>
      </c>
      <c r="K108" s="11">
        <f>K104*10</f>
        <v>3.3000000000000002E-2</v>
      </c>
      <c r="O108" s="10" t="s">
        <v>302</v>
      </c>
    </row>
    <row r="109" spans="1:15" ht="51">
      <c r="A109" s="20" t="s">
        <v>152</v>
      </c>
      <c r="B109" s="9" t="str">
        <f>CONCATENATE("Mortality rates from populations in TB compartment ",VLOOKUP(E109,TB_SET,2)," and HIV compartment ",VLOOKUP(G109,HIV_SET,2)," and gender compartment ",VLOOKUP(H109,G_SET,2)," per year")</f>
        <v>Mortality rates from populations in TB compartment  Uninfected, not on IPT and HIV compartment  PLHIV not on ART, CD4≤200 and gender compartment Female per year</v>
      </c>
      <c r="C109" s="8" t="s">
        <v>146</v>
      </c>
      <c r="D109" s="8" t="s">
        <v>147</v>
      </c>
      <c r="E109" s="8">
        <v>1</v>
      </c>
      <c r="G109" s="9">
        <v>3</v>
      </c>
      <c r="H109" s="9">
        <v>2</v>
      </c>
      <c r="J109" s="9" t="str">
        <f>CONCATENATE(C109, "_", E109, IF(E109&lt;&gt;"",",",""), F109, IF(F109&lt;&gt;"",",",""),  G109, IF(G109&lt;&gt;"",",",""),  H109, IF(I109&lt;&gt;"","(",""), I109, IF(I109&lt;&gt;"",")",""))</f>
        <v>mu_1,3,2</v>
      </c>
      <c r="K109" s="11">
        <f>K105*10</f>
        <v>1.9E-2</v>
      </c>
      <c r="O109" s="10" t="s">
        <v>302</v>
      </c>
    </row>
    <row r="110" spans="1:15" ht="48">
      <c r="A110" s="20" t="s">
        <v>153</v>
      </c>
      <c r="B110" s="9" t="str">
        <f>CONCATENATE("Mortality rates from populations in TB compartment ",VLOOKUP(E110,TB_SET,2)," and HIV compartment ",VLOOKUP(G110,HIV_SET,2)," and gender compartment ",VLOOKUP(H110,G_SET,2)," per year")</f>
        <v>Mortality rates from populations in TB compartment  Uninfected, not on IPT and HIV compartment  PLHIV and on ART and gender compartment Male per year</v>
      </c>
      <c r="C110" s="8" t="s">
        <v>146</v>
      </c>
      <c r="D110" s="8" t="s">
        <v>147</v>
      </c>
      <c r="E110" s="8">
        <v>1</v>
      </c>
      <c r="G110" s="9">
        <v>4</v>
      </c>
      <c r="H110" s="9">
        <v>1</v>
      </c>
      <c r="J110" s="9" t="str">
        <f>CONCATENATE(C110, "_", E110, IF(E110&lt;&gt;"",",",""), F110, IF(F110&lt;&gt;"",",",""),  G110, IF(G110&lt;&gt;"",",",""),  H110, IF(I110&lt;&gt;"","(",""), I110, IF(I110&lt;&gt;"",")",""))</f>
        <v>mu_1,4,1</v>
      </c>
      <c r="K110" s="11">
        <f>K104*1.2</f>
        <v>3.96E-3</v>
      </c>
      <c r="O110" s="10" t="s">
        <v>301</v>
      </c>
    </row>
    <row r="111" spans="1:15" ht="48">
      <c r="A111" s="20" t="s">
        <v>154</v>
      </c>
      <c r="B111" s="9" t="str">
        <f>CONCATENATE("Mortality rates from populations in TB compartment ",VLOOKUP(E111,TB_SET,2)," and HIV compartment ",VLOOKUP(G111,HIV_SET,2)," and gender compartment ",VLOOKUP(H111,G_SET,2)," per year")</f>
        <v>Mortality rates from populations in TB compartment  Uninfected, not on IPT and HIV compartment  PLHIV and on ART and gender compartment Female per year</v>
      </c>
      <c r="C111" s="8" t="s">
        <v>146</v>
      </c>
      <c r="D111" s="8" t="s">
        <v>147</v>
      </c>
      <c r="E111" s="8">
        <v>1</v>
      </c>
      <c r="G111" s="9">
        <v>4</v>
      </c>
      <c r="H111" s="9">
        <v>2</v>
      </c>
      <c r="J111" s="9" t="str">
        <f>CONCATENATE(C111, "_", E111, IF(E111&lt;&gt;"",",",""), F111, IF(F111&lt;&gt;"",",",""),  G111, IF(G111&lt;&gt;"",",",""),  H111, IF(I111&lt;&gt;"","(",""), I111, IF(I111&lt;&gt;"",")",""))</f>
        <v>mu_1,4,2</v>
      </c>
      <c r="K111" s="11">
        <f>K105*1.2</f>
        <v>2.2799999999999999E-3</v>
      </c>
      <c r="O111" s="10" t="s">
        <v>301</v>
      </c>
    </row>
    <row r="112" spans="1:15" ht="48">
      <c r="A112" s="20" t="s">
        <v>155</v>
      </c>
      <c r="B112" s="9" t="str">
        <f>CONCATENATE("Mortality rates from populations in TB compartment ",VLOOKUP(E112,TB_SET,2)," and HIV compartment ",VLOOKUP(G112,HIV_SET,2)," and gender compartment ",VLOOKUP(H112,G_SET,2)," per year")</f>
        <v>Mortality rates from populations in TB compartment  Uninfected, on IPT and HIV compartment  HIV-negative and gender compartment Male per year</v>
      </c>
      <c r="C112" s="8" t="s">
        <v>146</v>
      </c>
      <c r="D112" s="8" t="s">
        <v>147</v>
      </c>
      <c r="E112" s="8">
        <v>2</v>
      </c>
      <c r="G112" s="9">
        <v>1</v>
      </c>
      <c r="H112" s="9">
        <v>1</v>
      </c>
      <c r="J112" s="9" t="str">
        <f>CONCATENATE(C112, "_", E112, IF(E112&lt;&gt;"",",",""), F112, IF(F112&lt;&gt;"",",",""),  G112, IF(G112&lt;&gt;"",",",""),  H112, IF(I112&lt;&gt;"","(",""), I112, IF(I112&lt;&gt;"",")",""))</f>
        <v>mu_2,1,1</v>
      </c>
      <c r="K112" s="11">
        <f>K104</f>
        <v>3.3E-3</v>
      </c>
      <c r="O112" s="10" t="s">
        <v>299</v>
      </c>
    </row>
    <row r="113" spans="1:15" ht="48">
      <c r="A113" s="20" t="s">
        <v>156</v>
      </c>
      <c r="B113" s="9" t="str">
        <f>CONCATENATE("Mortality rates from populations in TB compartment ",VLOOKUP(E113,TB_SET,2)," and HIV compartment ",VLOOKUP(G113,HIV_SET,2)," and gender compartment ",VLOOKUP(H113,G_SET,2)," per year")</f>
        <v>Mortality rates from populations in TB compartment  Uninfected, on IPT and HIV compartment  HIV-negative and gender compartment Female per year</v>
      </c>
      <c r="C113" s="8" t="s">
        <v>146</v>
      </c>
      <c r="D113" s="8" t="s">
        <v>147</v>
      </c>
      <c r="E113" s="8">
        <v>2</v>
      </c>
      <c r="G113" s="9">
        <v>1</v>
      </c>
      <c r="H113" s="9">
        <v>2</v>
      </c>
      <c r="J113" s="9" t="str">
        <f>CONCATENATE(C113, "_", E113, IF(E113&lt;&gt;"",",",""), F113, IF(F113&lt;&gt;"",",",""),  G113, IF(G113&lt;&gt;"",",",""),  H113, IF(I113&lt;&gt;"","(",""), I113, IF(I113&lt;&gt;"",")",""))</f>
        <v>mu_2,1,2</v>
      </c>
      <c r="K113" s="11">
        <f>K105</f>
        <v>1.9E-3</v>
      </c>
      <c r="O113" s="10" t="s">
        <v>299</v>
      </c>
    </row>
    <row r="114" spans="1:15" ht="51">
      <c r="A114" s="20" t="s">
        <v>157</v>
      </c>
      <c r="B114" s="9" t="str">
        <f>CONCATENATE("Mortality rates from populations in TB compartment ",VLOOKUP(E114,TB_SET,2)," and HIV compartment ",VLOOKUP(G114,HIV_SET,2)," and gender compartment ",VLOOKUP(H114,G_SET,2)," per year")</f>
        <v>Mortality rates from populations in TB compartment  Uninfected, on IPT and HIV compartment  PLHIV not on ART, CD4&gt;200 and gender compartment Male per year</v>
      </c>
      <c r="C114" s="8" t="s">
        <v>146</v>
      </c>
      <c r="D114" s="8" t="s">
        <v>147</v>
      </c>
      <c r="E114" s="8">
        <v>2</v>
      </c>
      <c r="G114" s="9">
        <v>2</v>
      </c>
      <c r="H114" s="9">
        <v>1</v>
      </c>
      <c r="J114" s="9" t="str">
        <f>CONCATENATE(C114, "_", E114, IF(E114&lt;&gt;"",",",""), F114, IF(F114&lt;&gt;"",",",""),  G114, IF(G114&lt;&gt;"",",",""),  H114, IF(I114&lt;&gt;"","(",""), I114, IF(I114&lt;&gt;"",")",""))</f>
        <v>mu_2,2,1</v>
      </c>
      <c r="K114" s="11">
        <f>K106</f>
        <v>1.6500000000000001E-2</v>
      </c>
      <c r="O114" s="10" t="s">
        <v>303</v>
      </c>
    </row>
    <row r="115" spans="1:15" ht="51">
      <c r="A115" s="20" t="s">
        <v>158</v>
      </c>
      <c r="B115" s="9" t="str">
        <f>CONCATENATE("Mortality rates from populations in TB compartment ",VLOOKUP(E115,TB_SET,2)," and HIV compartment ",VLOOKUP(G115,HIV_SET,2)," and gender compartment ",VLOOKUP(H115,G_SET,2)," per year")</f>
        <v>Mortality rates from populations in TB compartment  Uninfected, on IPT and HIV compartment  PLHIV not on ART, CD4&gt;200 and gender compartment Female per year</v>
      </c>
      <c r="C115" s="8" t="s">
        <v>146</v>
      </c>
      <c r="D115" s="8" t="s">
        <v>147</v>
      </c>
      <c r="E115" s="8">
        <v>2</v>
      </c>
      <c r="G115" s="9">
        <v>2</v>
      </c>
      <c r="H115" s="9">
        <v>2</v>
      </c>
      <c r="J115" s="9" t="str">
        <f>CONCATENATE(C115, "_", E115, IF(E115&lt;&gt;"",",",""), F115, IF(F115&lt;&gt;"",",",""),  G115, IF(G115&lt;&gt;"",",",""),  H115, IF(I115&lt;&gt;"","(",""), I115, IF(I115&lt;&gt;"",")",""))</f>
        <v>mu_2,2,2</v>
      </c>
      <c r="K115" s="11">
        <f>K107</f>
        <v>9.4999999999999998E-3</v>
      </c>
      <c r="O115" s="10" t="s">
        <v>303</v>
      </c>
    </row>
    <row r="116" spans="1:15" ht="51">
      <c r="A116" s="20" t="s">
        <v>159</v>
      </c>
      <c r="B116" s="9" t="str">
        <f>CONCATENATE("Mortality rates from populations in TB compartment ",VLOOKUP(E116,TB_SET,2)," and HIV compartment ",VLOOKUP(G116,HIV_SET,2)," and gender compartment ",VLOOKUP(H116,G_SET,2)," per year")</f>
        <v>Mortality rates from populations in TB compartment  Uninfected, on IPT and HIV compartment  PLHIV not on ART, CD4≤200 and gender compartment Male per year</v>
      </c>
      <c r="C116" s="8" t="s">
        <v>146</v>
      </c>
      <c r="D116" s="8" t="s">
        <v>147</v>
      </c>
      <c r="E116" s="8">
        <v>2</v>
      </c>
      <c r="G116" s="9">
        <v>3</v>
      </c>
      <c r="H116" s="9">
        <v>1</v>
      </c>
      <c r="J116" s="9" t="str">
        <f>CONCATENATE(C116, "_", E116, IF(E116&lt;&gt;"",",",""), F116, IF(F116&lt;&gt;"",",",""),  G116, IF(G116&lt;&gt;"",",",""),  H116, IF(I116&lt;&gt;"","(",""), I116, IF(I116&lt;&gt;"",")",""))</f>
        <v>mu_2,3,1</v>
      </c>
      <c r="K116" s="11">
        <f>K108</f>
        <v>3.3000000000000002E-2</v>
      </c>
      <c r="O116" s="10" t="s">
        <v>304</v>
      </c>
    </row>
    <row r="117" spans="1:15" ht="51">
      <c r="A117" s="30" t="s">
        <v>160</v>
      </c>
      <c r="B117" s="9" t="str">
        <f>CONCATENATE("Mortality rates from populations in TB compartment ",VLOOKUP(E117,TB_SET,2)," and HIV compartment ",VLOOKUP(G117,HIV_SET,2)," and gender compartment ",VLOOKUP(H117,G_SET,2)," per year")</f>
        <v>Mortality rates from populations in TB compartment  Uninfected, on IPT and HIV compartment  PLHIV not on ART, CD4≤200 and gender compartment Female per year</v>
      </c>
      <c r="C117" s="8" t="s">
        <v>146</v>
      </c>
      <c r="D117" s="8" t="s">
        <v>147</v>
      </c>
      <c r="E117" s="8">
        <v>2</v>
      </c>
      <c r="G117" s="9">
        <v>3</v>
      </c>
      <c r="H117" s="9">
        <v>2</v>
      </c>
      <c r="J117" s="9" t="str">
        <f>CONCATENATE(C117, "_", E117, IF(E117&lt;&gt;"",",",""), F117, IF(F117&lt;&gt;"",",",""),  G117, IF(G117&lt;&gt;"",",",""),  H117, IF(I117&lt;&gt;"","(",""), I117, IF(I117&lt;&gt;"",")",""))</f>
        <v>mu_2,3,2</v>
      </c>
      <c r="K117" s="11">
        <f>K109</f>
        <v>1.9E-2</v>
      </c>
      <c r="O117" s="10" t="s">
        <v>304</v>
      </c>
    </row>
    <row r="118" spans="1:15" ht="48">
      <c r="A118" s="20" t="s">
        <v>161</v>
      </c>
      <c r="B118" s="9" t="str">
        <f>CONCATENATE("Mortality rates from populations in TB compartment ",VLOOKUP(E118,TB_SET,2)," and HIV compartment ",VLOOKUP(G118,HIV_SET,2)," and gender compartment ",VLOOKUP(H118,G_SET,2)," per year")</f>
        <v>Mortality rates from populations in TB compartment  Uninfected, on IPT and HIV compartment  PLHIV and on ART and gender compartment Male per year</v>
      </c>
      <c r="C118" s="8" t="s">
        <v>146</v>
      </c>
      <c r="D118" s="8" t="s">
        <v>147</v>
      </c>
      <c r="E118" s="8">
        <v>2</v>
      </c>
      <c r="G118" s="9">
        <v>4</v>
      </c>
      <c r="H118" s="9">
        <v>1</v>
      </c>
      <c r="J118" s="9" t="str">
        <f>CONCATENATE(C118, "_", E118, IF(E118&lt;&gt;"",",",""), F118, IF(F118&lt;&gt;"",",",""),  G118, IF(G118&lt;&gt;"",",",""),  H118, IF(I118&lt;&gt;"","(",""), I118, IF(I118&lt;&gt;"",")",""))</f>
        <v>mu_2,4,1</v>
      </c>
      <c r="K118" s="11">
        <f>K110</f>
        <v>3.96E-3</v>
      </c>
      <c r="O118" s="10" t="s">
        <v>305</v>
      </c>
    </row>
    <row r="119" spans="1:15" ht="48">
      <c r="A119" s="20" t="s">
        <v>162</v>
      </c>
      <c r="B119" s="9" t="str">
        <f>CONCATENATE("Mortality rates from populations in TB compartment ",VLOOKUP(E119,TB_SET,2)," and HIV compartment ",VLOOKUP(G119,HIV_SET,2)," and gender compartment ",VLOOKUP(H119,G_SET,2)," per year")</f>
        <v>Mortality rates from populations in TB compartment  Uninfected, on IPT and HIV compartment  PLHIV and on ART and gender compartment Female per year</v>
      </c>
      <c r="C119" s="8" t="s">
        <v>146</v>
      </c>
      <c r="D119" s="8" t="s">
        <v>147</v>
      </c>
      <c r="E119" s="8">
        <v>2</v>
      </c>
      <c r="G119" s="9">
        <v>4</v>
      </c>
      <c r="H119" s="9">
        <v>2</v>
      </c>
      <c r="J119" s="9" t="str">
        <f>CONCATENATE(C119, "_", E119, IF(E119&lt;&gt;"",",",""), F119, IF(F119&lt;&gt;"",",",""),  G119, IF(G119&lt;&gt;"",",",""),  H119, IF(I119&lt;&gt;"","(",""), I119, IF(I119&lt;&gt;"",")",""))</f>
        <v>mu_2,4,2</v>
      </c>
      <c r="K119" s="11">
        <f>K111</f>
        <v>2.2799999999999999E-3</v>
      </c>
      <c r="O119" s="10" t="s">
        <v>305</v>
      </c>
    </row>
    <row r="120" spans="1:15" ht="51">
      <c r="A120" s="20" t="s">
        <v>163</v>
      </c>
      <c r="B120" s="9" t="str">
        <f>CONCATENATE("Mortality rates from populations in TB compartment ",VLOOKUP(E120,TB_SET,2)," and HIV compartment ",VLOOKUP(G120,HIV_SET,2)," and gender compartment ",VLOOKUP(H120,G_SET,2)," per year")</f>
        <v>Mortality rates from populations in TB compartment  LTBI, infected recently (at risk for rapid progression) and HIV compartment  HIV-negative and gender compartment Male per year</v>
      </c>
      <c r="C120" s="8" t="s">
        <v>146</v>
      </c>
      <c r="D120" s="8" t="s">
        <v>147</v>
      </c>
      <c r="E120" s="8">
        <v>3</v>
      </c>
      <c r="G120" s="9">
        <v>1</v>
      </c>
      <c r="H120" s="9">
        <v>1</v>
      </c>
      <c r="J120" s="9" t="str">
        <f>CONCATENATE(C120, "_", E120, IF(E120&lt;&gt;"",",",""), F120, IF(F120&lt;&gt;"",",",""),  G120, IF(G120&lt;&gt;"",",",""),  H120, IF(I120&lt;&gt;"","(",""), I120, IF(I120&lt;&gt;"",")",""))</f>
        <v>mu_3,1,1</v>
      </c>
      <c r="K120" s="11">
        <f>K104</f>
        <v>3.3E-3</v>
      </c>
      <c r="O120" s="10" t="s">
        <v>299</v>
      </c>
    </row>
    <row r="121" spans="1:15" ht="51">
      <c r="A121" s="20" t="s">
        <v>164</v>
      </c>
      <c r="B121" s="9" t="str">
        <f>CONCATENATE("Mortality rates from populations in TB compartment ",VLOOKUP(E121,TB_SET,2)," and HIV compartment ",VLOOKUP(G121,HIV_SET,2)," and gender compartment ",VLOOKUP(H121,G_SET,2)," per year")</f>
        <v>Mortality rates from populations in TB compartment  LTBI, infected recently (at risk for rapid progression) and HIV compartment  HIV-negative and gender compartment Female per year</v>
      </c>
      <c r="C121" s="8" t="s">
        <v>146</v>
      </c>
      <c r="D121" s="8" t="s">
        <v>147</v>
      </c>
      <c r="E121" s="8">
        <v>3</v>
      </c>
      <c r="G121" s="9">
        <v>1</v>
      </c>
      <c r="H121" s="9">
        <v>2</v>
      </c>
      <c r="J121" s="9" t="str">
        <f>CONCATENATE(C121, "_", E121, IF(E121&lt;&gt;"",",",""), F121, IF(F121&lt;&gt;"",",",""),  G121, IF(G121&lt;&gt;"",",",""),  H121, IF(I121&lt;&gt;"","(",""), I121, IF(I121&lt;&gt;"",")",""))</f>
        <v>mu_3,1,2</v>
      </c>
      <c r="K121" s="11">
        <f>K105</f>
        <v>1.9E-3</v>
      </c>
      <c r="O121" s="10" t="s">
        <v>299</v>
      </c>
    </row>
    <row r="122" spans="1:15" ht="51">
      <c r="A122" s="20" t="s">
        <v>165</v>
      </c>
      <c r="B122" s="9" t="str">
        <f>CONCATENATE("Mortality rates from populations in TB compartment ",VLOOKUP(E122,TB_SET,2)," and HIV compartment ",VLOOKUP(G122,HIV_SET,2)," and gender compartment ",VLOOKUP(H122,G_SET,2)," per year")</f>
        <v>Mortality rates from populations in TB compartment  LTBI, infected recently (at risk for rapid progression) and HIV compartment  PLHIV not on ART, CD4&gt;200 and gender compartment Male per year</v>
      </c>
      <c r="C122" s="8" t="s">
        <v>146</v>
      </c>
      <c r="D122" s="8" t="s">
        <v>147</v>
      </c>
      <c r="E122" s="8">
        <v>3</v>
      </c>
      <c r="G122" s="9">
        <v>2</v>
      </c>
      <c r="H122" s="9">
        <v>1</v>
      </c>
      <c r="J122" s="9" t="str">
        <f>CONCATENATE(C122, "_", E122, IF(E122&lt;&gt;"",",",""), F122, IF(F122&lt;&gt;"",",",""),  G122, IF(G122&lt;&gt;"",",",""),  H122, IF(I122&lt;&gt;"","(",""), I122, IF(I122&lt;&gt;"",")",""))</f>
        <v>mu_3,2,1</v>
      </c>
      <c r="K122" s="11">
        <f>K106</f>
        <v>1.6500000000000001E-2</v>
      </c>
      <c r="O122" s="10" t="s">
        <v>303</v>
      </c>
    </row>
    <row r="123" spans="1:15" ht="51">
      <c r="A123" s="20" t="s">
        <v>166</v>
      </c>
      <c r="B123" s="9" t="str">
        <f>CONCATENATE("Mortality rates from populations in TB compartment ",VLOOKUP(E123,TB_SET,2)," and HIV compartment ",VLOOKUP(G123,HIV_SET,2)," and gender compartment ",VLOOKUP(H123,G_SET,2)," per year")</f>
        <v>Mortality rates from populations in TB compartment  LTBI, infected recently (at risk for rapid progression) and HIV compartment  PLHIV not on ART, CD4&gt;200 and gender compartment Female per year</v>
      </c>
      <c r="C123" s="8" t="s">
        <v>146</v>
      </c>
      <c r="D123" s="8" t="s">
        <v>147</v>
      </c>
      <c r="E123" s="8">
        <v>3</v>
      </c>
      <c r="G123" s="9">
        <v>2</v>
      </c>
      <c r="H123" s="9">
        <v>2</v>
      </c>
      <c r="J123" s="9" t="str">
        <f>CONCATENATE(C123, "_", E123, IF(E123&lt;&gt;"",",",""), F123, IF(F123&lt;&gt;"",",",""),  G123, IF(G123&lt;&gt;"",",",""),  H123, IF(I123&lt;&gt;"","(",""), I123, IF(I123&lt;&gt;"",")",""))</f>
        <v>mu_3,2,2</v>
      </c>
      <c r="K123" s="11">
        <f>K107</f>
        <v>9.4999999999999998E-3</v>
      </c>
      <c r="O123" s="10" t="s">
        <v>303</v>
      </c>
    </row>
    <row r="124" spans="1:15" ht="51">
      <c r="A124" s="20" t="s">
        <v>167</v>
      </c>
      <c r="B124" s="9" t="str">
        <f>CONCATENATE("Mortality rates from populations in TB compartment ",VLOOKUP(E124,TB_SET,2)," and HIV compartment ",VLOOKUP(G124,HIV_SET,2)," and gender compartment ",VLOOKUP(H124,G_SET,2)," per year")</f>
        <v>Mortality rates from populations in TB compartment  LTBI, infected recently (at risk for rapid progression) and HIV compartment  PLHIV not on ART, CD4≤200 and gender compartment Male per year</v>
      </c>
      <c r="C124" s="8" t="s">
        <v>146</v>
      </c>
      <c r="D124" s="8" t="s">
        <v>147</v>
      </c>
      <c r="E124" s="8">
        <v>3</v>
      </c>
      <c r="G124" s="9">
        <v>3</v>
      </c>
      <c r="H124" s="9">
        <v>1</v>
      </c>
      <c r="J124" s="9" t="str">
        <f>CONCATENATE(C124, "_", E124, IF(E124&lt;&gt;"",",",""), F124, IF(F124&lt;&gt;"",",",""),  G124, IF(G124&lt;&gt;"",",",""),  H124, IF(I124&lt;&gt;"","(",""), I124, IF(I124&lt;&gt;"",")",""))</f>
        <v>mu_3,3,1</v>
      </c>
      <c r="K124" s="11">
        <f>K108</f>
        <v>3.3000000000000002E-2</v>
      </c>
      <c r="O124" s="10" t="s">
        <v>304</v>
      </c>
    </row>
    <row r="125" spans="1:15" ht="51">
      <c r="A125" s="20" t="s">
        <v>168</v>
      </c>
      <c r="B125" s="9" t="str">
        <f>CONCATENATE("Mortality rates from populations in TB compartment ",VLOOKUP(E125,TB_SET,2)," and HIV compartment ",VLOOKUP(G125,HIV_SET,2)," and gender compartment ",VLOOKUP(H125,G_SET,2)," per year")</f>
        <v>Mortality rates from populations in TB compartment  LTBI, infected recently (at risk for rapid progression) and HIV compartment  PLHIV not on ART, CD4≤200 and gender compartment Female per year</v>
      </c>
      <c r="C125" s="8" t="s">
        <v>146</v>
      </c>
      <c r="D125" s="8" t="s">
        <v>147</v>
      </c>
      <c r="E125" s="8">
        <v>3</v>
      </c>
      <c r="G125" s="9">
        <v>3</v>
      </c>
      <c r="H125" s="9">
        <v>2</v>
      </c>
      <c r="J125" s="9" t="str">
        <f>CONCATENATE(C125, "_", E125, IF(E125&lt;&gt;"",",",""), F125, IF(F125&lt;&gt;"",",",""),  G125, IF(G125&lt;&gt;"",",",""),  H125, IF(I125&lt;&gt;"","(",""), I125, IF(I125&lt;&gt;"",")",""))</f>
        <v>mu_3,3,2</v>
      </c>
      <c r="K125" s="11">
        <f>K109</f>
        <v>1.9E-2</v>
      </c>
      <c r="O125" s="10" t="s">
        <v>304</v>
      </c>
    </row>
    <row r="126" spans="1:15" ht="51">
      <c r="A126" s="20" t="s">
        <v>169</v>
      </c>
      <c r="B126" s="9" t="str">
        <f>CONCATENATE("Mortality rates from populations in TB compartment ",VLOOKUP(E126,TB_SET,2)," and HIV compartment ",VLOOKUP(G126,HIV_SET,2)," and gender compartment ",VLOOKUP(H126,G_SET,2)," per year")</f>
        <v>Mortality rates from populations in TB compartment  LTBI, infected recently (at risk for rapid progression) and HIV compartment  PLHIV and on ART and gender compartment Male per year</v>
      </c>
      <c r="C126" s="8" t="s">
        <v>146</v>
      </c>
      <c r="D126" s="8" t="s">
        <v>147</v>
      </c>
      <c r="E126" s="8">
        <v>3</v>
      </c>
      <c r="G126" s="9">
        <v>4</v>
      </c>
      <c r="H126" s="9">
        <v>1</v>
      </c>
      <c r="J126" s="9" t="str">
        <f>CONCATENATE(C126, "_", E126, IF(E126&lt;&gt;"",",",""), F126, IF(F126&lt;&gt;"",",",""),  G126, IF(G126&lt;&gt;"",",",""),  H126, IF(I126&lt;&gt;"","(",""), I126, IF(I126&lt;&gt;"",")",""))</f>
        <v>mu_3,4,1</v>
      </c>
      <c r="K126" s="11">
        <f>K110</f>
        <v>3.96E-3</v>
      </c>
      <c r="O126" s="10" t="s">
        <v>305</v>
      </c>
    </row>
    <row r="127" spans="1:15" ht="51">
      <c r="A127" s="20" t="s">
        <v>170</v>
      </c>
      <c r="B127" s="9" t="str">
        <f>CONCATENATE("Mortality rates from populations in TB compartment ",VLOOKUP(E127,TB_SET,2)," and HIV compartment ",VLOOKUP(G127,HIV_SET,2)," and gender compartment ",VLOOKUP(H127,G_SET,2)," per year")</f>
        <v>Mortality rates from populations in TB compartment  LTBI, infected recently (at risk for rapid progression) and HIV compartment  PLHIV and on ART and gender compartment Female per year</v>
      </c>
      <c r="C127" s="8" t="s">
        <v>146</v>
      </c>
      <c r="D127" s="8" t="s">
        <v>147</v>
      </c>
      <c r="E127" s="8">
        <v>3</v>
      </c>
      <c r="G127" s="9">
        <v>4</v>
      </c>
      <c r="H127" s="9">
        <v>2</v>
      </c>
      <c r="J127" s="9" t="str">
        <f>CONCATENATE(C127, "_", E127, IF(E127&lt;&gt;"",",",""), F127, IF(F127&lt;&gt;"",",",""),  G127, IF(G127&lt;&gt;"",",",""),  H127, IF(I127&lt;&gt;"","(",""), I127, IF(I127&lt;&gt;"",")",""))</f>
        <v>mu_3,4,2</v>
      </c>
      <c r="K127" s="11">
        <f>K111</f>
        <v>2.2799999999999999E-3</v>
      </c>
      <c r="O127" s="10" t="s">
        <v>305</v>
      </c>
    </row>
    <row r="128" spans="1:15" ht="48">
      <c r="A128" s="20" t="s">
        <v>171</v>
      </c>
      <c r="B128" s="9" t="str">
        <f>CONCATENATE("Mortality rates from populations in TB compartment ",VLOOKUP(E128,TB_SET,2)," and HIV compartment ",VLOOKUP(G128,HIV_SET,2)," and gender compartment ",VLOOKUP(H128,G_SET,2)," per year")</f>
        <v>Mortality rates from populations in TB compartment  LTBI, infected remotely and HIV compartment  HIV-negative and gender compartment Male per year</v>
      </c>
      <c r="C128" s="8" t="s">
        <v>146</v>
      </c>
      <c r="D128" s="8" t="s">
        <v>147</v>
      </c>
      <c r="E128" s="8">
        <v>4</v>
      </c>
      <c r="G128" s="9">
        <v>1</v>
      </c>
      <c r="H128" s="9">
        <v>1</v>
      </c>
      <c r="J128" s="9" t="str">
        <f>CONCATENATE(C128, "_", E128, IF(E128&lt;&gt;"",",",""), F128, IF(F128&lt;&gt;"",",",""),  G128, IF(G128&lt;&gt;"",",",""),  H128, IF(I128&lt;&gt;"","(",""), I128, IF(I128&lt;&gt;"",")",""))</f>
        <v>mu_4,1,1</v>
      </c>
      <c r="K128" s="11">
        <f>K104</f>
        <v>3.3E-3</v>
      </c>
      <c r="O128" s="10" t="s">
        <v>299</v>
      </c>
    </row>
    <row r="129" spans="1:15" ht="48">
      <c r="A129" s="20" t="s">
        <v>172</v>
      </c>
      <c r="B129" s="9" t="str">
        <f>CONCATENATE("Mortality rates from populations in TB compartment ",VLOOKUP(E129,TB_SET,2)," and HIV compartment ",VLOOKUP(G129,HIV_SET,2)," and gender compartment ",VLOOKUP(H129,G_SET,2)," per year")</f>
        <v>Mortality rates from populations in TB compartment  LTBI, infected remotely and HIV compartment  HIV-negative and gender compartment Female per year</v>
      </c>
      <c r="C129" s="8" t="s">
        <v>146</v>
      </c>
      <c r="D129" s="8" t="s">
        <v>147</v>
      </c>
      <c r="E129" s="8">
        <v>4</v>
      </c>
      <c r="G129" s="9">
        <v>1</v>
      </c>
      <c r="H129" s="9">
        <v>2</v>
      </c>
      <c r="J129" s="9" t="str">
        <f>CONCATENATE(C129, "_", E129, IF(E129&lt;&gt;"",",",""), F129, IF(F129&lt;&gt;"",",",""),  G129, IF(G129&lt;&gt;"",",",""),  H129, IF(I129&lt;&gt;"","(",""), I129, IF(I129&lt;&gt;"",")",""))</f>
        <v>mu_4,1,2</v>
      </c>
      <c r="K129" s="11">
        <f>K105</f>
        <v>1.9E-3</v>
      </c>
      <c r="O129" s="10" t="s">
        <v>299</v>
      </c>
    </row>
    <row r="130" spans="1:15" ht="51">
      <c r="A130" s="20" t="s">
        <v>173</v>
      </c>
      <c r="B130" s="9" t="str">
        <f>CONCATENATE("Mortality rates from populations in TB compartment ",VLOOKUP(E130,TB_SET,2)," and HIV compartment ",VLOOKUP(G130,HIV_SET,2)," and gender compartment ",VLOOKUP(H130,G_SET,2)," per year")</f>
        <v>Mortality rates from populations in TB compartment  LTBI, infected remotely and HIV compartment  PLHIV not on ART, CD4&gt;200 and gender compartment Male per year</v>
      </c>
      <c r="C130" s="8" t="s">
        <v>146</v>
      </c>
      <c r="D130" s="8" t="s">
        <v>147</v>
      </c>
      <c r="E130" s="8">
        <v>4</v>
      </c>
      <c r="G130" s="9">
        <v>2</v>
      </c>
      <c r="H130" s="9">
        <v>1</v>
      </c>
      <c r="J130" s="9" t="str">
        <f>CONCATENATE(C130, "_", E130, IF(E130&lt;&gt;"",",",""), F130, IF(F130&lt;&gt;"",",",""),  G130, IF(G130&lt;&gt;"",",",""),  H130, IF(I130&lt;&gt;"","(",""), I130, IF(I130&lt;&gt;"",")",""))</f>
        <v>mu_4,2,1</v>
      </c>
      <c r="K130" s="11">
        <f>K106</f>
        <v>1.6500000000000001E-2</v>
      </c>
      <c r="O130" s="10" t="s">
        <v>303</v>
      </c>
    </row>
    <row r="131" spans="1:15" ht="51">
      <c r="A131" s="20" t="s">
        <v>174</v>
      </c>
      <c r="B131" s="9" t="str">
        <f>CONCATENATE("Mortality rates from populations in TB compartment ",VLOOKUP(E131,TB_SET,2)," and HIV compartment ",VLOOKUP(G131,HIV_SET,2)," and gender compartment ",VLOOKUP(H131,G_SET,2)," per year")</f>
        <v>Mortality rates from populations in TB compartment  LTBI, infected remotely and HIV compartment  PLHIV not on ART, CD4&gt;200 and gender compartment Female per year</v>
      </c>
      <c r="C131" s="8" t="s">
        <v>146</v>
      </c>
      <c r="D131" s="8" t="s">
        <v>147</v>
      </c>
      <c r="E131" s="8">
        <v>4</v>
      </c>
      <c r="G131" s="9">
        <v>2</v>
      </c>
      <c r="H131" s="9">
        <v>2</v>
      </c>
      <c r="J131" s="9" t="str">
        <f>CONCATENATE(C131, "_", E131, IF(E131&lt;&gt;"",",",""), F131, IF(F131&lt;&gt;"",",",""),  G131, IF(G131&lt;&gt;"",",",""),  H131, IF(I131&lt;&gt;"","(",""), I131, IF(I131&lt;&gt;"",")",""))</f>
        <v>mu_4,2,2</v>
      </c>
      <c r="K131" s="11">
        <f>K107</f>
        <v>9.4999999999999998E-3</v>
      </c>
      <c r="O131" s="10" t="s">
        <v>303</v>
      </c>
    </row>
    <row r="132" spans="1:15" ht="51">
      <c r="A132" s="20" t="s">
        <v>175</v>
      </c>
      <c r="B132" s="9" t="str">
        <f>CONCATENATE("Mortality rates from populations in TB compartment ",VLOOKUP(E132,TB_SET,2)," and HIV compartment ",VLOOKUP(G132,HIV_SET,2)," and gender compartment ",VLOOKUP(H132,G_SET,2)," per year")</f>
        <v>Mortality rates from populations in TB compartment  LTBI, infected remotely and HIV compartment  PLHIV not on ART, CD4≤200 and gender compartment Male per year</v>
      </c>
      <c r="C132" s="8" t="s">
        <v>146</v>
      </c>
      <c r="D132" s="8" t="s">
        <v>147</v>
      </c>
      <c r="E132" s="8">
        <v>4</v>
      </c>
      <c r="G132" s="9">
        <v>3</v>
      </c>
      <c r="H132" s="9">
        <v>1</v>
      </c>
      <c r="J132" s="9" t="str">
        <f>CONCATENATE(C132, "_", E132, IF(E132&lt;&gt;"",",",""), F132, IF(F132&lt;&gt;"",",",""),  G132, IF(G132&lt;&gt;"",",",""),  H132, IF(I132&lt;&gt;"","(",""), I132, IF(I132&lt;&gt;"",")",""))</f>
        <v>mu_4,3,1</v>
      </c>
      <c r="K132" s="11">
        <f>K108</f>
        <v>3.3000000000000002E-2</v>
      </c>
      <c r="O132" s="10" t="s">
        <v>304</v>
      </c>
    </row>
    <row r="133" spans="1:15" ht="51">
      <c r="A133" s="20" t="s">
        <v>176</v>
      </c>
      <c r="B133" s="9" t="str">
        <f>CONCATENATE("Mortality rates from populations in TB compartment ",VLOOKUP(E133,TB_SET,2)," and HIV compartment ",VLOOKUP(G133,HIV_SET,2)," and gender compartment ",VLOOKUP(H133,G_SET,2)," per year")</f>
        <v>Mortality rates from populations in TB compartment  LTBI, infected remotely and HIV compartment  PLHIV not on ART, CD4≤200 and gender compartment Female per year</v>
      </c>
      <c r="C133" s="8" t="s">
        <v>146</v>
      </c>
      <c r="D133" s="8" t="s">
        <v>147</v>
      </c>
      <c r="E133" s="8">
        <v>4</v>
      </c>
      <c r="G133" s="9">
        <v>3</v>
      </c>
      <c r="H133" s="9">
        <v>2</v>
      </c>
      <c r="J133" s="9" t="str">
        <f>CONCATENATE(C133, "_", E133, IF(E133&lt;&gt;"",",",""), F133, IF(F133&lt;&gt;"",",",""),  G133, IF(G133&lt;&gt;"",",",""),  H133, IF(I133&lt;&gt;"","(",""), I133, IF(I133&lt;&gt;"",")",""))</f>
        <v>mu_4,3,2</v>
      </c>
      <c r="K133" s="11">
        <f>K109</f>
        <v>1.9E-2</v>
      </c>
      <c r="O133" s="10" t="s">
        <v>304</v>
      </c>
    </row>
    <row r="134" spans="1:15" ht="51">
      <c r="A134" s="20" t="s">
        <v>177</v>
      </c>
      <c r="B134" s="9" t="str">
        <f>CONCATENATE("Mortality rates from populations in TB compartment ",VLOOKUP(E134,TB_SET,2)," and HIV compartment ",VLOOKUP(G134,HIV_SET,2)," and gender compartment ",VLOOKUP(H134,G_SET,2)," per year")</f>
        <v>Mortality rates from populations in TB compartment  LTBI, infected remotely and HIV compartment  PLHIV and on ART and gender compartment Male per year</v>
      </c>
      <c r="C134" s="8" t="s">
        <v>146</v>
      </c>
      <c r="D134" s="8" t="s">
        <v>147</v>
      </c>
      <c r="E134" s="8">
        <v>4</v>
      </c>
      <c r="G134" s="9">
        <v>4</v>
      </c>
      <c r="H134" s="9">
        <v>1</v>
      </c>
      <c r="J134" s="9" t="str">
        <f>CONCATENATE(C134, "_", E134, IF(E134&lt;&gt;"",",",""), F134, IF(F134&lt;&gt;"",",",""),  G134, IF(G134&lt;&gt;"",",",""),  H134, IF(I134&lt;&gt;"","(",""), I134, IF(I134&lt;&gt;"",")",""))</f>
        <v>mu_4,4,1</v>
      </c>
      <c r="K134" s="11">
        <f>K110</f>
        <v>3.96E-3</v>
      </c>
      <c r="O134" s="10" t="s">
        <v>305</v>
      </c>
    </row>
    <row r="135" spans="1:15" ht="51">
      <c r="A135" s="20" t="s">
        <v>178</v>
      </c>
      <c r="B135" s="9" t="str">
        <f>CONCATENATE("Mortality rates from populations in TB compartment ",VLOOKUP(E135,TB_SET,2)," and HIV compartment ",VLOOKUP(G135,HIV_SET,2)," and gender compartment ",VLOOKUP(H135,G_SET,2)," per year")</f>
        <v>Mortality rates from populations in TB compartment  LTBI, infected remotely and HIV compartment  PLHIV and on ART and gender compartment Female per year</v>
      </c>
      <c r="C135" s="8" t="s">
        <v>146</v>
      </c>
      <c r="D135" s="8" t="s">
        <v>147</v>
      </c>
      <c r="E135" s="8">
        <v>4</v>
      </c>
      <c r="G135" s="9">
        <v>4</v>
      </c>
      <c r="H135" s="9">
        <v>2</v>
      </c>
      <c r="J135" s="9" t="str">
        <f>CONCATENATE(C135, "_", E135, IF(E135&lt;&gt;"",",",""), F135, IF(F135&lt;&gt;"",",",""),  G135, IF(G135&lt;&gt;"",",",""),  H135, IF(I135&lt;&gt;"","(",""), I135, IF(I135&lt;&gt;"",")",""))</f>
        <v>mu_4,4,2</v>
      </c>
      <c r="K135" s="11">
        <f>K111</f>
        <v>2.2799999999999999E-3</v>
      </c>
      <c r="O135" s="10" t="s">
        <v>305</v>
      </c>
    </row>
    <row r="136" spans="1:15" ht="48">
      <c r="A136" s="20" t="s">
        <v>179</v>
      </c>
      <c r="B136" s="9" t="str">
        <f>CONCATENATE("Mortality rates from populations in TB compartment ",VLOOKUP(E136,TB_SET,2)," and HIV compartment ",VLOOKUP(G136,HIV_SET,2)," and gender compartment ",VLOOKUP(H136,G_SET,2)," per year")</f>
        <v>Mortality rates from populations in TB compartment  LTBI, on IPT and HIV compartment  HIV-negative and gender compartment Male per year</v>
      </c>
      <c r="C136" s="8" t="s">
        <v>146</v>
      </c>
      <c r="D136" s="8" t="s">
        <v>147</v>
      </c>
      <c r="E136" s="8">
        <v>5</v>
      </c>
      <c r="G136" s="9">
        <v>1</v>
      </c>
      <c r="H136" s="9">
        <v>1</v>
      </c>
      <c r="J136" s="9" t="str">
        <f>CONCATENATE(C136, "_", E136, IF(E136&lt;&gt;"",",",""), F136, IF(F136&lt;&gt;"",",",""),  G136, IF(G136&lt;&gt;"",",",""),  H136, IF(I136&lt;&gt;"","(",""), I136, IF(I136&lt;&gt;"",")",""))</f>
        <v>mu_5,1,1</v>
      </c>
      <c r="K136" s="11">
        <f>K104</f>
        <v>3.3E-3</v>
      </c>
      <c r="O136" s="10" t="s">
        <v>299</v>
      </c>
    </row>
    <row r="137" spans="1:15" ht="48">
      <c r="A137" s="20" t="s">
        <v>180</v>
      </c>
      <c r="B137" s="9" t="str">
        <f>CONCATENATE("Mortality rates from populations in TB compartment ",VLOOKUP(E137,TB_SET,2)," and HIV compartment ",VLOOKUP(G137,HIV_SET,2)," and gender compartment ",VLOOKUP(H137,G_SET,2)," per year")</f>
        <v>Mortality rates from populations in TB compartment  LTBI, on IPT and HIV compartment  HIV-negative and gender compartment Female per year</v>
      </c>
      <c r="C137" s="8" t="s">
        <v>146</v>
      </c>
      <c r="D137" s="8" t="s">
        <v>147</v>
      </c>
      <c r="E137" s="8">
        <v>5</v>
      </c>
      <c r="G137" s="9">
        <v>1</v>
      </c>
      <c r="H137" s="9">
        <v>2</v>
      </c>
      <c r="J137" s="9" t="str">
        <f>CONCATENATE(C137, "_", E137, IF(E137&lt;&gt;"",",",""), F137, IF(F137&lt;&gt;"",",",""),  G137, IF(G137&lt;&gt;"",",",""),  H137, IF(I137&lt;&gt;"","(",""), I137, IF(I137&lt;&gt;"",")",""))</f>
        <v>mu_5,1,2</v>
      </c>
      <c r="K137" s="11">
        <f>K105</f>
        <v>1.9E-3</v>
      </c>
      <c r="O137" s="10" t="s">
        <v>299</v>
      </c>
    </row>
    <row r="138" spans="1:15" ht="51">
      <c r="A138" s="20" t="s">
        <v>181</v>
      </c>
      <c r="B138" s="9" t="str">
        <f>CONCATENATE("Mortality rates from populations in TB compartment ",VLOOKUP(E138,TB_SET,2)," and HIV compartment ",VLOOKUP(G138,HIV_SET,2)," and gender compartment ",VLOOKUP(H138,G_SET,2)," per year")</f>
        <v>Mortality rates from populations in TB compartment  LTBI, on IPT and HIV compartment  PLHIV not on ART, CD4&gt;200 and gender compartment Male per year</v>
      </c>
      <c r="C138" s="8" t="s">
        <v>146</v>
      </c>
      <c r="D138" s="8" t="s">
        <v>147</v>
      </c>
      <c r="E138" s="8">
        <v>5</v>
      </c>
      <c r="G138" s="9">
        <v>2</v>
      </c>
      <c r="H138" s="9">
        <v>1</v>
      </c>
      <c r="J138" s="9" t="str">
        <f>CONCATENATE(C138, "_", E138, IF(E138&lt;&gt;"",",",""), F138, IF(F138&lt;&gt;"",",",""),  G138, IF(G138&lt;&gt;"",",",""),  H138, IF(I138&lt;&gt;"","(",""), I138, IF(I138&lt;&gt;"",")",""))</f>
        <v>mu_5,2,1</v>
      </c>
      <c r="K138" s="11">
        <f>K106</f>
        <v>1.6500000000000001E-2</v>
      </c>
      <c r="O138" s="10" t="s">
        <v>303</v>
      </c>
    </row>
    <row r="139" spans="1:15" ht="51">
      <c r="A139" s="20" t="s">
        <v>182</v>
      </c>
      <c r="B139" s="9" t="str">
        <f>CONCATENATE("Mortality rates from populations in TB compartment ",VLOOKUP(E139,TB_SET,2)," and HIV compartment ",VLOOKUP(G139,HIV_SET,2)," and gender compartment ",VLOOKUP(H139,G_SET,2)," per year")</f>
        <v>Mortality rates from populations in TB compartment  LTBI, on IPT and HIV compartment  PLHIV not on ART, CD4&gt;200 and gender compartment Female per year</v>
      </c>
      <c r="C139" s="8" t="s">
        <v>146</v>
      </c>
      <c r="D139" s="8" t="s">
        <v>147</v>
      </c>
      <c r="E139" s="8">
        <v>5</v>
      </c>
      <c r="G139" s="9">
        <v>2</v>
      </c>
      <c r="H139" s="9">
        <v>2</v>
      </c>
      <c r="J139" s="9" t="str">
        <f>CONCATENATE(C139, "_", E139, IF(E139&lt;&gt;"",",",""), F139, IF(F139&lt;&gt;"",",",""),  G139, IF(G139&lt;&gt;"",",",""),  H139, IF(I139&lt;&gt;"","(",""), I139, IF(I139&lt;&gt;"",")",""))</f>
        <v>mu_5,2,2</v>
      </c>
      <c r="K139" s="11">
        <f>K107</f>
        <v>9.4999999999999998E-3</v>
      </c>
      <c r="O139" s="10" t="s">
        <v>303</v>
      </c>
    </row>
    <row r="140" spans="1:15" ht="51">
      <c r="A140" s="20" t="s">
        <v>183</v>
      </c>
      <c r="B140" s="9" t="str">
        <f>CONCATENATE("Mortality rates from populations in TB compartment ",VLOOKUP(E140,TB_SET,2)," and HIV compartment ",VLOOKUP(G140,HIV_SET,2)," and gender compartment ",VLOOKUP(H140,G_SET,2)," per year")</f>
        <v>Mortality rates from populations in TB compartment  LTBI, on IPT and HIV compartment  PLHIV not on ART, CD4≤200 and gender compartment Male per year</v>
      </c>
      <c r="C140" s="8" t="s">
        <v>146</v>
      </c>
      <c r="D140" s="8" t="s">
        <v>147</v>
      </c>
      <c r="E140" s="8">
        <v>5</v>
      </c>
      <c r="G140" s="9">
        <v>3</v>
      </c>
      <c r="H140" s="9">
        <v>1</v>
      </c>
      <c r="J140" s="9" t="str">
        <f>CONCATENATE(C140, "_", E140, IF(E140&lt;&gt;"",",",""), F140, IF(F140&lt;&gt;"",",",""),  G140, IF(G140&lt;&gt;"",",",""),  H140, IF(I140&lt;&gt;"","(",""), I140, IF(I140&lt;&gt;"",")",""))</f>
        <v>mu_5,3,1</v>
      </c>
      <c r="K140" s="11">
        <f>K108</f>
        <v>3.3000000000000002E-2</v>
      </c>
      <c r="O140" s="10" t="s">
        <v>304</v>
      </c>
    </row>
    <row r="141" spans="1:15" ht="51">
      <c r="A141" s="20" t="s">
        <v>184</v>
      </c>
      <c r="B141" s="9" t="str">
        <f>CONCATENATE("Mortality rates from populations in TB compartment ",VLOOKUP(E141,TB_SET,2)," and HIV compartment ",VLOOKUP(G141,HIV_SET,2)," and gender compartment ",VLOOKUP(H141,G_SET,2)," per year")</f>
        <v>Mortality rates from populations in TB compartment  LTBI, on IPT and HIV compartment  PLHIV not on ART, CD4≤200 and gender compartment Female per year</v>
      </c>
      <c r="C141" s="8" t="s">
        <v>146</v>
      </c>
      <c r="D141" s="8" t="s">
        <v>147</v>
      </c>
      <c r="E141" s="8">
        <v>5</v>
      </c>
      <c r="G141" s="9">
        <v>3</v>
      </c>
      <c r="H141" s="9">
        <v>2</v>
      </c>
      <c r="J141" s="9" t="str">
        <f>CONCATENATE(C141, "_", E141, IF(E141&lt;&gt;"",",",""), F141, IF(F141&lt;&gt;"",",",""),  G141, IF(G141&lt;&gt;"",",",""),  H141, IF(I141&lt;&gt;"","(",""), I141, IF(I141&lt;&gt;"",")",""))</f>
        <v>mu_5,3,2</v>
      </c>
      <c r="K141" s="11">
        <f>K109</f>
        <v>1.9E-2</v>
      </c>
      <c r="O141" s="10" t="s">
        <v>304</v>
      </c>
    </row>
    <row r="142" spans="1:15" ht="48">
      <c r="A142" s="20" t="s">
        <v>185</v>
      </c>
      <c r="B142" s="9" t="str">
        <f>CONCATENATE("Mortality rates from populations in TB compartment ",VLOOKUP(E142,TB_SET,2)," and HIV compartment ",VLOOKUP(G142,HIV_SET,2)," and gender compartment ",VLOOKUP(H142,G_SET,2)," per year")</f>
        <v>Mortality rates from populations in TB compartment  LTBI, on IPT and HIV compartment  PLHIV and on ART and gender compartment Male per year</v>
      </c>
      <c r="C142" s="8" t="s">
        <v>146</v>
      </c>
      <c r="D142" s="8" t="s">
        <v>147</v>
      </c>
      <c r="E142" s="8">
        <v>5</v>
      </c>
      <c r="G142" s="9">
        <v>4</v>
      </c>
      <c r="H142" s="9">
        <v>1</v>
      </c>
      <c r="J142" s="9" t="str">
        <f>CONCATENATE(C142, "_", E142, IF(E142&lt;&gt;"",",",""), F142, IF(F142&lt;&gt;"",",",""),  G142, IF(G142&lt;&gt;"",",",""),  H142, IF(I142&lt;&gt;"","(",""), I142, IF(I142&lt;&gt;"",")",""))</f>
        <v>mu_5,4,1</v>
      </c>
      <c r="K142" s="11">
        <f>K110</f>
        <v>3.96E-3</v>
      </c>
      <c r="O142" s="10" t="s">
        <v>305</v>
      </c>
    </row>
    <row r="143" spans="1:15" ht="48">
      <c r="A143" s="20" t="s">
        <v>186</v>
      </c>
      <c r="B143" s="9" t="str">
        <f>CONCATENATE("Mortality rates from populations in TB compartment ",VLOOKUP(E143,TB_SET,2)," and HIV compartment ",VLOOKUP(G143,HIV_SET,2)," and gender compartment ",VLOOKUP(H143,G_SET,2)," per year")</f>
        <v>Mortality rates from populations in TB compartment  LTBI, on IPT and HIV compartment  PLHIV and on ART and gender compartment Female per year</v>
      </c>
      <c r="C143" s="8" t="s">
        <v>146</v>
      </c>
      <c r="D143" s="8" t="s">
        <v>147</v>
      </c>
      <c r="E143" s="8">
        <v>5</v>
      </c>
      <c r="G143" s="9">
        <v>4</v>
      </c>
      <c r="H143" s="9">
        <v>2</v>
      </c>
      <c r="J143" s="9" t="str">
        <f>CONCATENATE(C143, "_", E143, IF(E143&lt;&gt;"",",",""), F143, IF(F143&lt;&gt;"",",",""),  G143, IF(G143&lt;&gt;"",",",""),  H143, IF(I143&lt;&gt;"","(",""), I143, IF(I143&lt;&gt;"",")",""))</f>
        <v>mu_5,4,2</v>
      </c>
      <c r="K143" s="11">
        <f>K111</f>
        <v>2.2799999999999999E-3</v>
      </c>
      <c r="O143" s="10" t="s">
        <v>305</v>
      </c>
    </row>
    <row r="144" spans="1:15" ht="48">
      <c r="A144" s="20" t="s">
        <v>187</v>
      </c>
      <c r="B144" s="9" t="str">
        <f>CONCATENATE("Mortality rates from populations in TB compartment ",VLOOKUP(E144,TB_SET,2)," and HIV compartment ",VLOOKUP(G144,HIV_SET,2)," and gender compartment ",VLOOKUP(H144,G_SET,2)," per year")</f>
        <v>Mortality rates from populations in TB compartment  Active and HIV compartment  HIV-negative and gender compartment Male per year</v>
      </c>
      <c r="C144" s="8" t="s">
        <v>146</v>
      </c>
      <c r="D144" s="8" t="s">
        <v>147</v>
      </c>
      <c r="E144" s="8">
        <v>6</v>
      </c>
      <c r="G144" s="9">
        <v>1</v>
      </c>
      <c r="H144" s="9">
        <v>1</v>
      </c>
      <c r="J144" s="9" t="str">
        <f>CONCATENATE(C144, "_", E144, IF(E144&lt;&gt;"",",",""), F144, IF(F144&lt;&gt;"",",",""),  G144, IF(G144&lt;&gt;"",",",""),  H144, IF(I144&lt;&gt;"","(",""), I144, IF(I144&lt;&gt;"",")",""))</f>
        <v>mu_6,1,1</v>
      </c>
      <c r="K144" s="11">
        <f>K104*20</f>
        <v>6.6000000000000003E-2</v>
      </c>
      <c r="O144" s="10" t="s">
        <v>308</v>
      </c>
    </row>
    <row r="145" spans="1:15" ht="48">
      <c r="A145" s="20" t="s">
        <v>188</v>
      </c>
      <c r="B145" s="9" t="str">
        <f>CONCATENATE("Mortality rates from populations in TB compartment ",VLOOKUP(E145,TB_SET,2)," and HIV compartment ",VLOOKUP(G145,HIV_SET,2)," and gender compartment ",VLOOKUP(H145,G_SET,2)," per year")</f>
        <v>Mortality rates from populations in TB compartment  Active and HIV compartment  HIV-negative and gender compartment Female per year</v>
      </c>
      <c r="C145" s="8" t="s">
        <v>146</v>
      </c>
      <c r="D145" s="8" t="s">
        <v>147</v>
      </c>
      <c r="E145" s="8">
        <v>6</v>
      </c>
      <c r="G145" s="9">
        <v>1</v>
      </c>
      <c r="H145" s="9">
        <v>2</v>
      </c>
      <c r="J145" s="9" t="str">
        <f>CONCATENATE(C145, "_", E145, IF(E145&lt;&gt;"",",",""), F145, IF(F145&lt;&gt;"",",",""),  G145, IF(G145&lt;&gt;"",",",""),  H145, IF(I145&lt;&gt;"","(",""), I145, IF(I145&lt;&gt;"",")",""))</f>
        <v>mu_6,1,2</v>
      </c>
      <c r="K145" s="11">
        <f>K105*20</f>
        <v>3.7999999999999999E-2</v>
      </c>
      <c r="O145" s="10" t="s">
        <v>308</v>
      </c>
    </row>
    <row r="146" spans="1:15" ht="51">
      <c r="A146" s="20" t="s">
        <v>189</v>
      </c>
      <c r="B146" s="9" t="str">
        <f>CONCATENATE("Mortality rates from populations in TB compartment ",VLOOKUP(E146,TB_SET,2)," and HIV compartment ",VLOOKUP(G146,HIV_SET,2)," and gender compartment ",VLOOKUP(H146,G_SET,2)," per year")</f>
        <v>Mortality rates from populations in TB compartment  Active and HIV compartment  PLHIV not on ART, CD4&gt;200 and gender compartment Male per year</v>
      </c>
      <c r="C146" s="8" t="s">
        <v>146</v>
      </c>
      <c r="D146" s="8" t="s">
        <v>147</v>
      </c>
      <c r="E146" s="8">
        <v>6</v>
      </c>
      <c r="G146" s="9">
        <v>2</v>
      </c>
      <c r="H146" s="9">
        <v>1</v>
      </c>
      <c r="J146" s="9" t="str">
        <f>CONCATENATE(C146, "_", E146, IF(E146&lt;&gt;"",",",""), F146, IF(F146&lt;&gt;"",",",""),  G146, IF(G146&lt;&gt;"",",",""),  H146, IF(I146&lt;&gt;"","(",""), I146, IF(I146&lt;&gt;"",")",""))</f>
        <v>mu_6,2,1</v>
      </c>
      <c r="K146" s="11">
        <f>K104*50</f>
        <v>0.16500000000000001</v>
      </c>
      <c r="O146" s="10" t="s">
        <v>309</v>
      </c>
    </row>
    <row r="147" spans="1:15" ht="51">
      <c r="A147" s="20" t="s">
        <v>190</v>
      </c>
      <c r="B147" s="9" t="str">
        <f>CONCATENATE("Mortality rates from populations in TB compartment ",VLOOKUP(E147,TB_SET,2)," and HIV compartment ",VLOOKUP(G147,HIV_SET,2)," and gender compartment ",VLOOKUP(H147,G_SET,2)," per year")</f>
        <v>Mortality rates from populations in TB compartment  Active and HIV compartment  PLHIV not on ART, CD4&gt;200 and gender compartment Female per year</v>
      </c>
      <c r="C147" s="8" t="s">
        <v>146</v>
      </c>
      <c r="D147" s="8" t="s">
        <v>147</v>
      </c>
      <c r="E147" s="8">
        <v>6</v>
      </c>
      <c r="G147" s="9">
        <v>2</v>
      </c>
      <c r="H147" s="9">
        <v>2</v>
      </c>
      <c r="J147" s="9" t="str">
        <f>CONCATENATE(C147, "_", E147, IF(E147&lt;&gt;"",",",""), F147, IF(F147&lt;&gt;"",",",""),  G147, IF(G147&lt;&gt;"",",",""),  H147, IF(I147&lt;&gt;"","(",""), I147, IF(I147&lt;&gt;"",")",""))</f>
        <v>mu_6,2,2</v>
      </c>
      <c r="K147" s="11">
        <f>K105*50</f>
        <v>9.5000000000000001E-2</v>
      </c>
      <c r="O147" s="10" t="s">
        <v>309</v>
      </c>
    </row>
    <row r="148" spans="1:15" ht="51">
      <c r="A148" s="20" t="s">
        <v>191</v>
      </c>
      <c r="B148" s="9" t="str">
        <f>CONCATENATE("Mortality rates from populations in TB compartment ",VLOOKUP(E148,TB_SET,2)," and HIV compartment ",VLOOKUP(G148,HIV_SET,2)," and gender compartment ",VLOOKUP(H148,G_SET,2)," per year")</f>
        <v>Mortality rates from populations in TB compartment  Active and HIV compartment  PLHIV not on ART, CD4≤200 and gender compartment Male per year</v>
      </c>
      <c r="C148" s="8" t="s">
        <v>146</v>
      </c>
      <c r="D148" s="8" t="s">
        <v>147</v>
      </c>
      <c r="E148" s="8">
        <v>6</v>
      </c>
      <c r="G148" s="9">
        <v>3</v>
      </c>
      <c r="H148" s="9">
        <v>1</v>
      </c>
      <c r="J148" s="9" t="str">
        <f>CONCATENATE(C148, "_", E148, IF(E148&lt;&gt;"",",",""), F148, IF(F148&lt;&gt;"",",",""),  G148, IF(G148&lt;&gt;"",",",""),  H148, IF(I148&lt;&gt;"","(",""), I148, IF(I148&lt;&gt;"",")",""))</f>
        <v>mu_6,3,1</v>
      </c>
      <c r="K148" s="11">
        <f>K104*100</f>
        <v>0.33</v>
      </c>
      <c r="O148" s="10" t="s">
        <v>309</v>
      </c>
    </row>
    <row r="149" spans="1:15" ht="51">
      <c r="A149" s="20" t="s">
        <v>192</v>
      </c>
      <c r="B149" s="9" t="str">
        <f>CONCATENATE("Mortality rates from populations in TB compartment ",VLOOKUP(E149,TB_SET,2)," and HIV compartment ",VLOOKUP(G149,HIV_SET,2)," and gender compartment ",VLOOKUP(H149,G_SET,2)," per year")</f>
        <v>Mortality rates from populations in TB compartment  Active and HIV compartment  PLHIV not on ART, CD4≤200 and gender compartment Female per year</v>
      </c>
      <c r="C149" s="8" t="s">
        <v>146</v>
      </c>
      <c r="D149" s="8" t="s">
        <v>147</v>
      </c>
      <c r="E149" s="8">
        <v>6</v>
      </c>
      <c r="G149" s="9">
        <v>3</v>
      </c>
      <c r="H149" s="9">
        <v>2</v>
      </c>
      <c r="J149" s="9" t="str">
        <f>CONCATENATE(C149, "_", E149, IF(E149&lt;&gt;"",",",""), F149, IF(F149&lt;&gt;"",",",""),  G149, IF(G149&lt;&gt;"",",",""),  H149, IF(I149&lt;&gt;"","(",""), I149, IF(I149&lt;&gt;"",")",""))</f>
        <v>mu_6,3,2</v>
      </c>
      <c r="K149" s="11">
        <f>K105*100</f>
        <v>0.19</v>
      </c>
      <c r="O149" s="10" t="s">
        <v>309</v>
      </c>
    </row>
    <row r="150" spans="1:15" ht="48">
      <c r="A150" s="20" t="s">
        <v>193</v>
      </c>
      <c r="B150" s="9" t="str">
        <f>CONCATENATE("Mortality rates from populations in TB compartment ",VLOOKUP(E150,TB_SET,2)," and HIV compartment ",VLOOKUP(G150,HIV_SET,2)," and gender compartment ",VLOOKUP(H150,G_SET,2)," per year")</f>
        <v>Mortality rates from populations in TB compartment  Active and HIV compartment  PLHIV and on ART and gender compartment Male per year</v>
      </c>
      <c r="C150" s="8" t="s">
        <v>146</v>
      </c>
      <c r="D150" s="8" t="s">
        <v>147</v>
      </c>
      <c r="E150" s="8">
        <v>6</v>
      </c>
      <c r="G150" s="9">
        <v>4</v>
      </c>
      <c r="H150" s="9">
        <v>1</v>
      </c>
      <c r="J150" s="9" t="str">
        <f>CONCATENATE(C150, "_", E150, IF(E150&lt;&gt;"",",",""), F150, IF(F150&lt;&gt;"",",",""),  G150, IF(G150&lt;&gt;"",",",""),  H150, IF(I150&lt;&gt;"","(",""), I150, IF(I150&lt;&gt;"",")",""))</f>
        <v>mu_6,4,1</v>
      </c>
      <c r="K150" s="11">
        <f>K104*30</f>
        <v>9.9000000000000005E-2</v>
      </c>
      <c r="O150" s="10" t="s">
        <v>309</v>
      </c>
    </row>
    <row r="151" spans="1:15" ht="48">
      <c r="A151" s="20" t="s">
        <v>194</v>
      </c>
      <c r="B151" s="9" t="str">
        <f>CONCATENATE("Mortality rates from populations in TB compartment ",VLOOKUP(E151,TB_SET,2)," and HIV compartment ",VLOOKUP(G151,HIV_SET,2)," and gender compartment ",VLOOKUP(H151,G_SET,2)," per year")</f>
        <v>Mortality rates from populations in TB compartment  Active and HIV compartment  PLHIV and on ART and gender compartment Female per year</v>
      </c>
      <c r="C151" s="8" t="s">
        <v>146</v>
      </c>
      <c r="D151" s="8" t="s">
        <v>147</v>
      </c>
      <c r="E151" s="8">
        <v>6</v>
      </c>
      <c r="G151" s="9">
        <v>4</v>
      </c>
      <c r="H151" s="9">
        <v>2</v>
      </c>
      <c r="J151" s="9" t="str">
        <f>CONCATENATE(C151, "_", E151, IF(E151&lt;&gt;"",",",""), F151, IF(F151&lt;&gt;"",",",""),  G151, IF(G151&lt;&gt;"",",",""),  H151, IF(I151&lt;&gt;"","(",""), I151, IF(I151&lt;&gt;"",")",""))</f>
        <v>mu_6,4,2</v>
      </c>
      <c r="K151" s="11">
        <f>K105*30</f>
        <v>5.7000000000000002E-2</v>
      </c>
      <c r="O151" s="10" t="s">
        <v>309</v>
      </c>
    </row>
    <row r="152" spans="1:15" ht="48">
      <c r="A152" s="20" t="s">
        <v>195</v>
      </c>
      <c r="B152" s="9" t="str">
        <f>CONCATENATE("Mortality rates from populations in TB compartment ",VLOOKUP(E152,TB_SET,2)," and HIV compartment ",VLOOKUP(G152,HIV_SET,2)," and gender compartment ",VLOOKUP(H152,G_SET,2)," per year")</f>
        <v>Mortality rates from populations in TB compartment  Recovered/Treated and HIV compartment  HIV-negative and gender compartment Male per year</v>
      </c>
      <c r="C152" s="8" t="s">
        <v>146</v>
      </c>
      <c r="D152" s="8" t="s">
        <v>147</v>
      </c>
      <c r="E152" s="8">
        <v>7</v>
      </c>
      <c r="G152" s="9">
        <v>1</v>
      </c>
      <c r="H152" s="9">
        <v>1</v>
      </c>
      <c r="J152" s="9" t="str">
        <f>CONCATENATE(C152, "_", E152, IF(E152&lt;&gt;"",",",""), F152, IF(F152&lt;&gt;"",",",""),  G152, IF(G152&lt;&gt;"",",",""),  H152, IF(I152&lt;&gt;"","(",""), I152, IF(I152&lt;&gt;"",")",""))</f>
        <v>mu_7,1,1</v>
      </c>
      <c r="K152" s="11">
        <f>K104</f>
        <v>3.3E-3</v>
      </c>
      <c r="O152" s="10" t="s">
        <v>299</v>
      </c>
    </row>
    <row r="153" spans="1:15" ht="48">
      <c r="A153" s="20" t="s">
        <v>196</v>
      </c>
      <c r="B153" s="9" t="str">
        <f>CONCATENATE("Mortality rates from populations in TB compartment ",VLOOKUP(E153,TB_SET,2)," and HIV compartment ",VLOOKUP(G153,HIV_SET,2)," and gender compartment ",VLOOKUP(H153,G_SET,2)," per year")</f>
        <v>Mortality rates from populations in TB compartment  Recovered/Treated and HIV compartment  HIV-negative and gender compartment Female per year</v>
      </c>
      <c r="C153" s="8" t="s">
        <v>146</v>
      </c>
      <c r="D153" s="8" t="s">
        <v>147</v>
      </c>
      <c r="E153" s="8">
        <v>7</v>
      </c>
      <c r="G153" s="9">
        <v>1</v>
      </c>
      <c r="H153" s="9">
        <v>2</v>
      </c>
      <c r="J153" s="9" t="str">
        <f>CONCATENATE(C153, "_", E153, IF(E153&lt;&gt;"",",",""), F153, IF(F153&lt;&gt;"",",",""),  G153, IF(G153&lt;&gt;"",",",""),  H153, IF(I153&lt;&gt;"","(",""), I153, IF(I153&lt;&gt;"",")",""))</f>
        <v>mu_7,1,2</v>
      </c>
      <c r="K153" s="11">
        <f>K105</f>
        <v>1.9E-3</v>
      </c>
      <c r="O153" s="10" t="s">
        <v>299</v>
      </c>
    </row>
    <row r="154" spans="1:15" ht="51">
      <c r="A154" s="20" t="s">
        <v>197</v>
      </c>
      <c r="B154" s="9" t="str">
        <f>CONCATENATE("Mortality rates from populations in TB compartment ",VLOOKUP(E154,TB_SET,2)," and HIV compartment ",VLOOKUP(G154,HIV_SET,2)," and gender compartment ",VLOOKUP(H154,G_SET,2)," per year")</f>
        <v>Mortality rates from populations in TB compartment  Recovered/Treated and HIV compartment  PLHIV not on ART, CD4&gt;200 and gender compartment Male per year</v>
      </c>
      <c r="C154" s="8" t="s">
        <v>146</v>
      </c>
      <c r="D154" s="8" t="s">
        <v>147</v>
      </c>
      <c r="E154" s="8">
        <v>7</v>
      </c>
      <c r="G154" s="9">
        <v>2</v>
      </c>
      <c r="H154" s="9">
        <v>1</v>
      </c>
      <c r="J154" s="9" t="str">
        <f>CONCATENATE(C154, "_", E154, IF(E154&lt;&gt;"",",",""), F154, IF(F154&lt;&gt;"",",",""),  G154, IF(G154&lt;&gt;"",",",""),  H154, IF(I154&lt;&gt;"","(",""), I154, IF(I154&lt;&gt;"",")",""))</f>
        <v>mu_7,2,1</v>
      </c>
      <c r="K154" s="11">
        <f>K106</f>
        <v>1.6500000000000001E-2</v>
      </c>
      <c r="O154" s="10" t="s">
        <v>303</v>
      </c>
    </row>
    <row r="155" spans="1:15" ht="51">
      <c r="A155" s="20" t="s">
        <v>198</v>
      </c>
      <c r="B155" s="9" t="str">
        <f>CONCATENATE("Mortality rates from populations in TB compartment ",VLOOKUP(E155,TB_SET,2)," and HIV compartment ",VLOOKUP(G155,HIV_SET,2)," and gender compartment ",VLOOKUP(H155,G_SET,2)," per year")</f>
        <v>Mortality rates from populations in TB compartment  Recovered/Treated and HIV compartment  PLHIV not on ART, CD4&gt;200 and gender compartment Female per year</v>
      </c>
      <c r="C155" s="8" t="s">
        <v>146</v>
      </c>
      <c r="D155" s="8" t="s">
        <v>147</v>
      </c>
      <c r="E155" s="8">
        <v>7</v>
      </c>
      <c r="G155" s="9">
        <v>2</v>
      </c>
      <c r="H155" s="9">
        <v>2</v>
      </c>
      <c r="J155" s="9" t="str">
        <f>CONCATENATE(C155, "_", E155, IF(E155&lt;&gt;"",",",""), F155, IF(F155&lt;&gt;"",",",""),  G155, IF(G155&lt;&gt;"",",",""),  H155, IF(I155&lt;&gt;"","(",""), I155, IF(I155&lt;&gt;"",")",""))</f>
        <v>mu_7,2,2</v>
      </c>
      <c r="K155" s="11">
        <f>K107</f>
        <v>9.4999999999999998E-3</v>
      </c>
      <c r="O155" s="10" t="s">
        <v>303</v>
      </c>
    </row>
    <row r="156" spans="1:15" ht="51">
      <c r="A156" s="20" t="s">
        <v>199</v>
      </c>
      <c r="B156" s="9" t="str">
        <f>CONCATENATE("Mortality rates from populations in TB compartment ",VLOOKUP(E156,TB_SET,2)," and HIV compartment ",VLOOKUP(G156,HIV_SET,2)," and gender compartment ",VLOOKUP(H156,G_SET,2)," per year")</f>
        <v>Mortality rates from populations in TB compartment  Recovered/Treated and HIV compartment  PLHIV not on ART, CD4≤200 and gender compartment Male per year</v>
      </c>
      <c r="C156" s="8" t="s">
        <v>146</v>
      </c>
      <c r="D156" s="8" t="s">
        <v>147</v>
      </c>
      <c r="E156" s="8">
        <v>7</v>
      </c>
      <c r="G156" s="9">
        <v>3</v>
      </c>
      <c r="H156" s="9">
        <v>1</v>
      </c>
      <c r="J156" s="9" t="str">
        <f>CONCATENATE(C156, "_", E156, IF(E156&lt;&gt;"",",",""), F156, IF(F156&lt;&gt;"",",",""),  G156, IF(G156&lt;&gt;"",",",""),  H156, IF(I156&lt;&gt;"","(",""), I156, IF(I156&lt;&gt;"",")",""))</f>
        <v>mu_7,3,1</v>
      </c>
      <c r="K156" s="11">
        <f>K108</f>
        <v>3.3000000000000002E-2</v>
      </c>
      <c r="O156" s="10" t="s">
        <v>304</v>
      </c>
    </row>
    <row r="157" spans="1:15" ht="51">
      <c r="A157" s="20" t="s">
        <v>200</v>
      </c>
      <c r="B157" s="9" t="str">
        <f>CONCATENATE("Mortality rates from populations in TB compartment ",VLOOKUP(E157,TB_SET,2)," and HIV compartment ",VLOOKUP(G157,HIV_SET,2)," and gender compartment ",VLOOKUP(H157,G_SET,2)," per year")</f>
        <v>Mortality rates from populations in TB compartment  Recovered/Treated and HIV compartment  PLHIV not on ART, CD4≤200 and gender compartment Female per year</v>
      </c>
      <c r="C157" s="8" t="s">
        <v>146</v>
      </c>
      <c r="D157" s="8" t="s">
        <v>147</v>
      </c>
      <c r="E157" s="8">
        <v>7</v>
      </c>
      <c r="G157" s="9">
        <v>3</v>
      </c>
      <c r="H157" s="9">
        <v>2</v>
      </c>
      <c r="J157" s="9" t="str">
        <f>CONCATENATE(C157, "_", E157, IF(E157&lt;&gt;"",",",""), F157, IF(F157&lt;&gt;"",",",""),  G157, IF(G157&lt;&gt;"",",",""),  H157, IF(I157&lt;&gt;"","(",""), I157, IF(I157&lt;&gt;"",")",""))</f>
        <v>mu_7,3,2</v>
      </c>
      <c r="K157" s="11">
        <f>K109</f>
        <v>1.9E-2</v>
      </c>
      <c r="O157" s="10" t="s">
        <v>304</v>
      </c>
    </row>
    <row r="158" spans="1:15" ht="48">
      <c r="A158" s="20" t="s">
        <v>201</v>
      </c>
      <c r="B158" s="9" t="str">
        <f>CONCATENATE("Mortality rates from populations in TB compartment ",VLOOKUP(E158,TB_SET,2)," and HIV compartment ",VLOOKUP(G158,HIV_SET,2)," and gender compartment ",VLOOKUP(H158,G_SET,2)," per year")</f>
        <v>Mortality rates from populations in TB compartment  Recovered/Treated and HIV compartment  PLHIV and on ART and gender compartment Male per year</v>
      </c>
      <c r="C158" s="8" t="s">
        <v>146</v>
      </c>
      <c r="D158" s="8" t="s">
        <v>147</v>
      </c>
      <c r="E158" s="8">
        <v>7</v>
      </c>
      <c r="G158" s="9">
        <v>4</v>
      </c>
      <c r="H158" s="9">
        <v>1</v>
      </c>
      <c r="J158" s="9" t="str">
        <f>CONCATENATE(C158, "_", E158, IF(E158&lt;&gt;"",",",""), F158, IF(F158&lt;&gt;"",",",""),  G158, IF(G158&lt;&gt;"",",",""),  H158, IF(I158&lt;&gt;"","(",""), I158, IF(I158&lt;&gt;"",")",""))</f>
        <v>mu_7,4,1</v>
      </c>
      <c r="K158" s="11">
        <f>K110</f>
        <v>3.96E-3</v>
      </c>
      <c r="O158" s="10" t="s">
        <v>305</v>
      </c>
    </row>
    <row r="159" spans="1:15" ht="48">
      <c r="A159" s="20" t="s">
        <v>202</v>
      </c>
      <c r="B159" s="9" t="str">
        <f>CONCATENATE("Mortality rates from populations in TB compartment ",VLOOKUP(E159,TB_SET,2)," and HIV compartment ",VLOOKUP(G159,HIV_SET,2)," and gender compartment ",VLOOKUP(H159,G_SET,2)," per year")</f>
        <v>Mortality rates from populations in TB compartment  Recovered/Treated and HIV compartment  PLHIV and on ART and gender compartment Female per year</v>
      </c>
      <c r="C159" s="8" t="s">
        <v>146</v>
      </c>
      <c r="D159" s="8" t="s">
        <v>147</v>
      </c>
      <c r="E159" s="8">
        <v>7</v>
      </c>
      <c r="G159" s="9">
        <v>4</v>
      </c>
      <c r="H159" s="9">
        <v>2</v>
      </c>
      <c r="J159" s="9" t="str">
        <f>CONCATENATE(C159, "_", E159, IF(E159&lt;&gt;"",",",""), F159, IF(F159&lt;&gt;"",",",""),  G159, IF(G159&lt;&gt;"",",",""),  H159, IF(I159&lt;&gt;"","(",""), I159, IF(I159&lt;&gt;"",")",""))</f>
        <v>mu_7,4,2</v>
      </c>
      <c r="K159" s="11">
        <f>K111</f>
        <v>2.2799999999999999E-3</v>
      </c>
      <c r="O159" s="10" t="s">
        <v>305</v>
      </c>
    </row>
    <row r="160" spans="1:15" ht="48">
      <c r="A160" s="20" t="s">
        <v>203</v>
      </c>
      <c r="B160" s="9" t="str">
        <f>CONCATENATE("Mortality rates from populations in TB compartment ",VLOOKUP(E160,TB_SET,2)," and HIV compartment ",VLOOKUP(G160,HIV_SET,2)," and gender compartment ",VLOOKUP(H160,G_SET,2)," per year")</f>
        <v>Mortality rates from populations in TB compartment  LTBI, after IPT and HIV compartment  HIV-negative and gender compartment Male per year</v>
      </c>
      <c r="C160" s="8" t="s">
        <v>146</v>
      </c>
      <c r="D160" s="8" t="s">
        <v>147</v>
      </c>
      <c r="E160" s="8">
        <v>8</v>
      </c>
      <c r="G160" s="9">
        <v>1</v>
      </c>
      <c r="H160" s="9">
        <v>1</v>
      </c>
      <c r="J160" s="9" t="str">
        <f>CONCATENATE(C160, "_", E160, IF(E160&lt;&gt;"",",",""), F160, IF(F160&lt;&gt;"",",",""),  G160, IF(G160&lt;&gt;"",",",""),  H160, IF(I160&lt;&gt;"","(",""), I160, IF(I160&lt;&gt;"",")",""))</f>
        <v>mu_8,1,1</v>
      </c>
      <c r="K160" s="11">
        <f>K104</f>
        <v>3.3E-3</v>
      </c>
      <c r="O160" s="10" t="s">
        <v>299</v>
      </c>
    </row>
    <row r="161" spans="1:15" ht="48">
      <c r="A161" s="20" t="s">
        <v>204</v>
      </c>
      <c r="B161" s="9" t="str">
        <f>CONCATENATE("Mortality rates from populations in TB compartment ",VLOOKUP(E161,TB_SET,2)," and HIV compartment ",VLOOKUP(G161,HIV_SET,2)," and gender compartment ",VLOOKUP(H161,G_SET,2)," per year")</f>
        <v>Mortality rates from populations in TB compartment  LTBI, after IPT and HIV compartment  HIV-negative and gender compartment Female per year</v>
      </c>
      <c r="C161" s="8" t="s">
        <v>146</v>
      </c>
      <c r="D161" s="8" t="s">
        <v>147</v>
      </c>
      <c r="E161" s="8">
        <v>8</v>
      </c>
      <c r="G161" s="9">
        <v>1</v>
      </c>
      <c r="H161" s="9">
        <v>2</v>
      </c>
      <c r="J161" s="9" t="str">
        <f>CONCATENATE(C161, "_", E161, IF(E161&lt;&gt;"",",",""), F161, IF(F161&lt;&gt;"",",",""),  G161, IF(G161&lt;&gt;"",",",""),  H161, IF(I161&lt;&gt;"","(",""), I161, IF(I161&lt;&gt;"",")",""))</f>
        <v>mu_8,1,2</v>
      </c>
      <c r="K161" s="11">
        <f>K105</f>
        <v>1.9E-3</v>
      </c>
      <c r="O161" s="10" t="s">
        <v>299</v>
      </c>
    </row>
    <row r="162" spans="1:15" ht="51">
      <c r="A162" s="20" t="s">
        <v>205</v>
      </c>
      <c r="B162" s="9" t="str">
        <f>CONCATENATE("Mortality rates from populations in TB compartment ",VLOOKUP(E162,TB_SET,2)," and HIV compartment ",VLOOKUP(G162,HIV_SET,2)," and gender compartment ",VLOOKUP(H162,G_SET,2)," per year")</f>
        <v>Mortality rates from populations in TB compartment  LTBI, after IPT and HIV compartment  PLHIV not on ART, CD4&gt;200 and gender compartment Male per year</v>
      </c>
      <c r="C162" s="8" t="s">
        <v>146</v>
      </c>
      <c r="D162" s="8" t="s">
        <v>147</v>
      </c>
      <c r="E162" s="8">
        <v>8</v>
      </c>
      <c r="G162" s="9">
        <v>2</v>
      </c>
      <c r="H162" s="9">
        <v>1</v>
      </c>
      <c r="J162" s="9" t="str">
        <f>CONCATENATE(C162, "_", E162, IF(E162&lt;&gt;"",",",""), F162, IF(F162&lt;&gt;"",",",""),  G162, IF(G162&lt;&gt;"",",",""),  H162, IF(I162&lt;&gt;"","(",""), I162, IF(I162&lt;&gt;"",")",""))</f>
        <v>mu_8,2,1</v>
      </c>
      <c r="K162" s="11">
        <f>K106</f>
        <v>1.6500000000000001E-2</v>
      </c>
      <c r="O162" s="10" t="s">
        <v>303</v>
      </c>
    </row>
    <row r="163" spans="1:15" ht="51">
      <c r="A163" s="20" t="s">
        <v>206</v>
      </c>
      <c r="B163" s="9" t="str">
        <f>CONCATENATE("Mortality rates from populations in TB compartment ",VLOOKUP(E163,TB_SET,2)," and HIV compartment ",VLOOKUP(G163,HIV_SET,2)," and gender compartment ",VLOOKUP(H163,G_SET,2)," per year")</f>
        <v>Mortality rates from populations in TB compartment  LTBI, after IPT and HIV compartment  PLHIV not on ART, CD4&gt;200 and gender compartment Female per year</v>
      </c>
      <c r="C163" s="8" t="s">
        <v>146</v>
      </c>
      <c r="D163" s="8" t="s">
        <v>147</v>
      </c>
      <c r="E163" s="8">
        <v>8</v>
      </c>
      <c r="G163" s="9">
        <v>2</v>
      </c>
      <c r="H163" s="9">
        <v>2</v>
      </c>
      <c r="J163" s="9" t="str">
        <f>CONCATENATE(C163, "_", E163, IF(E163&lt;&gt;"",",",""), F163, IF(F163&lt;&gt;"",",",""),  G163, IF(G163&lt;&gt;"",",",""),  H163, IF(I163&lt;&gt;"","(",""), I163, IF(I163&lt;&gt;"",")",""))</f>
        <v>mu_8,2,2</v>
      </c>
      <c r="K163" s="11">
        <f>K107</f>
        <v>9.4999999999999998E-3</v>
      </c>
      <c r="O163" s="10" t="s">
        <v>303</v>
      </c>
    </row>
    <row r="164" spans="1:15" ht="51">
      <c r="A164" s="20" t="s">
        <v>207</v>
      </c>
      <c r="B164" s="9" t="str">
        <f>CONCATENATE("Mortality rates from populations in TB compartment ",VLOOKUP(E164,TB_SET,2)," and HIV compartment ",VLOOKUP(G164,HIV_SET,2)," and gender compartment ",VLOOKUP(H164,G_SET,2)," per year")</f>
        <v>Mortality rates from populations in TB compartment  LTBI, after IPT and HIV compartment  PLHIV not on ART, CD4≤200 and gender compartment Male per year</v>
      </c>
      <c r="C164" s="8" t="s">
        <v>146</v>
      </c>
      <c r="D164" s="8" t="s">
        <v>147</v>
      </c>
      <c r="E164" s="8">
        <v>8</v>
      </c>
      <c r="G164" s="9">
        <v>3</v>
      </c>
      <c r="H164" s="9">
        <v>1</v>
      </c>
      <c r="J164" s="9" t="str">
        <f>CONCATENATE(C164, "_", E164, IF(E164&lt;&gt;"",",",""), F164, IF(F164&lt;&gt;"",",",""),  G164, IF(G164&lt;&gt;"",",",""),  H164, IF(I164&lt;&gt;"","(",""), I164, IF(I164&lt;&gt;"",")",""))</f>
        <v>mu_8,3,1</v>
      </c>
      <c r="K164" s="11">
        <f>K108</f>
        <v>3.3000000000000002E-2</v>
      </c>
      <c r="O164" s="10" t="s">
        <v>304</v>
      </c>
    </row>
    <row r="165" spans="1:15" ht="51">
      <c r="A165" s="20" t="s">
        <v>208</v>
      </c>
      <c r="B165" s="9" t="str">
        <f>CONCATENATE("Mortality rates from populations in TB compartment ",VLOOKUP(E165,TB_SET,2)," and HIV compartment ",VLOOKUP(G165,HIV_SET,2)," and gender compartment ",VLOOKUP(H165,G_SET,2)," per year")</f>
        <v>Mortality rates from populations in TB compartment  LTBI, after IPT and HIV compartment  PLHIV not on ART, CD4≤200 and gender compartment Female per year</v>
      </c>
      <c r="C165" s="8" t="s">
        <v>146</v>
      </c>
      <c r="D165" s="8" t="s">
        <v>147</v>
      </c>
      <c r="E165" s="8">
        <v>8</v>
      </c>
      <c r="G165" s="9">
        <v>3</v>
      </c>
      <c r="H165" s="9">
        <v>2</v>
      </c>
      <c r="J165" s="9" t="str">
        <f>CONCATENATE(C165, "_", E165, IF(E165&lt;&gt;"",",",""), F165, IF(F165&lt;&gt;"",",",""),  G165, IF(G165&lt;&gt;"",",",""),  H165, IF(I165&lt;&gt;"","(",""), I165, IF(I165&lt;&gt;"",")",""))</f>
        <v>mu_8,3,2</v>
      </c>
      <c r="K165" s="11">
        <f>K109</f>
        <v>1.9E-2</v>
      </c>
      <c r="O165" s="10" t="s">
        <v>304</v>
      </c>
    </row>
    <row r="166" spans="1:15" ht="48">
      <c r="A166" s="20" t="s">
        <v>209</v>
      </c>
      <c r="B166" s="9" t="str">
        <f>CONCATENATE("Mortality rates from populations in TB compartment ",VLOOKUP(E166,TB_SET,2)," and HIV compartment ",VLOOKUP(G166,HIV_SET,2)," and gender compartment ",VLOOKUP(H166,G_SET,2)," per year")</f>
        <v>Mortality rates from populations in TB compartment  LTBI, after IPT and HIV compartment  PLHIV and on ART and gender compartment Male per year</v>
      </c>
      <c r="C166" s="8" t="s">
        <v>146</v>
      </c>
      <c r="D166" s="8" t="s">
        <v>147</v>
      </c>
      <c r="E166" s="8">
        <v>8</v>
      </c>
      <c r="G166" s="9">
        <v>4</v>
      </c>
      <c r="H166" s="9">
        <v>1</v>
      </c>
      <c r="J166" s="9" t="str">
        <f>CONCATENATE(C166, "_", E166, IF(E166&lt;&gt;"",",",""), F166, IF(F166&lt;&gt;"",",",""),  G166, IF(G166&lt;&gt;"",",",""),  H166, IF(I166&lt;&gt;"","(",""), I166, IF(I166&lt;&gt;"",")",""))</f>
        <v>mu_8,4,1</v>
      </c>
      <c r="K166" s="11">
        <f>K110</f>
        <v>3.96E-3</v>
      </c>
      <c r="O166" s="10" t="s">
        <v>305</v>
      </c>
    </row>
    <row r="167" spans="1:15" ht="48">
      <c r="A167" s="20" t="s">
        <v>210</v>
      </c>
      <c r="B167" s="9" t="str">
        <f>CONCATENATE("Mortality rates from populations in TB compartment ",VLOOKUP(E167,TB_SET,2)," and HIV compartment ",VLOOKUP(G167,HIV_SET,2)," and gender compartment ",VLOOKUP(H167,G_SET,2)," per year")</f>
        <v>Mortality rates from populations in TB compartment  LTBI, after IPT and HIV compartment  PLHIV and on ART and gender compartment Female per year</v>
      </c>
      <c r="C167" s="8" t="s">
        <v>146</v>
      </c>
      <c r="D167" s="8" t="s">
        <v>147</v>
      </c>
      <c r="E167" s="8">
        <v>8</v>
      </c>
      <c r="G167" s="9">
        <v>4</v>
      </c>
      <c r="H167" s="9">
        <v>2</v>
      </c>
      <c r="J167" s="9" t="str">
        <f>CONCATENATE(C167, "_", E167, IF(E167&lt;&gt;"",",",""), F167, IF(F167&lt;&gt;"",",",""),  G167, IF(G167&lt;&gt;"",",",""),  H167, IF(I167&lt;&gt;"","(",""), I167, IF(I167&lt;&gt;"",")",""))</f>
        <v>mu_8,4,2</v>
      </c>
      <c r="K167" s="11">
        <f>K111</f>
        <v>2.2799999999999999E-3</v>
      </c>
      <c r="O167" s="10" t="s">
        <v>305</v>
      </c>
    </row>
    <row r="168" spans="1:15" ht="17">
      <c r="A168" s="34" t="s">
        <v>347</v>
      </c>
      <c r="C168" s="8" t="s">
        <v>124</v>
      </c>
      <c r="D168" s="8" t="s">
        <v>43</v>
      </c>
      <c r="E168" s="8"/>
      <c r="J168" s="9" t="str">
        <f>CONCATENATE(C168, "_", E168, IF(E168&lt;&gt;"",",",""), F168, IF(F168&lt;&gt;"",",",""),  G168, IF(G168&lt;&gt;"",",",""),  H168, IF(I168&lt;&gt;"","(",""), I168, IF(I168&lt;&gt;"",")",""))</f>
        <v>omega_</v>
      </c>
      <c r="K168" s="9">
        <v>2</v>
      </c>
      <c r="O168" s="10" t="s">
        <v>125</v>
      </c>
    </row>
    <row r="169" spans="1:15" ht="32">
      <c r="A169" s="20" t="s">
        <v>28</v>
      </c>
      <c r="B169" s="21" t="s">
        <v>28</v>
      </c>
      <c r="C169" s="8" t="s">
        <v>29</v>
      </c>
      <c r="D169" s="8" t="s">
        <v>17</v>
      </c>
      <c r="E169" s="8"/>
      <c r="G169" s="9">
        <v>1</v>
      </c>
      <c r="J169" s="9" t="str">
        <f>CONCATENATE(C169, "_", E169, IF(E169&lt;&gt;"",",",""), F169, IF(F169&lt;&gt;"",",",""),  G169, IF(G169&lt;&gt;"",",",""),  H169, IF(I169&lt;&gt;"","(",""), I169, IF(I169&lt;&gt;"",")",""))</f>
        <v>phi_1,</v>
      </c>
      <c r="K169" s="9">
        <v>0.7</v>
      </c>
      <c r="N169" s="9" t="s">
        <v>30</v>
      </c>
      <c r="O169" s="10" t="s">
        <v>31</v>
      </c>
    </row>
    <row r="170" spans="1:15" ht="32">
      <c r="A170" s="20" t="s">
        <v>32</v>
      </c>
      <c r="B170" s="21" t="s">
        <v>32</v>
      </c>
      <c r="C170" s="8" t="s">
        <v>29</v>
      </c>
      <c r="D170" s="8" t="s">
        <v>17</v>
      </c>
      <c r="E170" s="8"/>
      <c r="G170" s="9">
        <v>2</v>
      </c>
      <c r="J170" s="9" t="str">
        <f>CONCATENATE(C170, "_", E170, IF(E170&lt;&gt;"",",",""), F170, IF(F170&lt;&gt;"",",",""),  G170, IF(G170&lt;&gt;"",",",""),  H170, IF(I170&lt;&gt;"","(",""), I170, IF(I170&lt;&gt;"",")",""))</f>
        <v>phi_2,</v>
      </c>
      <c r="K170" s="9">
        <f>$K$8*'Indirect Model Parameters'!G2</f>
        <v>0.2</v>
      </c>
      <c r="N170" s="9" t="s">
        <v>30</v>
      </c>
      <c r="O170" s="10" t="s">
        <v>31</v>
      </c>
    </row>
    <row r="171" spans="1:15" ht="34">
      <c r="A171" s="20" t="s">
        <v>33</v>
      </c>
      <c r="B171" s="21" t="s">
        <v>33</v>
      </c>
      <c r="C171" s="8" t="s">
        <v>29</v>
      </c>
      <c r="D171" s="8" t="s">
        <v>17</v>
      </c>
      <c r="E171" s="8"/>
      <c r="G171" s="9">
        <v>3</v>
      </c>
      <c r="J171" s="9" t="str">
        <f>CONCATENATE(C171, "_", E171, IF(E171&lt;&gt;"",",",""), F171, IF(F171&lt;&gt;"",",",""),  G171, IF(G171&lt;&gt;"",",",""),  H171, IF(I171&lt;&gt;"","(",""), I171, IF(I171&lt;&gt;"",")",""))</f>
        <v>phi_3,</v>
      </c>
      <c r="K171" s="9">
        <f>$K$8*'Indirect Model Parameters'!G3</f>
        <v>0.22000000000000003</v>
      </c>
      <c r="N171" s="9" t="s">
        <v>30</v>
      </c>
      <c r="O171" s="10" t="s">
        <v>31</v>
      </c>
    </row>
    <row r="172" spans="1:15" ht="32">
      <c r="A172" s="20" t="s">
        <v>34</v>
      </c>
      <c r="B172" s="21" t="s">
        <v>34</v>
      </c>
      <c r="C172" s="8" t="s">
        <v>29</v>
      </c>
      <c r="D172" s="8" t="s">
        <v>17</v>
      </c>
      <c r="E172" s="8"/>
      <c r="G172" s="9">
        <v>4</v>
      </c>
      <c r="J172" s="9" t="str">
        <f>CONCATENATE(C172, "_", E172, IF(E172&lt;&gt;"",",",""), F172, IF(F172&lt;&gt;"",",",""),  G172, IF(G172&lt;&gt;"",",",""),  H172, IF(I172&lt;&gt;"","(",""), I172, IF(I172&lt;&gt;"",")",""))</f>
        <v>phi_4,</v>
      </c>
      <c r="K172" s="9">
        <f>$K$8*'Indirect Model Parameters'!G4</f>
        <v>0.2</v>
      </c>
      <c r="N172" s="9" t="s">
        <v>30</v>
      </c>
      <c r="O172" s="10" t="s">
        <v>31</v>
      </c>
    </row>
    <row r="173" spans="1:15" ht="17">
      <c r="A173" s="20" t="s">
        <v>126</v>
      </c>
      <c r="B173" s="9" t="s">
        <v>127</v>
      </c>
      <c r="C173" s="8" t="s">
        <v>128</v>
      </c>
      <c r="D173" s="8" t="s">
        <v>43</v>
      </c>
      <c r="E173" s="8">
        <v>34</v>
      </c>
      <c r="J173" s="9" t="str">
        <f>CONCATENATE(C173, "_", E173, IF(E173&lt;&gt;"",",",""), F173, IF(F173&lt;&gt;"",",",""),  G173, IF(G173&lt;&gt;"",",",""),  H173, IF(I173&lt;&gt;"","(",""), I173, IF(I173&lt;&gt;"",")",""))</f>
        <v>pi_34,</v>
      </c>
      <c r="K173" s="9">
        <v>0.5</v>
      </c>
      <c r="O173" s="10" t="s">
        <v>129</v>
      </c>
    </row>
    <row r="174" spans="1:15" ht="17">
      <c r="A174" s="20" t="s">
        <v>130</v>
      </c>
      <c r="B174" s="9" t="s">
        <v>130</v>
      </c>
      <c r="C174" s="8" t="s">
        <v>128</v>
      </c>
      <c r="D174" s="8" t="s">
        <v>43</v>
      </c>
      <c r="E174" s="8">
        <v>36</v>
      </c>
      <c r="J174" s="9" t="str">
        <f>CONCATENATE(C174, "_", E174, IF(E174&lt;&gt;"",",",""), F174, IF(F174&lt;&gt;"",",",""),  G174, IF(G174&lt;&gt;"",",",""),  H174, IF(I174&lt;&gt;"","(",""), I174, IF(I174&lt;&gt;"",")",""))</f>
        <v>pi_36,</v>
      </c>
      <c r="K174" s="9">
        <v>0.15</v>
      </c>
    </row>
    <row r="175" spans="1:15" ht="17">
      <c r="A175" s="20" t="s">
        <v>131</v>
      </c>
      <c r="B175" s="9" t="s">
        <v>130</v>
      </c>
      <c r="C175" s="8" t="s">
        <v>128</v>
      </c>
      <c r="D175" s="8" t="s">
        <v>43</v>
      </c>
      <c r="E175" s="8">
        <v>46</v>
      </c>
      <c r="J175" s="9" t="str">
        <f>CONCATENATE(C175, "_", E175, IF(E175&lt;&gt;"",",",""), F175, IF(F175&lt;&gt;"",",",""),  G175, IF(G175&lt;&gt;"",",",""),  H175, IF(I175&lt;&gt;"","(",""), I175, IF(I175&lt;&gt;"",")",""))</f>
        <v>pi_46,</v>
      </c>
      <c r="K175" s="9">
        <v>0.05</v>
      </c>
    </row>
    <row r="176" spans="1:15" ht="17">
      <c r="A176" s="20" t="s">
        <v>132</v>
      </c>
      <c r="B176" s="9" t="s">
        <v>132</v>
      </c>
      <c r="C176" s="8" t="s">
        <v>128</v>
      </c>
      <c r="D176" s="8" t="s">
        <v>43</v>
      </c>
      <c r="E176" s="8">
        <v>56</v>
      </c>
      <c r="J176" s="9" t="str">
        <f>CONCATENATE(C176, "_", E176, IF(E176&lt;&gt;"",",",""), F176, IF(F176&lt;&gt;"",",",""),  G176, IF(G176&lt;&gt;"",",",""),  H176, IF(I176&lt;&gt;"","(",""), I176, IF(I176&lt;&gt;"",")",""))</f>
        <v>pi_56,</v>
      </c>
      <c r="K176" s="9">
        <v>0.02</v>
      </c>
    </row>
    <row r="177" spans="1:11" ht="34">
      <c r="A177" s="22" t="s">
        <v>256</v>
      </c>
      <c r="B177" s="22" t="s">
        <v>256</v>
      </c>
      <c r="C177" s="9" t="s">
        <v>128</v>
      </c>
      <c r="D177" s="9" t="s">
        <v>43</v>
      </c>
      <c r="E177" s="9">
        <v>67</v>
      </c>
      <c r="J177" s="9" t="str">
        <f>CONCATENATE(C177, "_", E177, IF(E177&lt;&gt;"",",",""), F177, IF(F177&lt;&gt;"",",",""),  G177, IF(G177&lt;&gt;"",",",""),  H177, IF(I177&lt;&gt;"","(",""), I177, IF(I177&lt;&gt;"",")",""))</f>
        <v>pi_67,</v>
      </c>
      <c r="K177" s="23">
        <v>2</v>
      </c>
    </row>
    <row r="178" spans="1:11" ht="34">
      <c r="A178" s="20" t="s">
        <v>211</v>
      </c>
      <c r="B178" s="9" t="str">
        <f>CONCATENATE("Birth rate into HIV compartment ", VLOOKUP(G178, HIV_SET, 2), " and gender compartment ", VLOOKUP(H178, G_SET, 2), ", per year")</f>
        <v>Birth rate into HIV compartment  HIV-negative and gender compartment Male, per year</v>
      </c>
      <c r="C178" s="8" t="s">
        <v>212</v>
      </c>
      <c r="D178" s="8" t="s">
        <v>147</v>
      </c>
      <c r="E178" s="8">
        <v>1</v>
      </c>
      <c r="G178" s="9">
        <v>1</v>
      </c>
      <c r="H178" s="9">
        <v>1</v>
      </c>
      <c r="J178" s="9" t="str">
        <f>CONCATENATE(C178, "_", E178, IF(E178&lt;&gt;"",",",""), F178, IF(F178&lt;&gt;"",",",""),  G178, IF(G178&lt;&gt;"",",",""),  H178, IF(I178&lt;&gt;"","(",""), I178, IF(I178&lt;&gt;"",")",""))</f>
        <v>rho_1,1,1</v>
      </c>
      <c r="K178" s="23">
        <v>0.02</v>
      </c>
    </row>
    <row r="179" spans="1:11" ht="34">
      <c r="A179" s="20" t="s">
        <v>214</v>
      </c>
      <c r="B179" s="9" t="str">
        <f>CONCATENATE("Birth rate into HIV compartment ", VLOOKUP(G179, HIV_SET, 2), " and gender compartment ", VLOOKUP(H179, G_SET, 2), ", per year")</f>
        <v>Birth rate into HIV compartment  HIV-negative and gender compartment Female, per year</v>
      </c>
      <c r="C179" s="8" t="s">
        <v>212</v>
      </c>
      <c r="D179" s="8" t="s">
        <v>147</v>
      </c>
      <c r="E179" s="8">
        <v>1</v>
      </c>
      <c r="G179" s="9">
        <v>1</v>
      </c>
      <c r="H179" s="9">
        <v>2</v>
      </c>
      <c r="J179" s="9" t="str">
        <f>CONCATENATE(C179, "_", E179, IF(E179&lt;&gt;"",",",""), F179, IF(F179&lt;&gt;"",",",""),  G179, IF(G179&lt;&gt;"",",",""),  H179, IF(I179&lt;&gt;"","(",""), I179, IF(I179&lt;&gt;"",")",""))</f>
        <v>rho_1,1,2</v>
      </c>
      <c r="K179" s="23">
        <f>K171*0.95</f>
        <v>0.20900000000000002</v>
      </c>
    </row>
    <row r="180" spans="1:11" ht="34">
      <c r="A180" s="20" t="s">
        <v>213</v>
      </c>
      <c r="B180" s="9" t="str">
        <f>CONCATENATE("Birth rate into HIV compartment ", VLOOKUP(G180, HIV_SET, 2), " and gender compartment ", VLOOKUP(H180, G_SET, 2), ", per year")</f>
        <v>Birth rate into HIV compartment  PLHIV not on ART, CD4&gt;200 and gender compartment Male, per year</v>
      </c>
      <c r="C180" s="8" t="s">
        <v>212</v>
      </c>
      <c r="D180" s="8" t="s">
        <v>147</v>
      </c>
      <c r="E180" s="8">
        <v>1</v>
      </c>
      <c r="G180" s="9">
        <v>2</v>
      </c>
      <c r="H180" s="9">
        <v>1</v>
      </c>
      <c r="J180" s="9" t="str">
        <f>CONCATENATE(C180, "_", E180, IF(E180&lt;&gt;"",",",""), F180, IF(F180&lt;&gt;"",",",""),  G180, IF(G180&lt;&gt;"",",",""),  H180, IF(I180&lt;&gt;"","(",""), I180, IF(I180&lt;&gt;"",")",""))</f>
        <v>rho_1,2,1</v>
      </c>
      <c r="K180" s="23">
        <f>K176*0.01</f>
        <v>2.0000000000000001E-4</v>
      </c>
    </row>
    <row r="181" spans="1:11" ht="34">
      <c r="A181" s="20" t="s">
        <v>215</v>
      </c>
      <c r="B181" s="9" t="str">
        <f>CONCATENATE("Birth rate into HIV compartment ", VLOOKUP(G181, HIV_SET, 2), " and gender compartment ", VLOOKUP(H181, G_SET, 2), ", per year")</f>
        <v>Birth rate into HIV compartment  PLHIV not on ART, CD4&gt;200 and gender compartment Female, per year</v>
      </c>
      <c r="C181" s="8" t="s">
        <v>212</v>
      </c>
      <c r="D181" s="8" t="s">
        <v>147</v>
      </c>
      <c r="E181" s="8">
        <v>1</v>
      </c>
      <c r="G181" s="9">
        <v>2</v>
      </c>
      <c r="H181" s="9">
        <v>2</v>
      </c>
      <c r="J181" s="9" t="str">
        <f>CONCATENATE(C181, "_", E181, IF(E181&lt;&gt;"",",",""), F181, IF(F181&lt;&gt;"",",",""),  G181, IF(G181&lt;&gt;"",",",""),  H181, IF(I181&lt;&gt;"","(",""), I181, IF(I181&lt;&gt;"",")",""))</f>
        <v>rho_1,2,2</v>
      </c>
      <c r="K181" s="23">
        <f>K173*0.95</f>
        <v>0.47499999999999998</v>
      </c>
    </row>
    <row r="182" spans="1:11" ht="34">
      <c r="A182" s="20" t="s">
        <v>211</v>
      </c>
      <c r="B182" s="9" t="str">
        <f>CONCATENATE("Birth rate into HIV compartment ", VLOOKUP(G182, HIV_SET, 2), " and gender compartment ", VLOOKUP(H182, G_SET, 2), ", per year")</f>
        <v>Birth rate into HIV compartment  HIV-negative and gender compartment Male, per year</v>
      </c>
      <c r="C182" s="8" t="s">
        <v>212</v>
      </c>
      <c r="D182" s="8" t="s">
        <v>147</v>
      </c>
      <c r="E182" s="8">
        <v>3</v>
      </c>
      <c r="G182" s="9">
        <v>1</v>
      </c>
      <c r="H182" s="9">
        <v>1</v>
      </c>
      <c r="J182" s="9" t="str">
        <f>CONCATENATE(C182, "_", E182, IF(E182&lt;&gt;"",",",""), F182, IF(F182&lt;&gt;"",",",""),  G182, IF(G182&lt;&gt;"",",",""),  H182, IF(I182&lt;&gt;"","(",""), I182, IF(I182&lt;&gt;"",")",""))</f>
        <v>rho_3,1,1</v>
      </c>
      <c r="K182" s="23">
        <v>0.01</v>
      </c>
    </row>
    <row r="183" spans="1:11" ht="34">
      <c r="A183" s="20" t="s">
        <v>214</v>
      </c>
      <c r="B183" s="9" t="str">
        <f>CONCATENATE("Birth rate into HIV compartment ", VLOOKUP(G183, HIV_SET, 2), " and gender compartment ", VLOOKUP(H183, G_SET, 2), ", per year")</f>
        <v>Birth rate into HIV compartment  HIV-negative and gender compartment Female, per year</v>
      </c>
      <c r="C183" s="8" t="s">
        <v>212</v>
      </c>
      <c r="D183" s="8" t="s">
        <v>147</v>
      </c>
      <c r="E183" s="8">
        <v>3</v>
      </c>
      <c r="G183" s="9">
        <v>1</v>
      </c>
      <c r="H183" s="9">
        <v>2</v>
      </c>
      <c r="J183" s="9" t="str">
        <f>CONCATENATE(C183, "_", E183, IF(E183&lt;&gt;"",",",""), F183, IF(F183&lt;&gt;"",",",""),  G183, IF(G183&lt;&gt;"",",",""),  H183, IF(I183&lt;&gt;"","(",""), I183, IF(I183&lt;&gt;"",")",""))</f>
        <v>rho_3,1,2</v>
      </c>
      <c r="K183" s="23">
        <f>K175*0.95</f>
        <v>4.7500000000000001E-2</v>
      </c>
    </row>
    <row r="184" spans="1:11" ht="34">
      <c r="A184" s="20" t="s">
        <v>213</v>
      </c>
      <c r="B184" s="9" t="str">
        <f>CONCATENATE("Birth rate into HIV compartment ", VLOOKUP(G184, HIV_SET, 2), " and gender compartment ", VLOOKUP(H184, G_SET, 2), ", per year")</f>
        <v>Birth rate into HIV compartment  PLHIV not on ART, CD4&gt;200 and gender compartment Male, per year</v>
      </c>
      <c r="C184" s="8" t="s">
        <v>212</v>
      </c>
      <c r="D184" s="8" t="s">
        <v>147</v>
      </c>
      <c r="E184" s="8">
        <v>3</v>
      </c>
      <c r="G184" s="9">
        <v>2</v>
      </c>
      <c r="H184" s="9">
        <v>1</v>
      </c>
      <c r="J184" s="9" t="str">
        <f>CONCATENATE(C184, "_", E184, IF(E184&lt;&gt;"",",",""), F184, IF(F184&lt;&gt;"",",",""),  G184, IF(G184&lt;&gt;"",",",""),  H184, IF(I184&lt;&gt;"","(",""), I184, IF(I184&lt;&gt;"",")",""))</f>
        <v>rho_3,2,1</v>
      </c>
      <c r="K184" s="23">
        <f>K180*0.01</f>
        <v>2.0000000000000003E-6</v>
      </c>
    </row>
    <row r="185" spans="1:11" ht="34">
      <c r="A185" s="20" t="s">
        <v>215</v>
      </c>
      <c r="B185" s="9" t="str">
        <f>CONCATENATE("Birth rate into HIV compartment ", VLOOKUP(G185, HIV_SET, 2), " and gender compartment ", VLOOKUP(H185, G_SET, 2), ", per year")</f>
        <v>Birth rate into HIV compartment  PLHIV not on ART, CD4&gt;200 and gender compartment Female, per year</v>
      </c>
      <c r="C185" s="8" t="s">
        <v>212</v>
      </c>
      <c r="D185" s="8" t="s">
        <v>147</v>
      </c>
      <c r="E185" s="8">
        <v>3</v>
      </c>
      <c r="G185" s="9">
        <v>2</v>
      </c>
      <c r="H185" s="9">
        <v>2</v>
      </c>
      <c r="J185" s="9" t="str">
        <f>CONCATENATE(C185, "_", E185, IF(E185&lt;&gt;"",",",""), F185, IF(F185&lt;&gt;"",",",""),  G185, IF(G185&lt;&gt;"",",",""),  H185, IF(I185&lt;&gt;"","(",""), I185, IF(I185&lt;&gt;"",")",""))</f>
        <v>rho_3,2,2</v>
      </c>
      <c r="K185" s="23">
        <f>K177*0.95</f>
        <v>1.9</v>
      </c>
    </row>
    <row r="186" spans="1:11" ht="34">
      <c r="A186" s="20" t="s">
        <v>211</v>
      </c>
      <c r="B186" s="9" t="str">
        <f>CONCATENATE("Birth rate into HIV compartment ", VLOOKUP(G186, HIV_SET, 2), " and gender compartment ", VLOOKUP(H186, G_SET, 2), ", per year")</f>
        <v>Birth rate into HIV compartment  HIV-negative and gender compartment Male, per year</v>
      </c>
      <c r="C186" s="8" t="s">
        <v>212</v>
      </c>
      <c r="D186" s="8" t="s">
        <v>147</v>
      </c>
      <c r="E186" s="8">
        <v>4</v>
      </c>
      <c r="G186" s="9">
        <v>1</v>
      </c>
      <c r="H186" s="9">
        <v>1</v>
      </c>
      <c r="J186" s="9" t="str">
        <f>CONCATENATE(C186, "_", E186, IF(E186&lt;&gt;"",",",""), F186, IF(F186&lt;&gt;"",",",""),  G186, IF(G186&lt;&gt;"",",",""),  H186, IF(I186&lt;&gt;"","(",""), I186, IF(I186&lt;&gt;"",")",""))</f>
        <v>rho_4,1,1</v>
      </c>
      <c r="K186" s="23">
        <v>0.01</v>
      </c>
    </row>
    <row r="187" spans="1:11" ht="34">
      <c r="A187" s="20" t="s">
        <v>214</v>
      </c>
      <c r="B187" s="9" t="str">
        <f>CONCATENATE("Birth rate into HIV compartment ", VLOOKUP(G187, HIV_SET, 2), " and gender compartment ", VLOOKUP(H187, G_SET, 2), ", per year")</f>
        <v>Birth rate into HIV compartment  HIV-negative and gender compartment Female, per year</v>
      </c>
      <c r="C187" s="8" t="s">
        <v>212</v>
      </c>
      <c r="D187" s="8" t="s">
        <v>147</v>
      </c>
      <c r="E187" s="8">
        <v>4</v>
      </c>
      <c r="G187" s="9">
        <v>1</v>
      </c>
      <c r="H187" s="9">
        <v>2</v>
      </c>
      <c r="J187" s="9" t="str">
        <f>CONCATENATE(C187, "_", E187, IF(E187&lt;&gt;"",",",""), F187, IF(F187&lt;&gt;"",",",""),  G187, IF(G187&lt;&gt;"",",",""),  H187, IF(I187&lt;&gt;"","(",""), I187, IF(I187&lt;&gt;"",")",""))</f>
        <v>rho_4,1,2</v>
      </c>
      <c r="K187" s="23">
        <f>K179*0.95</f>
        <v>0.19855</v>
      </c>
    </row>
    <row r="188" spans="1:11" ht="34">
      <c r="A188" s="20" t="s">
        <v>213</v>
      </c>
      <c r="B188" s="9" t="str">
        <f>CONCATENATE("Birth rate into HIV compartment ", VLOOKUP(G188, HIV_SET, 2), " and gender compartment ", VLOOKUP(H188, G_SET, 2), ", per year")</f>
        <v>Birth rate into HIV compartment  PLHIV not on ART, CD4&gt;200 and gender compartment Male, per year</v>
      </c>
      <c r="C188" s="8" t="s">
        <v>212</v>
      </c>
      <c r="D188" s="8" t="s">
        <v>147</v>
      </c>
      <c r="E188" s="8">
        <v>4</v>
      </c>
      <c r="G188" s="9">
        <v>2</v>
      </c>
      <c r="H188" s="9">
        <v>1</v>
      </c>
      <c r="J188" s="9" t="str">
        <f>CONCATENATE(C188, "_", E188, IF(E188&lt;&gt;"",",",""), F188, IF(F188&lt;&gt;"",",",""),  G188, IF(G188&lt;&gt;"",",",""),  H188, IF(I188&lt;&gt;"","(",""), I188, IF(I188&lt;&gt;"",")",""))</f>
        <v>rho_4,2,1</v>
      </c>
      <c r="K188" s="23">
        <f>K184*0.01</f>
        <v>2.0000000000000004E-8</v>
      </c>
    </row>
    <row r="189" spans="1:11" ht="34">
      <c r="A189" s="20" t="s">
        <v>215</v>
      </c>
      <c r="B189" s="9" t="str">
        <f>CONCATENATE("Birth rate into HIV compartment ", VLOOKUP(G189, HIV_SET, 2), " and gender compartment ", VLOOKUP(H189, G_SET, 2), ", per year")</f>
        <v>Birth rate into HIV compartment  PLHIV not on ART, CD4&gt;200 and gender compartment Female, per year</v>
      </c>
      <c r="C189" s="8" t="s">
        <v>212</v>
      </c>
      <c r="D189" s="8" t="s">
        <v>147</v>
      </c>
      <c r="E189" s="8">
        <v>4</v>
      </c>
      <c r="G189" s="9">
        <v>2</v>
      </c>
      <c r="H189" s="9">
        <v>2</v>
      </c>
      <c r="J189" s="9" t="str">
        <f>CONCATENATE(C189, "_", E189, IF(E189&lt;&gt;"",",",""), F189, IF(F189&lt;&gt;"",",",""),  G189, IF(G189&lt;&gt;"",",",""),  H189, IF(I189&lt;&gt;"","(",""), I189, IF(I189&lt;&gt;"",")",""))</f>
        <v>rho_4,2,2</v>
      </c>
      <c r="K189" s="23">
        <f>K181*0.95</f>
        <v>0.45124999999999998</v>
      </c>
    </row>
    <row r="190" spans="1:11" ht="34">
      <c r="A190" s="20" t="s">
        <v>211</v>
      </c>
      <c r="B190" s="9" t="str">
        <f>CONCATENATE("Birth rate into HIV compartment ", VLOOKUP(G190, HIV_SET, 2), " and gender compartment ", VLOOKUP(H190, G_SET, 2), ", per year")</f>
        <v>Birth rate into HIV compartment  HIV-negative and gender compartment Male, per year</v>
      </c>
      <c r="C190" s="8" t="s">
        <v>212</v>
      </c>
      <c r="D190" s="8" t="s">
        <v>147</v>
      </c>
      <c r="E190" s="8">
        <v>6</v>
      </c>
      <c r="G190" s="9">
        <v>1</v>
      </c>
      <c r="H190" s="9">
        <v>1</v>
      </c>
      <c r="J190" s="9" t="str">
        <f>CONCATENATE(C190, "_", E190, IF(E190&lt;&gt;"",",",""), F190, IF(F190&lt;&gt;"",",",""),  G190, IF(G190&lt;&gt;"",",",""),  H190, IF(I190&lt;&gt;"","(",""), I190, IF(I190&lt;&gt;"",")",""))</f>
        <v>rho_6,1,1</v>
      </c>
      <c r="K190" s="23">
        <v>5.0000000000000001E-3</v>
      </c>
    </row>
    <row r="191" spans="1:11" ht="34">
      <c r="A191" s="20" t="s">
        <v>214</v>
      </c>
      <c r="B191" s="9" t="str">
        <f>CONCATENATE("Birth rate into HIV compartment ", VLOOKUP(G191, HIV_SET, 2), " and gender compartment ", VLOOKUP(H191, G_SET, 2), ", per year")</f>
        <v>Birth rate into HIV compartment  HIV-negative and gender compartment Female, per year</v>
      </c>
      <c r="C191" s="8" t="s">
        <v>212</v>
      </c>
      <c r="D191" s="8" t="s">
        <v>147</v>
      </c>
      <c r="E191" s="8">
        <v>6</v>
      </c>
      <c r="G191" s="9">
        <v>1</v>
      </c>
      <c r="H191" s="9">
        <v>2</v>
      </c>
      <c r="J191" s="9" t="str">
        <f>CONCATENATE(C191, "_", E191, IF(E191&lt;&gt;"",",",""), F191, IF(F191&lt;&gt;"",",",""),  G191, IF(G191&lt;&gt;"",",",""),  H191, IF(I191&lt;&gt;"","(",""), I191, IF(I191&lt;&gt;"",")",""))</f>
        <v>rho_6,1,2</v>
      </c>
      <c r="K191" s="23">
        <f>K183*0.95</f>
        <v>4.5124999999999998E-2</v>
      </c>
    </row>
    <row r="192" spans="1:11" ht="34">
      <c r="A192" s="20" t="s">
        <v>213</v>
      </c>
      <c r="B192" s="9" t="str">
        <f>CONCATENATE("Birth rate into HIV compartment ", VLOOKUP(G192, HIV_SET, 2), " and gender compartment ", VLOOKUP(H192, G_SET, 2), ", per year")</f>
        <v>Birth rate into HIV compartment  PLHIV not on ART, CD4&gt;200 and gender compartment Male, per year</v>
      </c>
      <c r="C192" s="8" t="s">
        <v>212</v>
      </c>
      <c r="D192" s="8" t="s">
        <v>147</v>
      </c>
      <c r="E192" s="8">
        <v>6</v>
      </c>
      <c r="G192" s="9">
        <v>2</v>
      </c>
      <c r="H192" s="9">
        <v>1</v>
      </c>
      <c r="J192" s="9" t="str">
        <f>CONCATENATE(C192, "_", E192, IF(E192&lt;&gt;"",",",""), F192, IF(F192&lt;&gt;"",",",""),  G192, IF(G192&lt;&gt;"",",",""),  H192, IF(I192&lt;&gt;"","(",""), I192, IF(I192&lt;&gt;"",")",""))</f>
        <v>rho_6,2,1</v>
      </c>
      <c r="K192" s="23">
        <f>K188*0.01</f>
        <v>2.0000000000000003E-10</v>
      </c>
    </row>
    <row r="193" spans="1:15" ht="34">
      <c r="A193" s="20" t="s">
        <v>215</v>
      </c>
      <c r="B193" s="9" t="str">
        <f>CONCATENATE("Birth rate into HIV compartment ", VLOOKUP(G193, HIV_SET, 2), " and gender compartment ", VLOOKUP(H193, G_SET, 2), ", per year")</f>
        <v>Birth rate into HIV compartment  PLHIV not on ART, CD4&gt;200 and gender compartment Female, per year</v>
      </c>
      <c r="C193" s="8" t="s">
        <v>212</v>
      </c>
      <c r="D193" s="8" t="s">
        <v>147</v>
      </c>
      <c r="E193" s="8">
        <v>6</v>
      </c>
      <c r="G193" s="9">
        <v>2</v>
      </c>
      <c r="H193" s="9">
        <v>2</v>
      </c>
      <c r="J193" s="9" t="str">
        <f>CONCATENATE(C193, "_", E193, IF(E193&lt;&gt;"",",",""), F193, IF(F193&lt;&gt;"",",",""),  G193, IF(G193&lt;&gt;"",",",""),  H193, IF(I193&lt;&gt;"","(",""), I193, IF(I193&lt;&gt;"",")",""))</f>
        <v>rho_6,2,2</v>
      </c>
      <c r="K193" s="23">
        <f>K185*0.95</f>
        <v>1.8049999999999999</v>
      </c>
    </row>
    <row r="194" spans="1:15" ht="34">
      <c r="A194" s="20" t="s">
        <v>133</v>
      </c>
      <c r="B194" s="9" t="str">
        <f>CONCATENATE("Relative risk for TB progression from LTBI to active for HIV compartment ", VLOOKUP(G194, HIV_SET, 2))</f>
        <v>Relative risk for TB progression from LTBI to active for HIV compartment  HIV-negative</v>
      </c>
      <c r="C194" s="8" t="s">
        <v>134</v>
      </c>
      <c r="D194" s="8" t="s">
        <v>43</v>
      </c>
      <c r="E194" s="8"/>
      <c r="G194" s="9">
        <v>1</v>
      </c>
      <c r="J194" s="9" t="str">
        <f>CONCATENATE(C194, "_", E194, IF(E194&lt;&gt;"",",",""), F194, IF(F194&lt;&gt;"",",",""),  G194, IF(G194&lt;&gt;"",",",""),  H194, IF(I194&lt;&gt;"","(",""), I194, IF(I194&lt;&gt;"",")",""))</f>
        <v>theta_1,</v>
      </c>
      <c r="K194" s="9">
        <v>1</v>
      </c>
    </row>
    <row r="195" spans="1:15" ht="34">
      <c r="A195" s="20" t="s">
        <v>135</v>
      </c>
      <c r="B195" s="9" t="str">
        <f>CONCATENATE("Relative risk for TB progression from LTBI to active for HIV compartment ", VLOOKUP(G195, HIV_SET, 2))</f>
        <v>Relative risk for TB progression from LTBI to active for HIV compartment  PLHIV not on ART, CD4&gt;200</v>
      </c>
      <c r="C195" s="8" t="s">
        <v>134</v>
      </c>
      <c r="D195" s="8" t="s">
        <v>43</v>
      </c>
      <c r="E195" s="8"/>
      <c r="G195" s="9">
        <v>2</v>
      </c>
      <c r="J195" s="9" t="str">
        <f>CONCATENATE(C195, "_", E195, IF(E195&lt;&gt;"",",",""), F195, IF(F195&lt;&gt;"",",",""),  G195, IF(G195&lt;&gt;"",",",""),  H195, IF(I195&lt;&gt;"","(",""), I195, IF(I195&lt;&gt;"",")",""))</f>
        <v>theta_2,</v>
      </c>
      <c r="K195" s="9">
        <v>1.2</v>
      </c>
    </row>
    <row r="196" spans="1:15" ht="34">
      <c r="A196" s="20" t="s">
        <v>136</v>
      </c>
      <c r="B196" s="9" t="str">
        <f>CONCATENATE("Relative risk for TB progression from LTBI to active for HIV compartment ", VLOOKUP(G196, HIV_SET, 2))</f>
        <v>Relative risk for TB progression from LTBI to active for HIV compartment  PLHIV not on ART, CD4≤200</v>
      </c>
      <c r="C196" s="8" t="s">
        <v>134</v>
      </c>
      <c r="D196" s="8" t="s">
        <v>43</v>
      </c>
      <c r="E196" s="8"/>
      <c r="G196" s="9">
        <v>3</v>
      </c>
      <c r="J196" s="9" t="str">
        <f>CONCATENATE(C196, "_", E196, IF(E196&lt;&gt;"",",",""), F196, IF(F196&lt;&gt;"",",",""),  G196, IF(G196&lt;&gt;"",",",""),  H196, IF(I196&lt;&gt;"","(",""), I196, IF(I196&lt;&gt;"",")",""))</f>
        <v>theta_3,</v>
      </c>
      <c r="K196" s="9">
        <v>1.5</v>
      </c>
    </row>
    <row r="197" spans="1:15" ht="34">
      <c r="A197" s="20" t="s">
        <v>137</v>
      </c>
      <c r="B197" s="9" t="str">
        <f>CONCATENATE("Relative risk for TB progression from LTBI to active for HIV compartment ", VLOOKUP(G197, HIV_SET, 2))</f>
        <v>Relative risk for TB progression from LTBI to active for HIV compartment  PLHIV and on ART</v>
      </c>
      <c r="C197" s="8" t="s">
        <v>134</v>
      </c>
      <c r="D197" s="8" t="s">
        <v>43</v>
      </c>
      <c r="E197" s="8"/>
      <c r="G197" s="9">
        <v>4</v>
      </c>
      <c r="J197" s="9" t="str">
        <f>CONCATENATE(C197, "_", E197, IF(E197&lt;&gt;"",",",""), F197, IF(F197&lt;&gt;"",",",""),  G197, IF(G197&lt;&gt;"",",",""),  H197, IF(I197&lt;&gt;"","(",""), I197, IF(I197&lt;&gt;"",")",""))</f>
        <v>theta_4,</v>
      </c>
      <c r="K197" s="9">
        <v>1.1000000000000001</v>
      </c>
    </row>
    <row r="198" spans="1:15" ht="64">
      <c r="A198" s="20" t="s">
        <v>35</v>
      </c>
      <c r="B198" s="21" t="s">
        <v>35</v>
      </c>
      <c r="C198" s="8" t="s">
        <v>36</v>
      </c>
      <c r="D198" s="8" t="s">
        <v>17</v>
      </c>
      <c r="E198" s="8"/>
      <c r="J198" s="9" t="str">
        <f>CONCATENATE(C198, "_", E198, IF(E198&lt;&gt;"",",",""), F198, IF(F198&lt;&gt;"",",",""),  G198, IF(G198&lt;&gt;"",",",""),  H198, IF(I198&lt;&gt;"","(",""), I198, IF(I198&lt;&gt;"",")",""))</f>
        <v>upsilon_</v>
      </c>
      <c r="K198" s="9">
        <v>0.3</v>
      </c>
      <c r="N198" s="9" t="s">
        <v>37</v>
      </c>
      <c r="O198" s="11" t="s">
        <v>38</v>
      </c>
    </row>
    <row r="199" spans="1:15" ht="64">
      <c r="A199" s="20" t="s">
        <v>20</v>
      </c>
      <c r="B199" s="21" t="s">
        <v>20</v>
      </c>
      <c r="C199" s="8" t="s">
        <v>21</v>
      </c>
      <c r="D199" s="8" t="s">
        <v>17</v>
      </c>
      <c r="E199" s="8"/>
      <c r="H199" s="9">
        <v>1</v>
      </c>
      <c r="J199" s="9" t="str">
        <f>CONCATENATE(C199, "_", E199, IF(E199&lt;&gt;"",",",""), F199, IF(F199&lt;&gt;"",",",""),  G199, IF(G199&lt;&gt;"",",",""),  H199, IF(I199&lt;&gt;"","(",""), I199, IF(I199&lt;&gt;"",")",""))</f>
        <v>varepsilon_1</v>
      </c>
      <c r="K199" s="9">
        <v>0.3</v>
      </c>
      <c r="N199" s="9" t="s">
        <v>22</v>
      </c>
    </row>
    <row r="200" spans="1:15" ht="64">
      <c r="A200" s="20" t="s">
        <v>23</v>
      </c>
      <c r="B200" s="21" t="s">
        <v>23</v>
      </c>
      <c r="C200" s="8" t="s">
        <v>21</v>
      </c>
      <c r="D200" s="8" t="s">
        <v>17</v>
      </c>
      <c r="E200" s="8"/>
      <c r="H200" s="9">
        <v>2</v>
      </c>
      <c r="J200" s="9" t="str">
        <f>CONCATENATE(C200, "_", E200, IF(E200&lt;&gt;"",",",""), F200, IF(F200&lt;&gt;"",",",""),  G200, IF(G200&lt;&gt;"",",",""),  H200, IF(I200&lt;&gt;"","(",""), I200, IF(I200&lt;&gt;"",")",""))</f>
        <v>varepsilon_2</v>
      </c>
      <c r="K200" s="9">
        <v>0.3</v>
      </c>
      <c r="N200" s="9" t="s">
        <v>22</v>
      </c>
    </row>
    <row r="201" spans="1:15" ht="32">
      <c r="A201" s="11" t="s">
        <v>351</v>
      </c>
      <c r="B201" s="9" t="str">
        <f>CONCATENATE("IPT Adherence  under policy ", VLOOKUP(I71, P_SET,2))</f>
        <v>IPT Adherence  under policy Standard (baseline)</v>
      </c>
      <c r="C201" s="9" t="s">
        <v>348</v>
      </c>
      <c r="D201" s="9" t="s">
        <v>43</v>
      </c>
      <c r="I201" s="9">
        <v>1</v>
      </c>
      <c r="J201" s="9" t="str">
        <f>CONCATENATE(C201, "_", E201, IF(E201&lt;&gt;"",",",""), F201, IF(F201&lt;&gt;"",",",""),  G201, IF(G201&lt;&gt;"",",",""),  H201, IF(I201&lt;&gt;"","(",""), I201, IF(I201&lt;&gt;"",")",""))</f>
        <v>varpi_(1)</v>
      </c>
      <c r="K201" s="35">
        <v>0.2</v>
      </c>
    </row>
    <row r="202" spans="1:15" ht="32">
      <c r="A202" s="11" t="s">
        <v>351</v>
      </c>
      <c r="B202" s="9" t="str">
        <f>CONCATENATE("IPT Adherence  under policy ", VLOOKUP(I72, P_SET,2))</f>
        <v>IPT Adherence  under policy Community ART</v>
      </c>
      <c r="C202" s="9" t="s">
        <v>348</v>
      </c>
      <c r="D202" s="9" t="s">
        <v>43</v>
      </c>
      <c r="I202" s="9">
        <v>2</v>
      </c>
      <c r="J202" s="9" t="str">
        <f>CONCATENATE(C202, "_", E202, IF(E202&lt;&gt;"",",",""), F202, IF(F202&lt;&gt;"",",",""),  G202, IF(G202&lt;&gt;"",",",""),  H202, IF(I202&lt;&gt;"","(",""), I202, IF(I202&lt;&gt;"",")",""))</f>
        <v>varpi_(2)</v>
      </c>
      <c r="K202" s="35">
        <v>0.2</v>
      </c>
    </row>
    <row r="203" spans="1:15" ht="32">
      <c r="A203" s="11" t="s">
        <v>352</v>
      </c>
      <c r="B203" s="9" t="str">
        <f>CONCATENATE("IPT Adherence  under policy ", VLOOKUP(I73, P_SET,2))</f>
        <v>IPT Adherence  under policy Community ART + IPT</v>
      </c>
      <c r="C203" s="9" t="s">
        <v>348</v>
      </c>
      <c r="D203" s="9" t="s">
        <v>43</v>
      </c>
      <c r="I203" s="9">
        <v>3</v>
      </c>
      <c r="J203" s="9" t="str">
        <f>CONCATENATE(C203, "_", E203, IF(E203&lt;&gt;"",",",""), F203, IF(F203&lt;&gt;"",",",""),  G203, IF(G203&lt;&gt;"",",",""),  H203, IF(I203&lt;&gt;"","(",""), I203, IF(I203&lt;&gt;"",")",""))</f>
        <v>varpi_(3)</v>
      </c>
      <c r="K203" s="35">
        <v>0.8</v>
      </c>
    </row>
    <row r="204" spans="1:15" ht="51">
      <c r="A204" s="20" t="s">
        <v>39</v>
      </c>
      <c r="B204" s="21" t="s">
        <v>39</v>
      </c>
      <c r="C204" s="8" t="s">
        <v>40</v>
      </c>
      <c r="D204" s="8" t="s">
        <v>17</v>
      </c>
      <c r="E204" s="8"/>
      <c r="J204" s="9" t="str">
        <f>CONCATENATE(C204, "_", E204, IF(E204&lt;&gt;"",",",""), F204, IF(F204&lt;&gt;"",",",""),  G204, IF(G204&lt;&gt;"",",",""),  H204, IF(I204&lt;&gt;"","(",""), I204, IF(I204&lt;&gt;"",")",""))</f>
        <v>zeta_</v>
      </c>
      <c r="K204" s="9">
        <v>0.1</v>
      </c>
    </row>
  </sheetData>
  <sortState ref="A2:O204">
    <sortCondition ref="J2:J204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M108"/>
  <sheetViews>
    <sheetView zoomScale="125" workbookViewId="0">
      <pane xSplit="1" ySplit="1" topLeftCell="F6" activePane="bottomRight" state="frozen"/>
      <selection pane="topRight" activeCell="B1" sqref="B1"/>
      <selection pane="bottomLeft" activeCell="A2" sqref="A2"/>
      <selection pane="bottomRight" activeCell="G29" sqref="G29"/>
    </sheetView>
  </sheetViews>
  <sheetFormatPr baseColWidth="10" defaultColWidth="8.83203125" defaultRowHeight="15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>
      <c r="A1" s="2" t="s">
        <v>0</v>
      </c>
      <c r="B1" s="2" t="s">
        <v>339</v>
      </c>
      <c r="C1" s="2" t="s">
        <v>340</v>
      </c>
      <c r="D1" s="2" t="s">
        <v>341</v>
      </c>
      <c r="E1" s="2" t="s">
        <v>338</v>
      </c>
      <c r="F1" s="2" t="s">
        <v>216</v>
      </c>
      <c r="G1" s="2" t="s">
        <v>217</v>
      </c>
      <c r="H1" s="16" t="s">
        <v>11</v>
      </c>
      <c r="I1" s="17" t="s">
        <v>12</v>
      </c>
      <c r="J1" s="17" t="s">
        <v>218</v>
      </c>
      <c r="K1" s="12" t="s">
        <v>13</v>
      </c>
      <c r="L1" s="13" t="s">
        <v>14</v>
      </c>
    </row>
    <row r="2" spans="1:12" ht="51">
      <c r="A2" s="18" t="s">
        <v>219</v>
      </c>
      <c r="B2" s="18"/>
      <c r="C2" s="18"/>
      <c r="D2" s="18"/>
      <c r="E2" s="18"/>
      <c r="F2" s="1" t="s">
        <v>220</v>
      </c>
      <c r="G2" s="19">
        <v>1</v>
      </c>
    </row>
    <row r="3" spans="1:12" ht="51">
      <c r="A3" s="18" t="s">
        <v>221</v>
      </c>
      <c r="B3" s="18"/>
      <c r="C3" s="18"/>
      <c r="D3" s="18"/>
      <c r="E3" s="18"/>
      <c r="F3" s="1" t="s">
        <v>222</v>
      </c>
      <c r="G3" s="19">
        <v>1.1000000000000001</v>
      </c>
    </row>
    <row r="4" spans="1:12" ht="51">
      <c r="A4" s="18" t="s">
        <v>223</v>
      </c>
      <c r="B4" s="18"/>
      <c r="C4" s="18"/>
      <c r="D4" s="18"/>
      <c r="E4" s="18"/>
      <c r="F4" s="1" t="s">
        <v>224</v>
      </c>
      <c r="G4" s="19">
        <v>1</v>
      </c>
    </row>
    <row r="5" spans="1:12" ht="42.75" customHeight="1">
      <c r="A5" s="18" t="s">
        <v>225</v>
      </c>
      <c r="B5" s="18"/>
      <c r="C5" s="18"/>
      <c r="D5" s="18"/>
      <c r="E5" s="18"/>
      <c r="F5" s="1" t="s">
        <v>226</v>
      </c>
      <c r="G5" s="1">
        <v>1.1000000000000001</v>
      </c>
    </row>
    <row r="6" spans="1:12" ht="39" customHeight="1">
      <c r="A6" s="18" t="s">
        <v>225</v>
      </c>
      <c r="B6" s="18"/>
      <c r="C6" s="18"/>
      <c r="D6" s="18"/>
      <c r="E6" s="18"/>
      <c r="F6" s="1" t="s">
        <v>227</v>
      </c>
      <c r="G6" s="1">
        <v>1.1000000000000001</v>
      </c>
    </row>
    <row r="7" spans="1:12" ht="35.25" customHeight="1">
      <c r="A7" s="18" t="s">
        <v>225</v>
      </c>
      <c r="B7" s="18"/>
      <c r="C7" s="18"/>
      <c r="D7" s="18"/>
      <c r="E7" s="18"/>
      <c r="F7" s="1" t="s">
        <v>228</v>
      </c>
      <c r="G7" s="1">
        <v>1.2</v>
      </c>
    </row>
    <row r="8" spans="1:12" ht="38.25" customHeight="1">
      <c r="A8" s="18" t="s">
        <v>225</v>
      </c>
      <c r="B8" s="18"/>
      <c r="C8" s="18"/>
      <c r="D8" s="18"/>
      <c r="E8" s="18"/>
      <c r="F8" s="1" t="s">
        <v>229</v>
      </c>
      <c r="G8" s="1">
        <v>1.2</v>
      </c>
    </row>
    <row r="9" spans="1:12" ht="17">
      <c r="A9" s="18" t="s">
        <v>230</v>
      </c>
      <c r="B9" s="18"/>
      <c r="C9" s="18"/>
      <c r="D9" s="18"/>
      <c r="E9" s="18"/>
      <c r="F9" s="1" t="s">
        <v>231</v>
      </c>
      <c r="G9" s="31">
        <v>1</v>
      </c>
      <c r="L9" s="4" t="s">
        <v>319</v>
      </c>
    </row>
    <row r="10" spans="1:12" ht="17">
      <c r="A10" s="25" t="s">
        <v>258</v>
      </c>
      <c r="B10" s="25"/>
      <c r="C10" s="25"/>
      <c r="D10" s="25"/>
      <c r="E10" s="25"/>
      <c r="G10" s="26">
        <v>100000</v>
      </c>
    </row>
    <row r="11" spans="1:12" ht="34">
      <c r="A11" s="32" t="s">
        <v>320</v>
      </c>
      <c r="B11" s="32"/>
      <c r="C11" s="32"/>
      <c r="D11" s="33">
        <v>3</v>
      </c>
      <c r="E11" s="32">
        <v>1</v>
      </c>
      <c r="F11" s="1" t="s">
        <v>344</v>
      </c>
      <c r="G11" s="1">
        <f>G12</f>
        <v>0.17999999999999994</v>
      </c>
    </row>
    <row r="12" spans="1:12" ht="34">
      <c r="A12" s="32" t="s">
        <v>321</v>
      </c>
      <c r="B12" s="32"/>
      <c r="C12" s="32"/>
      <c r="D12" s="32">
        <v>3</v>
      </c>
      <c r="E12" s="32">
        <v>2</v>
      </c>
      <c r="F12" s="1" t="s">
        <v>344</v>
      </c>
      <c r="G12" s="1">
        <f>1-G16-G14</f>
        <v>0.17999999999999994</v>
      </c>
      <c r="K12" t="s">
        <v>318</v>
      </c>
    </row>
    <row r="13" spans="1:12" ht="34">
      <c r="A13" s="32" t="s">
        <v>322</v>
      </c>
      <c r="B13" s="32"/>
      <c r="C13" s="32"/>
      <c r="D13" s="32">
        <v>2</v>
      </c>
      <c r="E13" s="32">
        <v>1</v>
      </c>
      <c r="F13" s="1" t="s">
        <v>344</v>
      </c>
      <c r="G13" s="1">
        <v>0.55000000000000004</v>
      </c>
    </row>
    <row r="14" spans="1:12" ht="34">
      <c r="A14" s="32" t="s">
        <v>323</v>
      </c>
      <c r="B14" s="32"/>
      <c r="C14" s="32"/>
      <c r="D14" s="32">
        <v>2</v>
      </c>
      <c r="E14" s="32">
        <v>2</v>
      </c>
      <c r="F14" s="1" t="s">
        <v>344</v>
      </c>
      <c r="G14" s="1">
        <v>0.55000000000000004</v>
      </c>
      <c r="K14" t="s">
        <v>318</v>
      </c>
    </row>
    <row r="15" spans="1:12" ht="17">
      <c r="A15" s="32" t="s">
        <v>324</v>
      </c>
      <c r="B15" s="32"/>
      <c r="C15" s="32"/>
      <c r="D15" s="32">
        <v>4</v>
      </c>
      <c r="E15" s="32">
        <v>1</v>
      </c>
      <c r="F15" s="1" t="s">
        <v>344</v>
      </c>
      <c r="G15" s="1">
        <v>0.27</v>
      </c>
    </row>
    <row r="16" spans="1:12" ht="34">
      <c r="A16" s="32" t="s">
        <v>325</v>
      </c>
      <c r="B16" s="32"/>
      <c r="C16" s="32"/>
      <c r="D16" s="32">
        <v>4</v>
      </c>
      <c r="E16" s="32">
        <v>2</v>
      </c>
      <c r="F16" s="1" t="s">
        <v>344</v>
      </c>
      <c r="G16" s="36">
        <v>0.27</v>
      </c>
      <c r="K16" t="s">
        <v>317</v>
      </c>
      <c r="L16" s="4" t="s">
        <v>316</v>
      </c>
    </row>
    <row r="17" spans="1:13" ht="17">
      <c r="A17" s="37" t="s">
        <v>349</v>
      </c>
      <c r="B17" s="32"/>
      <c r="C17" s="32"/>
      <c r="D17" s="32">
        <v>1</v>
      </c>
      <c r="E17" s="32">
        <v>1</v>
      </c>
      <c r="F17" s="1" t="s">
        <v>344</v>
      </c>
      <c r="G17" s="36">
        <v>0.7</v>
      </c>
    </row>
    <row r="18" spans="1:13" ht="17">
      <c r="A18" s="33" t="s">
        <v>346</v>
      </c>
      <c r="B18" s="32"/>
      <c r="C18" s="32"/>
      <c r="D18" s="32"/>
      <c r="E18" s="32"/>
      <c r="F18" s="1" t="s">
        <v>344</v>
      </c>
      <c r="G18" s="36">
        <v>0.3</v>
      </c>
    </row>
    <row r="19" spans="1:13" ht="34">
      <c r="A19" s="32" t="s">
        <v>326</v>
      </c>
      <c r="B19" s="33" t="s">
        <v>342</v>
      </c>
      <c r="C19" s="32"/>
      <c r="D19" s="32">
        <v>1</v>
      </c>
      <c r="E19" s="32">
        <v>1</v>
      </c>
      <c r="F19" s="1" t="s">
        <v>344</v>
      </c>
      <c r="G19" s="36">
        <v>0.5</v>
      </c>
      <c r="K19" t="s">
        <v>329</v>
      </c>
    </row>
    <row r="20" spans="1:13" ht="34">
      <c r="A20" s="32" t="s">
        <v>327</v>
      </c>
      <c r="B20" s="33" t="s">
        <v>342</v>
      </c>
      <c r="C20" s="32"/>
      <c r="D20" s="32">
        <v>1</v>
      </c>
      <c r="E20" s="32">
        <v>2</v>
      </c>
      <c r="F20" s="1" t="s">
        <v>344</v>
      </c>
      <c r="G20" s="1">
        <v>0.5</v>
      </c>
      <c r="K20" t="s">
        <v>329</v>
      </c>
    </row>
    <row r="21" spans="1:13" ht="17">
      <c r="A21" s="32" t="s">
        <v>332</v>
      </c>
      <c r="B21" s="33" t="s">
        <v>343</v>
      </c>
      <c r="C21" s="32"/>
      <c r="D21" s="32">
        <v>1</v>
      </c>
      <c r="E21" s="32">
        <v>1</v>
      </c>
      <c r="F21" s="1" t="s">
        <v>344</v>
      </c>
      <c r="G21" s="1">
        <f>G22</f>
        <v>0.49</v>
      </c>
    </row>
    <row r="22" spans="1:13" ht="17">
      <c r="A22" s="32" t="s">
        <v>336</v>
      </c>
      <c r="B22" s="33" t="s">
        <v>343</v>
      </c>
      <c r="C22" s="32"/>
      <c r="D22" s="32">
        <v>1</v>
      </c>
      <c r="E22" s="32">
        <v>2</v>
      </c>
      <c r="F22" s="1" t="s">
        <v>344</v>
      </c>
      <c r="G22" s="1">
        <f>1-G19-G25</f>
        <v>0.49</v>
      </c>
    </row>
    <row r="23" spans="1:13" ht="34">
      <c r="A23" s="32" t="s">
        <v>334</v>
      </c>
      <c r="B23" s="33" t="s">
        <v>343</v>
      </c>
      <c r="C23" s="32"/>
      <c r="D23" s="33" t="s">
        <v>345</v>
      </c>
      <c r="E23" s="32">
        <v>1</v>
      </c>
      <c r="F23" s="1" t="s">
        <v>344</v>
      </c>
      <c r="G23" s="1">
        <v>0.5</v>
      </c>
      <c r="K23" t="s">
        <v>333</v>
      </c>
    </row>
    <row r="24" spans="1:13" ht="34">
      <c r="A24" s="32" t="s">
        <v>335</v>
      </c>
      <c r="B24" s="33" t="s">
        <v>343</v>
      </c>
      <c r="C24" s="32"/>
      <c r="D24" s="33" t="s">
        <v>345</v>
      </c>
      <c r="E24" s="32">
        <v>2</v>
      </c>
      <c r="F24" s="1" t="s">
        <v>344</v>
      </c>
      <c r="G24" s="1">
        <v>0.5</v>
      </c>
    </row>
    <row r="25" spans="1:13" ht="17">
      <c r="A25" s="32" t="s">
        <v>328</v>
      </c>
      <c r="B25" s="32">
        <v>6</v>
      </c>
      <c r="C25" s="32"/>
      <c r="D25" s="32">
        <v>1</v>
      </c>
      <c r="E25" s="32">
        <v>1</v>
      </c>
      <c r="F25" s="1" t="s">
        <v>344</v>
      </c>
      <c r="G25" s="1">
        <v>0.01</v>
      </c>
    </row>
    <row r="26" spans="1:13" ht="17">
      <c r="A26" s="32" t="s">
        <v>337</v>
      </c>
      <c r="B26" s="32">
        <v>6</v>
      </c>
      <c r="C26" s="32"/>
      <c r="D26" s="32">
        <v>1</v>
      </c>
      <c r="E26" s="32">
        <v>2</v>
      </c>
      <c r="F26" s="1" t="s">
        <v>344</v>
      </c>
      <c r="G26" s="1">
        <v>0.01</v>
      </c>
    </row>
    <row r="27" spans="1:13" ht="34">
      <c r="A27" s="32" t="s">
        <v>330</v>
      </c>
      <c r="B27" s="32">
        <v>6</v>
      </c>
      <c r="C27" s="32"/>
      <c r="D27" s="33" t="s">
        <v>345</v>
      </c>
      <c r="E27" s="32">
        <v>1</v>
      </c>
      <c r="F27" s="1" t="s">
        <v>344</v>
      </c>
      <c r="G27" s="1">
        <v>0.6</v>
      </c>
    </row>
    <row r="28" spans="1:13" ht="34">
      <c r="A28" s="32" t="s">
        <v>331</v>
      </c>
      <c r="B28" s="32">
        <v>6</v>
      </c>
      <c r="C28" s="32"/>
      <c r="D28" s="33" t="s">
        <v>345</v>
      </c>
      <c r="E28" s="32">
        <v>2</v>
      </c>
      <c r="F28" s="1" t="s">
        <v>344</v>
      </c>
      <c r="G28" s="1">
        <v>0.8</v>
      </c>
    </row>
    <row r="29" spans="1:13" ht="34">
      <c r="A29" s="27" t="s">
        <v>259</v>
      </c>
      <c r="B29" s="27"/>
      <c r="C29" s="27"/>
      <c r="D29" s="27"/>
      <c r="E29" s="27"/>
      <c r="G29">
        <v>667.69125159867303</v>
      </c>
      <c r="H29">
        <v>621.91596160486597</v>
      </c>
      <c r="I29">
        <v>725.80082818748997</v>
      </c>
      <c r="J29" s="1" t="s">
        <v>260</v>
      </c>
      <c r="K29" t="s">
        <v>262</v>
      </c>
      <c r="L29" s="29" t="s">
        <v>261</v>
      </c>
      <c r="M29" s="4" t="s">
        <v>279</v>
      </c>
    </row>
    <row r="30" spans="1:13" ht="34">
      <c r="A30" s="27" t="s">
        <v>263</v>
      </c>
      <c r="B30" s="27"/>
      <c r="C30" s="27"/>
      <c r="D30" s="27"/>
      <c r="E30" s="27"/>
      <c r="G30">
        <v>487.71837360315601</v>
      </c>
      <c r="H30">
        <v>436.91669589439499</v>
      </c>
      <c r="I30">
        <v>556.03760119042602</v>
      </c>
      <c r="J30" s="1" t="s">
        <v>260</v>
      </c>
      <c r="K30" t="s">
        <v>262</v>
      </c>
      <c r="L30" s="29" t="s">
        <v>261</v>
      </c>
    </row>
    <row r="31" spans="1:13" ht="34">
      <c r="A31" s="27" t="s">
        <v>269</v>
      </c>
      <c r="B31" s="27"/>
      <c r="C31" s="27"/>
      <c r="D31" s="27"/>
      <c r="E31" s="27"/>
      <c r="G31">
        <v>353.97451428615199</v>
      </c>
      <c r="H31">
        <v>298.14022379823899</v>
      </c>
      <c r="I31">
        <v>421.02666012590601</v>
      </c>
      <c r="J31" s="1" t="s">
        <v>260</v>
      </c>
      <c r="K31" t="s">
        <v>262</v>
      </c>
      <c r="L31" s="29" t="s">
        <v>270</v>
      </c>
    </row>
    <row r="32" spans="1:13" ht="34">
      <c r="A32" s="27" t="s">
        <v>269</v>
      </c>
      <c r="B32" s="27"/>
      <c r="C32" s="27"/>
      <c r="D32" s="27"/>
      <c r="E32" s="27"/>
      <c r="G32">
        <v>328.28962708281801</v>
      </c>
      <c r="H32">
        <v>275.75168655442201</v>
      </c>
      <c r="I32">
        <v>397.64813504226203</v>
      </c>
      <c r="J32" s="1" t="s">
        <v>260</v>
      </c>
      <c r="K32" t="s">
        <v>262</v>
      </c>
      <c r="L32" s="29" t="s">
        <v>270</v>
      </c>
    </row>
    <row r="33" spans="1:12" ht="51">
      <c r="A33" s="27" t="s">
        <v>264</v>
      </c>
      <c r="B33" s="27"/>
      <c r="C33" s="27"/>
      <c r="D33" s="27"/>
      <c r="E33" s="27"/>
      <c r="G33">
        <v>270.29685912212301</v>
      </c>
      <c r="H33">
        <v>206.97423329835701</v>
      </c>
      <c r="I33">
        <v>343.91638639716899</v>
      </c>
      <c r="J33" s="1" t="s">
        <v>260</v>
      </c>
      <c r="K33" t="s">
        <v>262</v>
      </c>
      <c r="L33" s="29" t="s">
        <v>265</v>
      </c>
    </row>
    <row r="34" spans="1:12" ht="51">
      <c r="A34" s="27" t="s">
        <v>266</v>
      </c>
      <c r="B34" s="27"/>
      <c r="C34" s="27"/>
      <c r="D34" s="27"/>
      <c r="E34" s="27"/>
      <c r="G34">
        <v>264.93621874887299</v>
      </c>
      <c r="H34">
        <v>205.62683179700201</v>
      </c>
      <c r="I34">
        <v>339.17910941088098</v>
      </c>
      <c r="J34" s="1" t="s">
        <v>260</v>
      </c>
      <c r="K34" t="s">
        <v>262</v>
      </c>
      <c r="L34" s="29" t="s">
        <v>265</v>
      </c>
    </row>
    <row r="35" spans="1:12" ht="51">
      <c r="A35" s="27" t="s">
        <v>267</v>
      </c>
      <c r="B35" s="27"/>
      <c r="C35" s="27"/>
      <c r="D35" s="27"/>
      <c r="E35" s="27"/>
      <c r="G35">
        <v>76.970274789631006</v>
      </c>
      <c r="H35">
        <v>48.421027847361103</v>
      </c>
      <c r="I35">
        <v>109.456440346139</v>
      </c>
      <c r="J35" s="1" t="s">
        <v>260</v>
      </c>
      <c r="K35" t="s">
        <v>262</v>
      </c>
      <c r="L35" s="29" t="s">
        <v>271</v>
      </c>
    </row>
    <row r="36" spans="1:12" ht="51">
      <c r="A36" s="27" t="s">
        <v>268</v>
      </c>
      <c r="B36" s="27"/>
      <c r="C36" s="27"/>
      <c r="D36" s="27"/>
      <c r="E36" s="27"/>
      <c r="G36">
        <v>58.460988902228898</v>
      </c>
      <c r="H36">
        <v>34.611741515461397</v>
      </c>
      <c r="I36">
        <v>87.602923512240494</v>
      </c>
      <c r="J36" s="1" t="s">
        <v>260</v>
      </c>
      <c r="K36" t="s">
        <v>262</v>
      </c>
      <c r="L36" s="29" t="s">
        <v>271</v>
      </c>
    </row>
    <row r="37" spans="1:12" ht="34">
      <c r="A37" s="27" t="s">
        <v>272</v>
      </c>
      <c r="B37" s="27"/>
      <c r="C37" s="27"/>
      <c r="D37" s="27"/>
      <c r="E37" s="27"/>
      <c r="G37">
        <v>6.5950565310523803</v>
      </c>
      <c r="H37">
        <v>2.67155063488859</v>
      </c>
      <c r="I37">
        <v>13.136486160221301</v>
      </c>
      <c r="J37" s="1" t="s">
        <v>260</v>
      </c>
      <c r="K37" t="s">
        <v>262</v>
      </c>
      <c r="L37" s="29" t="s">
        <v>274</v>
      </c>
    </row>
    <row r="38" spans="1:12" ht="34">
      <c r="A38" s="27" t="s">
        <v>273</v>
      </c>
      <c r="B38" s="27"/>
      <c r="C38" s="27"/>
      <c r="D38" s="27"/>
      <c r="E38" s="27"/>
      <c r="G38">
        <v>4.8104961798478998</v>
      </c>
      <c r="H38">
        <v>1.8525923964359301</v>
      </c>
      <c r="I38">
        <v>10.096949019498</v>
      </c>
      <c r="J38" s="1" t="s">
        <v>260</v>
      </c>
      <c r="K38" t="s">
        <v>262</v>
      </c>
      <c r="L38" s="29" t="s">
        <v>274</v>
      </c>
    </row>
    <row r="39" spans="1:12" ht="34">
      <c r="A39" s="27" t="s">
        <v>275</v>
      </c>
      <c r="B39" s="27"/>
      <c r="C39" s="27"/>
      <c r="D39" s="27"/>
      <c r="E39" s="27"/>
      <c r="G39">
        <v>0.112323843345287</v>
      </c>
      <c r="H39">
        <v>4.5985772535474097E-2</v>
      </c>
      <c r="I39">
        <v>0.22960163575013601</v>
      </c>
      <c r="J39" s="1" t="s">
        <v>260</v>
      </c>
      <c r="K39" t="s">
        <v>262</v>
      </c>
      <c r="L39" s="29" t="s">
        <v>277</v>
      </c>
    </row>
    <row r="40" spans="1:12" ht="34">
      <c r="A40" s="27" t="s">
        <v>276</v>
      </c>
      <c r="B40" s="27"/>
      <c r="C40" s="27"/>
      <c r="D40" s="27"/>
      <c r="E40" s="27"/>
      <c r="G40">
        <v>8.1923251867938002E-2</v>
      </c>
      <c r="H40">
        <v>3.1924496573431098E-2</v>
      </c>
      <c r="I40">
        <v>0.17543715890676301</v>
      </c>
      <c r="J40" s="1" t="s">
        <v>260</v>
      </c>
      <c r="K40" t="s">
        <v>262</v>
      </c>
      <c r="L40" s="29" t="s">
        <v>277</v>
      </c>
    </row>
    <row r="41" spans="1:12" ht="34">
      <c r="A41" s="27" t="s">
        <v>278</v>
      </c>
      <c r="B41" s="27"/>
      <c r="C41" s="27"/>
      <c r="D41" s="27"/>
      <c r="E41" s="27"/>
      <c r="G41">
        <v>32.781908989999998</v>
      </c>
      <c r="H41">
        <v>29.630786910000001</v>
      </c>
      <c r="I41">
        <v>36.915591910000003</v>
      </c>
      <c r="J41" s="1" t="s">
        <v>291</v>
      </c>
      <c r="K41" t="s">
        <v>262</v>
      </c>
      <c r="L41" s="29" t="s">
        <v>284</v>
      </c>
    </row>
    <row r="42" spans="1:12" ht="34">
      <c r="A42" s="27" t="s">
        <v>288</v>
      </c>
      <c r="B42" s="27"/>
      <c r="C42" s="27"/>
      <c r="D42" s="27"/>
      <c r="E42" s="27"/>
      <c r="G42">
        <v>15.92630484</v>
      </c>
      <c r="H42">
        <v>13.86750552</v>
      </c>
      <c r="I42">
        <v>18.053657309999998</v>
      </c>
      <c r="J42" s="1" t="s">
        <v>292</v>
      </c>
      <c r="K42" t="s">
        <v>262</v>
      </c>
      <c r="L42" s="29" t="s">
        <v>284</v>
      </c>
    </row>
    <row r="43" spans="1:12" ht="51">
      <c r="A43" s="27" t="s">
        <v>280</v>
      </c>
      <c r="B43" s="27"/>
      <c r="C43" s="27"/>
      <c r="D43" s="27"/>
      <c r="E43" s="27"/>
      <c r="G43">
        <v>30.619318209999999</v>
      </c>
      <c r="H43">
        <v>27.03644954</v>
      </c>
      <c r="I43">
        <v>34.821362049999998</v>
      </c>
      <c r="J43" s="1" t="s">
        <v>293</v>
      </c>
      <c r="K43" t="s">
        <v>262</v>
      </c>
      <c r="L43" s="29" t="s">
        <v>285</v>
      </c>
    </row>
    <row r="44" spans="1:12" ht="51">
      <c r="A44" s="27" t="s">
        <v>282</v>
      </c>
      <c r="B44" s="27"/>
      <c r="C44" s="27"/>
      <c r="D44" s="27"/>
      <c r="E44" s="27"/>
      <c r="G44">
        <v>14.90405754</v>
      </c>
      <c r="H44">
        <v>12.80162367</v>
      </c>
      <c r="I44">
        <v>17.08584523</v>
      </c>
      <c r="J44" s="1" t="s">
        <v>294</v>
      </c>
      <c r="K44" t="s">
        <v>262</v>
      </c>
      <c r="L44" s="29" t="s">
        <v>285</v>
      </c>
    </row>
    <row r="45" spans="1:12" ht="34">
      <c r="A45" s="27" t="s">
        <v>281</v>
      </c>
      <c r="B45" s="27"/>
      <c r="C45" s="27"/>
      <c r="D45" s="27"/>
      <c r="E45" s="27"/>
      <c r="G45">
        <v>2.1263778709999999</v>
      </c>
      <c r="H45">
        <v>0.99031739500000004</v>
      </c>
      <c r="I45">
        <v>3.7960577139999998</v>
      </c>
      <c r="J45" s="1" t="s">
        <v>295</v>
      </c>
      <c r="K45" t="s">
        <v>262</v>
      </c>
      <c r="L45" s="29" t="s">
        <v>286</v>
      </c>
    </row>
    <row r="46" spans="1:12" ht="34">
      <c r="A46" s="27" t="s">
        <v>289</v>
      </c>
      <c r="B46" s="27"/>
      <c r="C46" s="27"/>
      <c r="D46" s="27"/>
      <c r="E46" s="27"/>
      <c r="G46">
        <v>1.0051327029999999</v>
      </c>
      <c r="H46">
        <v>0.49495520500000001</v>
      </c>
      <c r="I46">
        <v>1.8558520039999999</v>
      </c>
      <c r="J46" s="1" t="s">
        <v>296</v>
      </c>
      <c r="K46" t="s">
        <v>262</v>
      </c>
      <c r="L46" s="29" t="s">
        <v>286</v>
      </c>
    </row>
    <row r="47" spans="1:12" ht="34">
      <c r="A47" s="27" t="s">
        <v>283</v>
      </c>
      <c r="B47" s="27"/>
      <c r="C47" s="27"/>
      <c r="D47" s="27"/>
      <c r="E47" s="27"/>
      <c r="G47">
        <v>3.6212901999999998E-2</v>
      </c>
      <c r="H47">
        <v>1.7022888999999999E-2</v>
      </c>
      <c r="I47">
        <v>6.5484691999999997E-2</v>
      </c>
      <c r="J47" s="1" t="s">
        <v>297</v>
      </c>
      <c r="K47" t="s">
        <v>262</v>
      </c>
      <c r="L47" s="29" t="s">
        <v>287</v>
      </c>
    </row>
    <row r="48" spans="1:12" ht="34">
      <c r="A48" s="27" t="s">
        <v>290</v>
      </c>
      <c r="B48" s="27"/>
      <c r="C48" s="27"/>
      <c r="D48" s="27"/>
      <c r="E48" s="27"/>
      <c r="G48">
        <v>1.7114595999999999E-2</v>
      </c>
      <c r="H48">
        <v>8.2082219999999994E-3</v>
      </c>
      <c r="I48">
        <v>3.1991639000000002E-2</v>
      </c>
      <c r="J48" s="1" t="s">
        <v>298</v>
      </c>
      <c r="K48" t="s">
        <v>262</v>
      </c>
      <c r="L48" s="29" t="s">
        <v>287</v>
      </c>
    </row>
    <row r="49" spans="1:5" ht="16">
      <c r="A49" s="18"/>
      <c r="B49" s="18"/>
      <c r="C49" s="18"/>
      <c r="D49" s="18"/>
      <c r="E49" s="18"/>
    </row>
    <row r="50" spans="1:5" ht="16">
      <c r="A50" s="18"/>
      <c r="B50" s="18"/>
      <c r="C50" s="18"/>
      <c r="D50" s="18"/>
      <c r="E50" s="18"/>
    </row>
    <row r="51" spans="1:5" ht="16">
      <c r="A51" s="18"/>
      <c r="B51" s="18"/>
      <c r="C51" s="18"/>
      <c r="D51" s="18"/>
      <c r="E51" s="18"/>
    </row>
    <row r="52" spans="1:5" ht="16">
      <c r="A52" s="18"/>
      <c r="B52" s="18"/>
      <c r="C52" s="18"/>
      <c r="D52" s="18"/>
      <c r="E52" s="18"/>
    </row>
    <row r="53" spans="1:5" ht="16">
      <c r="A53" s="18"/>
      <c r="B53" s="18"/>
      <c r="C53" s="18"/>
      <c r="D53" s="18"/>
      <c r="E53" s="18"/>
    </row>
    <row r="54" spans="1:5" ht="16">
      <c r="A54" s="18"/>
      <c r="B54" s="18"/>
      <c r="C54" s="18"/>
      <c r="D54" s="18"/>
      <c r="E54" s="18"/>
    </row>
    <row r="55" spans="1:5" ht="16">
      <c r="A55" s="18"/>
      <c r="B55" s="18"/>
      <c r="C55" s="18"/>
      <c r="D55" s="18"/>
      <c r="E55" s="18"/>
    </row>
    <row r="56" spans="1:5" ht="16">
      <c r="A56" s="18"/>
      <c r="B56" s="18"/>
      <c r="C56" s="18"/>
      <c r="D56" s="18"/>
      <c r="E56" s="18"/>
    </row>
    <row r="57" spans="1:5" ht="16">
      <c r="A57" s="18"/>
      <c r="B57" s="18"/>
      <c r="C57" s="18"/>
      <c r="D57" s="18"/>
      <c r="E57" s="18"/>
    </row>
    <row r="58" spans="1:5" ht="16">
      <c r="A58" s="18"/>
      <c r="B58" s="18"/>
      <c r="C58" s="18"/>
      <c r="D58" s="18"/>
      <c r="E58" s="18"/>
    </row>
    <row r="59" spans="1:5" ht="16">
      <c r="A59" s="18"/>
      <c r="B59" s="18"/>
      <c r="C59" s="18"/>
      <c r="D59" s="18"/>
      <c r="E59" s="18"/>
    </row>
    <row r="60" spans="1:5" ht="16">
      <c r="A60" s="18"/>
      <c r="B60" s="18"/>
      <c r="C60" s="18"/>
      <c r="D60" s="18"/>
      <c r="E60" s="18"/>
    </row>
    <row r="61" spans="1:5" ht="16">
      <c r="A61" s="18"/>
      <c r="B61" s="18"/>
      <c r="C61" s="18"/>
      <c r="D61" s="18"/>
      <c r="E61" s="18"/>
    </row>
    <row r="62" spans="1:5" ht="16">
      <c r="A62" s="18"/>
      <c r="B62" s="18"/>
      <c r="C62" s="18"/>
      <c r="D62" s="18"/>
      <c r="E62" s="18"/>
    </row>
    <row r="63" spans="1:5" ht="16">
      <c r="A63" s="18"/>
      <c r="B63" s="18"/>
      <c r="C63" s="18"/>
      <c r="D63" s="18"/>
      <c r="E63" s="18"/>
    </row>
    <row r="64" spans="1:5" ht="16">
      <c r="A64" s="18"/>
      <c r="B64" s="18"/>
      <c r="C64" s="18"/>
      <c r="D64" s="18"/>
      <c r="E64" s="18"/>
    </row>
    <row r="65" spans="1:5" ht="16">
      <c r="A65" s="18"/>
      <c r="B65" s="18"/>
      <c r="C65" s="18"/>
      <c r="D65" s="18"/>
      <c r="E65" s="18"/>
    </row>
    <row r="66" spans="1:5" ht="16">
      <c r="A66" s="18"/>
      <c r="B66" s="18"/>
      <c r="C66" s="18"/>
      <c r="D66" s="18"/>
      <c r="E66" s="18"/>
    </row>
    <row r="67" spans="1:5" ht="16">
      <c r="A67" s="18"/>
      <c r="B67" s="18"/>
      <c r="C67" s="18"/>
      <c r="D67" s="18"/>
      <c r="E67" s="18"/>
    </row>
    <row r="68" spans="1:5" ht="16">
      <c r="A68" s="18"/>
      <c r="B68" s="18"/>
      <c r="C68" s="18"/>
      <c r="D68" s="18"/>
      <c r="E68" s="18"/>
    </row>
    <row r="69" spans="1:5" ht="16">
      <c r="A69" s="18"/>
      <c r="B69" s="18"/>
      <c r="C69" s="18"/>
      <c r="D69" s="18"/>
      <c r="E69" s="18"/>
    </row>
    <row r="70" spans="1:5" ht="16">
      <c r="A70" s="18"/>
      <c r="B70" s="18"/>
      <c r="C70" s="18"/>
      <c r="D70" s="18"/>
      <c r="E70" s="18"/>
    </row>
    <row r="71" spans="1:5" ht="16">
      <c r="A71" s="18"/>
      <c r="B71" s="18"/>
      <c r="C71" s="18"/>
      <c r="D71" s="18"/>
      <c r="E71" s="18"/>
    </row>
    <row r="72" spans="1:5" ht="16">
      <c r="A72" s="18"/>
      <c r="B72" s="18"/>
      <c r="C72" s="18"/>
      <c r="D72" s="18"/>
      <c r="E72" s="18"/>
    </row>
    <row r="73" spans="1:5" ht="16">
      <c r="A73" s="18"/>
      <c r="B73" s="18"/>
      <c r="C73" s="18"/>
      <c r="D73" s="18"/>
      <c r="E73" s="18"/>
    </row>
    <row r="74" spans="1:5" ht="16">
      <c r="A74" s="18"/>
      <c r="B74" s="18"/>
      <c r="C74" s="18"/>
      <c r="D74" s="18"/>
      <c r="E74" s="18"/>
    </row>
    <row r="75" spans="1:5" ht="16">
      <c r="A75" s="18"/>
      <c r="B75" s="18"/>
      <c r="C75" s="18"/>
      <c r="D75" s="18"/>
      <c r="E75" s="18"/>
    </row>
    <row r="76" spans="1:5" ht="16">
      <c r="A76" s="18"/>
      <c r="B76" s="18"/>
      <c r="C76" s="18"/>
      <c r="D76" s="18"/>
      <c r="E76" s="18"/>
    </row>
    <row r="77" spans="1:5" ht="16">
      <c r="A77" s="18"/>
      <c r="B77" s="18"/>
      <c r="C77" s="18"/>
      <c r="D77" s="18"/>
      <c r="E77" s="18"/>
    </row>
    <row r="78" spans="1:5" ht="16">
      <c r="A78" s="18"/>
      <c r="B78" s="18"/>
      <c r="C78" s="18"/>
      <c r="D78" s="18"/>
      <c r="E78" s="18"/>
    </row>
    <row r="79" spans="1:5" ht="16">
      <c r="A79" s="18"/>
      <c r="B79" s="18"/>
      <c r="C79" s="18"/>
      <c r="D79" s="18"/>
      <c r="E79" s="18"/>
    </row>
    <row r="80" spans="1:5" ht="16">
      <c r="A80" s="18"/>
      <c r="B80" s="18"/>
      <c r="C80" s="18"/>
      <c r="D80" s="18"/>
      <c r="E80" s="18"/>
    </row>
    <row r="81" spans="1:5" ht="16">
      <c r="A81" s="18"/>
      <c r="B81" s="18"/>
      <c r="C81" s="18"/>
      <c r="D81" s="18"/>
      <c r="E81" s="18"/>
    </row>
    <row r="82" spans="1:5" ht="16">
      <c r="A82" s="18"/>
      <c r="B82" s="18"/>
      <c r="C82" s="18"/>
      <c r="D82" s="18"/>
      <c r="E82" s="18"/>
    </row>
    <row r="83" spans="1:5" ht="16">
      <c r="A83" s="18"/>
      <c r="B83" s="18"/>
      <c r="C83" s="18"/>
      <c r="D83" s="18"/>
      <c r="E83" s="18"/>
    </row>
    <row r="84" spans="1:5" ht="16">
      <c r="A84" s="18"/>
      <c r="B84" s="18"/>
      <c r="C84" s="18"/>
      <c r="D84" s="18"/>
      <c r="E84" s="18"/>
    </row>
    <row r="85" spans="1:5" ht="16">
      <c r="A85" s="18"/>
      <c r="B85" s="18"/>
      <c r="C85" s="18"/>
      <c r="D85" s="18"/>
      <c r="E85" s="18"/>
    </row>
    <row r="86" spans="1:5" ht="16">
      <c r="A86" s="18"/>
      <c r="B86" s="18"/>
      <c r="C86" s="18"/>
      <c r="D86" s="18"/>
      <c r="E86" s="18"/>
    </row>
    <row r="87" spans="1:5" ht="16">
      <c r="A87" s="18"/>
      <c r="B87" s="18"/>
      <c r="C87" s="18"/>
      <c r="D87" s="18"/>
      <c r="E87" s="18"/>
    </row>
    <row r="88" spans="1:5" ht="16">
      <c r="A88" s="18"/>
      <c r="B88" s="18"/>
      <c r="C88" s="18"/>
      <c r="D88" s="18"/>
      <c r="E88" s="18"/>
    </row>
    <row r="89" spans="1:5" ht="16">
      <c r="A89" s="18"/>
      <c r="B89" s="18"/>
      <c r="C89" s="18"/>
      <c r="D89" s="18"/>
      <c r="E89" s="18"/>
    </row>
    <row r="90" spans="1:5" ht="16">
      <c r="A90" s="18"/>
      <c r="B90" s="18"/>
      <c r="C90" s="18"/>
      <c r="D90" s="18"/>
      <c r="E90" s="18"/>
    </row>
    <row r="91" spans="1:5" ht="16">
      <c r="A91" s="18"/>
      <c r="B91" s="18"/>
      <c r="C91" s="18"/>
      <c r="D91" s="18"/>
      <c r="E91" s="18"/>
    </row>
    <row r="92" spans="1:5" ht="16">
      <c r="A92" s="18"/>
      <c r="B92" s="18"/>
      <c r="C92" s="18"/>
      <c r="D92" s="18"/>
      <c r="E92" s="18"/>
    </row>
    <row r="93" spans="1:5" ht="16">
      <c r="A93" s="18"/>
      <c r="B93" s="18"/>
      <c r="C93" s="18"/>
      <c r="D93" s="18"/>
      <c r="E93" s="18"/>
    </row>
    <row r="94" spans="1:5" ht="16">
      <c r="A94" s="18"/>
      <c r="B94" s="18"/>
      <c r="C94" s="18"/>
      <c r="D94" s="18"/>
      <c r="E94" s="18"/>
    </row>
    <row r="95" spans="1:5" ht="16">
      <c r="A95" s="18"/>
      <c r="B95" s="18"/>
      <c r="C95" s="18"/>
      <c r="D95" s="18"/>
      <c r="E95" s="18"/>
    </row>
    <row r="96" spans="1:5" ht="16">
      <c r="A96" s="18"/>
      <c r="B96" s="18"/>
      <c r="C96" s="18"/>
      <c r="D96" s="18"/>
      <c r="E96" s="18"/>
    </row>
    <row r="97" spans="1:5" ht="16">
      <c r="A97" s="18"/>
      <c r="B97" s="18"/>
      <c r="C97" s="18"/>
      <c r="D97" s="18"/>
      <c r="E97" s="18"/>
    </row>
    <row r="98" spans="1:5" ht="16">
      <c r="A98" s="18"/>
      <c r="B98" s="18"/>
      <c r="C98" s="18"/>
      <c r="D98" s="18"/>
      <c r="E98" s="18"/>
    </row>
    <row r="99" spans="1:5" ht="16">
      <c r="A99" s="18"/>
      <c r="B99" s="18"/>
      <c r="C99" s="18"/>
      <c r="D99" s="18"/>
      <c r="E99" s="18"/>
    </row>
    <row r="100" spans="1:5" ht="16">
      <c r="A100" s="18"/>
      <c r="B100" s="18"/>
      <c r="C100" s="18"/>
      <c r="D100" s="18"/>
      <c r="E100" s="18"/>
    </row>
    <row r="101" spans="1:5" ht="16">
      <c r="A101" s="18"/>
      <c r="B101" s="18"/>
      <c r="C101" s="18"/>
      <c r="D101" s="18"/>
      <c r="E101" s="18"/>
    </row>
    <row r="102" spans="1:5" ht="16">
      <c r="A102" s="18"/>
      <c r="B102" s="18"/>
      <c r="C102" s="18"/>
      <c r="D102" s="18"/>
      <c r="E102" s="18"/>
    </row>
    <row r="103" spans="1:5" ht="16">
      <c r="A103" s="18"/>
      <c r="B103" s="18"/>
      <c r="C103" s="18"/>
      <c r="D103" s="18"/>
      <c r="E103" s="18"/>
    </row>
    <row r="104" spans="1:5" ht="16">
      <c r="A104" s="18"/>
      <c r="B104" s="18"/>
      <c r="C104" s="18"/>
      <c r="D104" s="18"/>
      <c r="E104" s="18"/>
    </row>
    <row r="105" spans="1:5" ht="16">
      <c r="A105" s="18"/>
      <c r="B105" s="18"/>
      <c r="C105" s="18"/>
      <c r="D105" s="18"/>
      <c r="E105" s="18"/>
    </row>
    <row r="106" spans="1:5" ht="16">
      <c r="A106" s="18"/>
      <c r="B106" s="18"/>
      <c r="C106" s="18"/>
      <c r="D106" s="18"/>
      <c r="E106" s="18"/>
    </row>
    <row r="107" spans="1:5" ht="16">
      <c r="A107" s="18"/>
      <c r="B107" s="18"/>
      <c r="C107" s="18"/>
      <c r="D107" s="18"/>
      <c r="E107" s="18"/>
    </row>
    <row r="108" spans="1:5" ht="16">
      <c r="A108" s="18"/>
      <c r="B108" s="18"/>
      <c r="C108" s="18"/>
      <c r="D108" s="18"/>
      <c r="E108" s="18"/>
    </row>
  </sheetData>
  <phoneticPr fontId="1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zoomScale="151" zoomScaleNormal="151" workbookViewId="0">
      <pane ySplit="1" topLeftCell="A2" activePane="bottomLeft" state="frozen"/>
      <selection pane="bottomLeft" activeCell="A2" sqref="A2"/>
    </sheetView>
  </sheetViews>
  <sheetFormatPr baseColWidth="10" defaultColWidth="10.6640625" defaultRowHeight="15"/>
  <cols>
    <col min="1" max="1" width="52.16406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7" width="22.33203125" style="9" customWidth="1"/>
    <col min="8" max="13" width="22.33203125" style="9" hidden="1" customWidth="1"/>
    <col min="14" max="14" width="18" style="1" customWidth="1"/>
    <col min="15" max="15" width="17.83203125" style="1" customWidth="1"/>
    <col min="16" max="17" width="20.5" style="1" customWidth="1"/>
  </cols>
  <sheetData>
    <row r="1" spans="1:17" ht="34">
      <c r="A1" s="24" t="s">
        <v>359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39" t="s">
        <v>9</v>
      </c>
      <c r="H1" s="5" t="s">
        <v>310</v>
      </c>
      <c r="I1" s="5" t="s">
        <v>311</v>
      </c>
      <c r="J1" s="5" t="s">
        <v>312</v>
      </c>
      <c r="K1" s="5" t="s">
        <v>313</v>
      </c>
      <c r="L1" s="5" t="s">
        <v>314</v>
      </c>
      <c r="M1" s="5" t="s">
        <v>315</v>
      </c>
      <c r="N1" s="2" t="s">
        <v>350</v>
      </c>
      <c r="O1" s="16" t="s">
        <v>11</v>
      </c>
      <c r="P1" s="17" t="s">
        <v>12</v>
      </c>
      <c r="Q1" s="17" t="s">
        <v>218</v>
      </c>
    </row>
    <row r="2" spans="1:17" ht="32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257</v>
      </c>
      <c r="C2" s="8">
        <v>1</v>
      </c>
      <c r="D2" s="9">
        <v>1</v>
      </c>
      <c r="E2" s="9">
        <v>1</v>
      </c>
      <c r="F2" s="9">
        <v>1</v>
      </c>
      <c r="G2" s="40" t="str">
        <f t="shared" ref="G2:G33" si="1">CONCATENATE( B2, IF(B2&lt;&gt;"",",",""), C2, IF(C2&lt;&gt;"",",",""),  D2, IF(D2&lt;&gt;"",",",""),  E2, IF(F2&lt;&gt;"",",",""), F2,)</f>
        <v>N,1,1,1,1</v>
      </c>
      <c r="H2" s="9">
        <f>IF(F2=1,'Indirect Model Parameters'!$G$19,'Indirect Model Parameters'!$G$20)</f>
        <v>0.5</v>
      </c>
      <c r="I2" s="9">
        <f>IF(AND(C2&lt;3,D2=1),1,IF(AND(C2&lt;3,D2=2),0,IF(AND(C2&gt;2,D2=1,E2 = 1),1-Model_Matched_Parameters!$K$4,IF(AND(C2&gt;2,D2=1,E2 = 2),Model_Matched_Parameters!$K$5,IF(AND(C2&gt;2, D2 = 2, E2 = 1),Model_Matched_Parameters!$K$4,Model_Matched_Parameters!$K$5)))))</f>
        <v>1</v>
      </c>
      <c r="J2" s="9">
        <f>IF(SUMIFS('Indirect Model Parameters'!$G$11:$G$16,'Indirect Model Parameters'!$D$11:$D$16,Pop_Init!E2,'Indirect Model Parameters'!$E$11:$E$16,Pop_Init!F2) = 0,'Indirect Model Parameters'!$G$17,'Indirect Model Parameters'!$G$18*SUMIFS('Indirect Model Parameters'!$G$11:$G$16,'Indirect Model Parameters'!$D$11:$D$16,Pop_Init!E2,'Indirect Model Parameters'!$E$11:$E$16,Pop_Init!F2))</f>
        <v>0.7</v>
      </c>
      <c r="L2" s="9">
        <f>PRODUCT(H2:J2)</f>
        <v>0.35</v>
      </c>
      <c r="M2" s="9">
        <f>L2/SUM($L$2:$L$129)</f>
        <v>7.1138211382113764E-2</v>
      </c>
      <c r="N2" s="38">
        <f>M2*'Indirect Model Parameters'!$G$10</f>
        <v>7113.8211382113768</v>
      </c>
    </row>
    <row r="3" spans="1:17" ht="48">
      <c r="A3" s="1" t="str">
        <f t="shared" si="0"/>
        <v>Population in TB compartment  Uninfected, not on IPT with  Multidrug-resistant (MDR-TB) in HIV compartment  HIV-negative and Male</v>
      </c>
      <c r="B3" s="8" t="s">
        <v>257</v>
      </c>
      <c r="C3" s="8">
        <v>1</v>
      </c>
      <c r="D3" s="9">
        <v>2</v>
      </c>
      <c r="E3" s="9">
        <v>1</v>
      </c>
      <c r="F3" s="9">
        <v>1</v>
      </c>
      <c r="G3" s="40" t="str">
        <f t="shared" si="1"/>
        <v>N,1,2,1,1</v>
      </c>
      <c r="H3" s="9">
        <f>IF(F3=1,'Indirect Model Parameters'!$G$19,'Indirect Model Parameters'!$G$20)</f>
        <v>0.5</v>
      </c>
      <c r="I3" s="9">
        <f>IF(AND(C3&lt;3,D3=1),1,IF(AND(C3&lt;3,D3=2),0,IF(AND(C3&gt;2,D3=1,E3 = 1),1-Model_Matched_Parameters!$K$4,IF(AND(C3&gt;2,D3=1,E3 = 2),Model_Matched_Parameters!$K$5,IF(AND(C3&gt;2, D3 = 2, E3 = 1),Model_Matched_Parameters!$K$4,Model_Matched_Parameters!$K$5)))))</f>
        <v>0</v>
      </c>
      <c r="J3" s="9">
        <f>IF(SUMIFS('Indirect Model Parameters'!$G$11:$G$16,'Indirect Model Parameters'!$D$11:$D$16,Pop_Init!E3,'Indirect Model Parameters'!$E$11:$E$16,Pop_Init!F3) = 0,'Indirect Model Parameters'!$G$17,'Indirect Model Parameters'!$G$18*SUMIFS('Indirect Model Parameters'!$G$11:$G$16,'Indirect Model Parameters'!$D$11:$D$16,Pop_Init!E3,'Indirect Model Parameters'!$E$11:$E$16,Pop_Init!F3))</f>
        <v>0.7</v>
      </c>
      <c r="L3" s="9">
        <f t="shared" ref="L3:L66" si="2">PRODUCT(H3:J3)</f>
        <v>0</v>
      </c>
      <c r="M3" s="9">
        <f t="shared" ref="M3:M66" si="3">L3/SUM($L$2:$L$129)</f>
        <v>0</v>
      </c>
      <c r="N3" s="38">
        <f>M3*'Indirect Model Parameters'!$G$10</f>
        <v>0</v>
      </c>
    </row>
    <row r="4" spans="1:17" ht="48">
      <c r="A4" s="1" t="str">
        <f t="shared" si="0"/>
        <v>Population in TB compartment  Uninfected, not on IPT with  Multidrug-resistant (MDR-TB) in HIV compartment  HIV-negative and Female</v>
      </c>
      <c r="B4" s="8" t="s">
        <v>257</v>
      </c>
      <c r="C4" s="8">
        <v>1</v>
      </c>
      <c r="D4" s="9">
        <v>2</v>
      </c>
      <c r="E4" s="9">
        <v>1</v>
      </c>
      <c r="F4" s="9">
        <v>2</v>
      </c>
      <c r="G4" s="40" t="str">
        <f t="shared" si="1"/>
        <v>N,1,2,1,2</v>
      </c>
      <c r="H4" s="9">
        <f>IF(F4=1,'Indirect Model Parameters'!$G$19,'Indirect Model Parameters'!$G$20)</f>
        <v>0.5</v>
      </c>
      <c r="I4" s="9">
        <f>IF(AND(C4&lt;3,D4=1),1,IF(AND(C4&lt;3,D4=2),0,IF(AND(C4&gt;2,D4=1,E4 = 1),1-Model_Matched_Parameters!$K$4,IF(AND(C4&gt;2,D4=1,E4 = 2),Model_Matched_Parameters!$K$5,IF(AND(C4&gt;2, D4 = 2, E4 = 1),Model_Matched_Parameters!$K$4,Model_Matched_Parameters!$K$5)))))</f>
        <v>0</v>
      </c>
      <c r="J4" s="9">
        <f>IF(SUMIFS('Indirect Model Parameters'!$G$11:$G$16,'Indirect Model Parameters'!$D$11:$D$16,Pop_Init!E4,'Indirect Model Parameters'!$E$11:$E$16,Pop_Init!F4) = 0,'Indirect Model Parameters'!$G$17,'Indirect Model Parameters'!$G$18*SUMIFS('Indirect Model Parameters'!$G$11:$G$16,'Indirect Model Parameters'!$D$11:$D$16,Pop_Init!E4,'Indirect Model Parameters'!$E$11:$E$16,Pop_Init!F4))</f>
        <v>0.7</v>
      </c>
      <c r="L4" s="9">
        <f t="shared" si="2"/>
        <v>0</v>
      </c>
      <c r="M4" s="9">
        <f t="shared" si="3"/>
        <v>0</v>
      </c>
      <c r="N4" s="38">
        <f>M4*'Indirect Model Parameters'!$G$10</f>
        <v>0</v>
      </c>
    </row>
    <row r="5" spans="1:17" ht="32">
      <c r="A5" s="1" t="str">
        <f t="shared" si="0"/>
        <v>Population in TB compartment  Uninfected, not on IPT with Drug-susceptible (DS) in HIV compartment  HIV-negative and Female</v>
      </c>
      <c r="B5" s="8" t="s">
        <v>257</v>
      </c>
      <c r="C5" s="8">
        <v>1</v>
      </c>
      <c r="D5" s="9">
        <v>1</v>
      </c>
      <c r="E5" s="9">
        <v>1</v>
      </c>
      <c r="F5" s="9">
        <v>2</v>
      </c>
      <c r="G5" s="40" t="str">
        <f t="shared" si="1"/>
        <v>N,1,1,1,2</v>
      </c>
      <c r="H5" s="9">
        <f>IF(F5=1,'Indirect Model Parameters'!$G$19,'Indirect Model Parameters'!$G$20)</f>
        <v>0.5</v>
      </c>
      <c r="I5" s="9">
        <f>IF(AND(C5&lt;3,D5=1),1,IF(AND(C5&lt;3,D5=2),0,IF(AND(C5&gt;2,D5=1,E5 = 1),1-Model_Matched_Parameters!$K$4,IF(AND(C5&gt;2,D5=1,E5 = 2),Model_Matched_Parameters!$K$5,IF(AND(C5&gt;2, D5 = 2, E5 = 1),Model_Matched_Parameters!$K$4,Model_Matched_Parameters!$K$5)))))</f>
        <v>1</v>
      </c>
      <c r="J5" s="9">
        <f>IF(SUMIFS('Indirect Model Parameters'!$G$11:$G$16,'Indirect Model Parameters'!$D$11:$D$16,Pop_Init!E5,'Indirect Model Parameters'!$E$11:$E$16,Pop_Init!F5) = 0,'Indirect Model Parameters'!$G$17,'Indirect Model Parameters'!$G$18*SUMIFS('Indirect Model Parameters'!$G$11:$G$16,'Indirect Model Parameters'!$D$11:$D$16,Pop_Init!E5,'Indirect Model Parameters'!$E$11:$E$16,Pop_Init!F5))</f>
        <v>0.7</v>
      </c>
      <c r="L5" s="9">
        <f t="shared" si="2"/>
        <v>0.35</v>
      </c>
      <c r="M5" s="9">
        <f t="shared" si="3"/>
        <v>7.1138211382113764E-2</v>
      </c>
      <c r="N5" s="38">
        <f>M5*'Indirect Model Parameters'!$G$10</f>
        <v>7113.8211382113768</v>
      </c>
    </row>
    <row r="6" spans="1:17" ht="48">
      <c r="A6" s="1" t="str">
        <f t="shared" si="0"/>
        <v>Population in TB compartment  Uninfected, not on IPT with  Multidrug-resistant (MDR-TB) in HIV compartment  PLHIV not on ART, CD4&gt;200 and Male</v>
      </c>
      <c r="B6" s="8" t="s">
        <v>257</v>
      </c>
      <c r="C6" s="8">
        <v>1</v>
      </c>
      <c r="D6" s="9">
        <v>2</v>
      </c>
      <c r="E6" s="9">
        <v>2</v>
      </c>
      <c r="F6" s="9">
        <v>1</v>
      </c>
      <c r="G6" s="40" t="str">
        <f t="shared" si="1"/>
        <v>N,1,2,2,1</v>
      </c>
      <c r="H6" s="9">
        <f>IF(F6=1,'Indirect Model Parameters'!$G$19,'Indirect Model Parameters'!$G$20)</f>
        <v>0.5</v>
      </c>
      <c r="I6" s="9">
        <f>IF(AND(C6&lt;3,D6=1),1,IF(AND(C6&lt;3,D6=2),0,IF(AND(C6&gt;2,D6=1,E6 = 1),1-Model_Matched_Parameters!$K$4,IF(AND(C6&gt;2,D6=1,E6 = 2),Model_Matched_Parameters!$K$5,IF(AND(C6&gt;2, D6 = 2, E6 = 1),Model_Matched_Parameters!$K$4,Model_Matched_Parameters!$K$5)))))</f>
        <v>0</v>
      </c>
      <c r="J6" s="9">
        <f>IF(SUMIFS('Indirect Model Parameters'!$G$11:$G$16,'Indirect Model Parameters'!$D$11:$D$16,Pop_Init!E6,'Indirect Model Parameters'!$E$11:$E$16,Pop_Init!F6) = 0,'Indirect Model Parameters'!$G$17,'Indirect Model Parameters'!$G$18*SUMIFS('Indirect Model Parameters'!$G$11:$G$16,'Indirect Model Parameters'!$D$11:$D$16,Pop_Init!E6,'Indirect Model Parameters'!$E$11:$E$16,Pop_Init!F6))</f>
        <v>0.16500000000000001</v>
      </c>
      <c r="L6" s="9">
        <f t="shared" si="2"/>
        <v>0</v>
      </c>
      <c r="M6" s="9">
        <f t="shared" si="3"/>
        <v>0</v>
      </c>
      <c r="N6" s="38">
        <f>M6*'Indirect Model Parameters'!$G$10</f>
        <v>0</v>
      </c>
    </row>
    <row r="7" spans="1:17" ht="48">
      <c r="A7" s="1" t="str">
        <f t="shared" si="0"/>
        <v>Population in TB compartment  Uninfected, not on IPT with Drug-susceptible (DS) in HIV compartment  PLHIV not on ART, CD4&gt;200 and Male</v>
      </c>
      <c r="B7" s="8" t="s">
        <v>257</v>
      </c>
      <c r="C7" s="8">
        <v>1</v>
      </c>
      <c r="D7" s="9">
        <v>1</v>
      </c>
      <c r="E7" s="9">
        <v>2</v>
      </c>
      <c r="F7" s="9">
        <v>1</v>
      </c>
      <c r="G7" s="40" t="str">
        <f t="shared" si="1"/>
        <v>N,1,1,2,1</v>
      </c>
      <c r="H7" s="9">
        <f>IF(F7=1,'Indirect Model Parameters'!$G$19,'Indirect Model Parameters'!$G$20)</f>
        <v>0.5</v>
      </c>
      <c r="I7" s="9">
        <f>IF(AND(C7&lt;3,D7=1),1,IF(AND(C7&lt;3,D7=2),0,IF(AND(C7&gt;2,D7=1,E7 = 1),1-Model_Matched_Parameters!$K$4,IF(AND(C7&gt;2,D7=1,E7 = 2),Model_Matched_Parameters!$K$5,IF(AND(C7&gt;2, D7 = 2, E7 = 1),Model_Matched_Parameters!$K$4,Model_Matched_Parameters!$K$5)))))</f>
        <v>1</v>
      </c>
      <c r="J7" s="9">
        <f>IF(SUMIFS('Indirect Model Parameters'!$G$11:$G$16,'Indirect Model Parameters'!$D$11:$D$16,Pop_Init!E7,'Indirect Model Parameters'!$E$11:$E$16,Pop_Init!F7) = 0,'Indirect Model Parameters'!$G$17,'Indirect Model Parameters'!$G$18*SUMIFS('Indirect Model Parameters'!$G$11:$G$16,'Indirect Model Parameters'!$D$11:$D$16,Pop_Init!E7,'Indirect Model Parameters'!$E$11:$E$16,Pop_Init!F7))</f>
        <v>0.16500000000000001</v>
      </c>
      <c r="L7" s="9">
        <f t="shared" si="2"/>
        <v>8.2500000000000004E-2</v>
      </c>
      <c r="M7" s="9">
        <f t="shared" si="3"/>
        <v>1.676829268292682E-2</v>
      </c>
      <c r="N7" s="38">
        <f>M7*'Indirect Model Parameters'!$G$10</f>
        <v>1676.8292682926819</v>
      </c>
    </row>
    <row r="8" spans="1:17" ht="48">
      <c r="A8" s="1" t="str">
        <f t="shared" si="0"/>
        <v>Population in TB compartment  Uninfected, not on IPT with  Multidrug-resistant (MDR-TB) in HIV compartment  PLHIV not on ART, CD4&gt;200 and Female</v>
      </c>
      <c r="B8" s="8" t="s">
        <v>257</v>
      </c>
      <c r="C8" s="8">
        <v>1</v>
      </c>
      <c r="D8" s="9">
        <v>2</v>
      </c>
      <c r="E8" s="9">
        <v>2</v>
      </c>
      <c r="F8" s="9">
        <v>2</v>
      </c>
      <c r="G8" s="40" t="str">
        <f t="shared" si="1"/>
        <v>N,1,2,2,2</v>
      </c>
      <c r="H8" s="9">
        <f>IF(F8=1,'Indirect Model Parameters'!$G$19,'Indirect Model Parameters'!$G$20)</f>
        <v>0.5</v>
      </c>
      <c r="I8" s="9">
        <f>IF(AND(C8&lt;3,D8=1),1,IF(AND(C8&lt;3,D8=2),0,IF(AND(C8&gt;2,D8=1,E8 = 1),1-Model_Matched_Parameters!$K$4,IF(AND(C8&gt;2,D8=1,E8 = 2),Model_Matched_Parameters!$K$5,IF(AND(C8&gt;2, D8 = 2, E8 = 1),Model_Matched_Parameters!$K$4,Model_Matched_Parameters!$K$5)))))</f>
        <v>0</v>
      </c>
      <c r="J8" s="9">
        <f>IF(SUMIFS('Indirect Model Parameters'!$G$11:$G$16,'Indirect Model Parameters'!$D$11:$D$16,Pop_Init!E8,'Indirect Model Parameters'!$E$11:$E$16,Pop_Init!F8) = 0,'Indirect Model Parameters'!$G$17,'Indirect Model Parameters'!$G$18*SUMIFS('Indirect Model Parameters'!$G$11:$G$16,'Indirect Model Parameters'!$D$11:$D$16,Pop_Init!E8,'Indirect Model Parameters'!$E$11:$E$16,Pop_Init!F8))</f>
        <v>0.16500000000000001</v>
      </c>
      <c r="L8" s="9">
        <f t="shared" si="2"/>
        <v>0</v>
      </c>
      <c r="M8" s="9">
        <f t="shared" si="3"/>
        <v>0</v>
      </c>
      <c r="N8" s="38">
        <f>M8*'Indirect Model Parameters'!$G$10</f>
        <v>0</v>
      </c>
    </row>
    <row r="9" spans="1:17" ht="48">
      <c r="A9" s="1" t="str">
        <f t="shared" si="0"/>
        <v>Population in TB compartment  Uninfected, not on IPT with Drug-susceptible (DS) in HIV compartment  PLHIV not on ART, CD4&gt;200 and Female</v>
      </c>
      <c r="B9" s="8" t="s">
        <v>257</v>
      </c>
      <c r="C9" s="8">
        <v>1</v>
      </c>
      <c r="D9" s="9">
        <v>1</v>
      </c>
      <c r="E9" s="9">
        <v>2</v>
      </c>
      <c r="F9" s="9">
        <v>2</v>
      </c>
      <c r="G9" s="40" t="str">
        <f t="shared" si="1"/>
        <v>N,1,1,2,2</v>
      </c>
      <c r="H9" s="9">
        <f>IF(F9=1,'Indirect Model Parameters'!$G$19,'Indirect Model Parameters'!$G$20)</f>
        <v>0.5</v>
      </c>
      <c r="I9" s="9">
        <f>IF(AND(C9&lt;3,D9=1),1,IF(AND(C9&lt;3,D9=2),0,IF(AND(C9&gt;2,D9=1,E9 = 1),1-Model_Matched_Parameters!$K$4,IF(AND(C9&gt;2,D9=1,E9 = 2),Model_Matched_Parameters!$K$5,IF(AND(C9&gt;2, D9 = 2, E9 = 1),Model_Matched_Parameters!$K$4,Model_Matched_Parameters!$K$5)))))</f>
        <v>1</v>
      </c>
      <c r="J9" s="9">
        <f>IF(SUMIFS('Indirect Model Parameters'!$G$11:$G$16,'Indirect Model Parameters'!$D$11:$D$16,Pop_Init!E9,'Indirect Model Parameters'!$E$11:$E$16,Pop_Init!F9) = 0,'Indirect Model Parameters'!$G$17,'Indirect Model Parameters'!$G$18*SUMIFS('Indirect Model Parameters'!$G$11:$G$16,'Indirect Model Parameters'!$D$11:$D$16,Pop_Init!E9,'Indirect Model Parameters'!$E$11:$E$16,Pop_Init!F9))</f>
        <v>0.16500000000000001</v>
      </c>
      <c r="L9" s="9">
        <f t="shared" si="2"/>
        <v>8.2500000000000004E-2</v>
      </c>
      <c r="M9" s="9">
        <f t="shared" si="3"/>
        <v>1.676829268292682E-2</v>
      </c>
      <c r="N9" s="38">
        <f>M9*'Indirect Model Parameters'!$G$10</f>
        <v>1676.8292682926819</v>
      </c>
    </row>
    <row r="10" spans="1:17" ht="48">
      <c r="A10" s="1" t="str">
        <f t="shared" si="0"/>
        <v>Population in TB compartment  Uninfected, not on IPT with  Multidrug-resistant (MDR-TB) in HIV compartment  PLHIV not on ART, CD4≤200 and Male</v>
      </c>
      <c r="B10" s="8" t="s">
        <v>257</v>
      </c>
      <c r="C10" s="8">
        <v>1</v>
      </c>
      <c r="D10" s="9">
        <v>2</v>
      </c>
      <c r="E10" s="9">
        <v>3</v>
      </c>
      <c r="F10" s="9">
        <v>1</v>
      </c>
      <c r="G10" s="40" t="str">
        <f t="shared" si="1"/>
        <v>N,1,2,3,1</v>
      </c>
      <c r="H10" s="9">
        <f>IF(F10=1,'Indirect Model Parameters'!$G$19,'Indirect Model Parameters'!$G$20)</f>
        <v>0.5</v>
      </c>
      <c r="I10" s="9">
        <f>IF(AND(C10&lt;3,D10=1),1,IF(AND(C10&lt;3,D10=2),0,IF(AND(C10&gt;2,D10=1,E10 = 1),1-Model_Matched_Parameters!$K$4,IF(AND(C10&gt;2,D10=1,E10 = 2),Model_Matched_Parameters!$K$5,IF(AND(C10&gt;2, D10 = 2, E10 = 1),Model_Matched_Parameters!$K$4,Model_Matched_Parameters!$K$5)))))</f>
        <v>0</v>
      </c>
      <c r="J10" s="9">
        <f>IF(SUMIFS('Indirect Model Parameters'!$G$11:$G$16,'Indirect Model Parameters'!$D$11:$D$16,Pop_Init!E10,'Indirect Model Parameters'!$E$11:$E$16,Pop_Init!F10) = 0,'Indirect Model Parameters'!$G$17,'Indirect Model Parameters'!$G$18*SUMIFS('Indirect Model Parameters'!$G$11:$G$16,'Indirect Model Parameters'!$D$11:$D$16,Pop_Init!E10,'Indirect Model Parameters'!$E$11:$E$16,Pop_Init!F10))</f>
        <v>5.3999999999999979E-2</v>
      </c>
      <c r="L10" s="9">
        <f t="shared" si="2"/>
        <v>0</v>
      </c>
      <c r="M10" s="9">
        <f t="shared" si="3"/>
        <v>0</v>
      </c>
      <c r="N10" s="38">
        <f>M10*'Indirect Model Parameters'!$G$10</f>
        <v>0</v>
      </c>
    </row>
    <row r="11" spans="1:17" ht="48">
      <c r="A11" s="1" t="str">
        <f t="shared" si="0"/>
        <v>Population in TB compartment  Uninfected, not on IPT with Drug-susceptible (DS) in HIV compartment  PLHIV not on ART, CD4≤200 and Male</v>
      </c>
      <c r="B11" s="8" t="s">
        <v>257</v>
      </c>
      <c r="C11" s="8">
        <v>1</v>
      </c>
      <c r="D11" s="9">
        <v>1</v>
      </c>
      <c r="E11" s="9">
        <v>3</v>
      </c>
      <c r="F11" s="9">
        <v>1</v>
      </c>
      <c r="G11" s="40" t="str">
        <f t="shared" si="1"/>
        <v>N,1,1,3,1</v>
      </c>
      <c r="H11" s="9">
        <f>IF(F11=1,'Indirect Model Parameters'!$G$19,'Indirect Model Parameters'!$G$20)</f>
        <v>0.5</v>
      </c>
      <c r="I11" s="9">
        <f>IF(AND(C11&lt;3,D11=1),1,IF(AND(C11&lt;3,D11=2),0,IF(AND(C11&gt;2,D11=1,E11 = 1),1-Model_Matched_Parameters!$K$4,IF(AND(C11&gt;2,D11=1,E11 = 2),Model_Matched_Parameters!$K$5,IF(AND(C11&gt;2, D11 = 2, E11 = 1),Model_Matched_Parameters!$K$4,Model_Matched_Parameters!$K$5)))))</f>
        <v>1</v>
      </c>
      <c r="J11" s="9">
        <f>IF(SUMIFS('Indirect Model Parameters'!$G$11:$G$16,'Indirect Model Parameters'!$D$11:$D$16,Pop_Init!E11,'Indirect Model Parameters'!$E$11:$E$16,Pop_Init!F11) = 0,'Indirect Model Parameters'!$G$17,'Indirect Model Parameters'!$G$18*SUMIFS('Indirect Model Parameters'!$G$11:$G$16,'Indirect Model Parameters'!$D$11:$D$16,Pop_Init!E11,'Indirect Model Parameters'!$E$11:$E$16,Pop_Init!F11))</f>
        <v>5.3999999999999979E-2</v>
      </c>
      <c r="L11" s="9">
        <f t="shared" si="2"/>
        <v>2.6999999999999989E-2</v>
      </c>
      <c r="M11" s="9">
        <f t="shared" si="3"/>
        <v>5.4878048780487741E-3</v>
      </c>
      <c r="N11" s="38">
        <f>M11*'Indirect Model Parameters'!$G$10</f>
        <v>548.78048780487745</v>
      </c>
    </row>
    <row r="12" spans="1:17" ht="48">
      <c r="A12" s="1" t="str">
        <f t="shared" si="0"/>
        <v>Population in TB compartment  Uninfected, not on IPT with  Multidrug-resistant (MDR-TB) in HIV compartment  PLHIV not on ART, CD4≤200 and Female</v>
      </c>
      <c r="B12" s="8" t="s">
        <v>257</v>
      </c>
      <c r="C12" s="8">
        <v>1</v>
      </c>
      <c r="D12" s="9">
        <v>2</v>
      </c>
      <c r="E12" s="9">
        <v>3</v>
      </c>
      <c r="F12" s="9">
        <v>2</v>
      </c>
      <c r="G12" s="40" t="str">
        <f t="shared" si="1"/>
        <v>N,1,2,3,2</v>
      </c>
      <c r="H12" s="9">
        <f>IF(F12=1,'Indirect Model Parameters'!$G$19,'Indirect Model Parameters'!$G$20)</f>
        <v>0.5</v>
      </c>
      <c r="I12" s="9">
        <f>IF(AND(C12&lt;3,D12=1),1,IF(AND(C12&lt;3,D12=2),0,IF(AND(C12&gt;2,D12=1,E12 = 1),1-Model_Matched_Parameters!$K$4,IF(AND(C12&gt;2,D12=1,E12 = 2),Model_Matched_Parameters!$K$5,IF(AND(C12&gt;2, D12 = 2, E12 = 1),Model_Matched_Parameters!$K$4,Model_Matched_Parameters!$K$5)))))</f>
        <v>0</v>
      </c>
      <c r="J12" s="9">
        <f>IF(SUMIFS('Indirect Model Parameters'!$G$11:$G$16,'Indirect Model Parameters'!$D$11:$D$16,Pop_Init!E12,'Indirect Model Parameters'!$E$11:$E$16,Pop_Init!F12) = 0,'Indirect Model Parameters'!$G$17,'Indirect Model Parameters'!$G$18*SUMIFS('Indirect Model Parameters'!$G$11:$G$16,'Indirect Model Parameters'!$D$11:$D$16,Pop_Init!E12,'Indirect Model Parameters'!$E$11:$E$16,Pop_Init!F12))</f>
        <v>5.3999999999999979E-2</v>
      </c>
      <c r="L12" s="9">
        <f t="shared" si="2"/>
        <v>0</v>
      </c>
      <c r="M12" s="9">
        <f t="shared" si="3"/>
        <v>0</v>
      </c>
      <c r="N12" s="38">
        <f>M12*'Indirect Model Parameters'!$G$10</f>
        <v>0</v>
      </c>
    </row>
    <row r="13" spans="1:17" ht="48">
      <c r="A13" s="1" t="str">
        <f t="shared" si="0"/>
        <v>Population in TB compartment  Uninfected, not on IPT with Drug-susceptible (DS) in HIV compartment  PLHIV not on ART, CD4≤200 and Female</v>
      </c>
      <c r="B13" s="8" t="s">
        <v>257</v>
      </c>
      <c r="C13" s="8">
        <v>1</v>
      </c>
      <c r="D13" s="9">
        <v>1</v>
      </c>
      <c r="E13" s="9">
        <v>3</v>
      </c>
      <c r="F13" s="9">
        <v>2</v>
      </c>
      <c r="G13" s="40" t="str">
        <f t="shared" si="1"/>
        <v>N,1,1,3,2</v>
      </c>
      <c r="H13" s="9">
        <f>IF(F13=1,'Indirect Model Parameters'!$G$19,'Indirect Model Parameters'!$G$20)</f>
        <v>0.5</v>
      </c>
      <c r="I13" s="9">
        <f>IF(AND(C13&lt;3,D13=1),1,IF(AND(C13&lt;3,D13=2),0,IF(AND(C13&gt;2,D13=1,E13 = 1),1-Model_Matched_Parameters!$K$4,IF(AND(C13&gt;2,D13=1,E13 = 2),Model_Matched_Parameters!$K$5,IF(AND(C13&gt;2, D13 = 2, E13 = 1),Model_Matched_Parameters!$K$4,Model_Matched_Parameters!$K$5)))))</f>
        <v>1</v>
      </c>
      <c r="J13" s="9">
        <f>IF(SUMIFS('Indirect Model Parameters'!$G$11:$G$16,'Indirect Model Parameters'!$D$11:$D$16,Pop_Init!E13,'Indirect Model Parameters'!$E$11:$E$16,Pop_Init!F13) = 0,'Indirect Model Parameters'!$G$17,'Indirect Model Parameters'!$G$18*SUMIFS('Indirect Model Parameters'!$G$11:$G$16,'Indirect Model Parameters'!$D$11:$D$16,Pop_Init!E13,'Indirect Model Parameters'!$E$11:$E$16,Pop_Init!F13))</f>
        <v>5.3999999999999979E-2</v>
      </c>
      <c r="L13" s="9">
        <f t="shared" si="2"/>
        <v>2.6999999999999989E-2</v>
      </c>
      <c r="M13" s="9">
        <f t="shared" si="3"/>
        <v>5.4878048780487741E-3</v>
      </c>
      <c r="N13" s="38">
        <f>M13*'Indirect Model Parameters'!$G$10</f>
        <v>548.78048780487745</v>
      </c>
    </row>
    <row r="14" spans="1:17" ht="48">
      <c r="A14" s="1" t="str">
        <f t="shared" si="0"/>
        <v>Population in TB compartment  Uninfected, not on IPT with  Multidrug-resistant (MDR-TB) in HIV compartment  PLHIV and on ART and Male</v>
      </c>
      <c r="B14" s="8" t="s">
        <v>257</v>
      </c>
      <c r="C14" s="8">
        <v>1</v>
      </c>
      <c r="D14" s="9">
        <v>2</v>
      </c>
      <c r="E14" s="9">
        <v>4</v>
      </c>
      <c r="F14" s="9">
        <v>1</v>
      </c>
      <c r="G14" s="40" t="str">
        <f t="shared" si="1"/>
        <v>N,1,2,4,1</v>
      </c>
      <c r="H14" s="9">
        <f>IF(F14=1,'Indirect Model Parameters'!$G$19,'Indirect Model Parameters'!$G$20)</f>
        <v>0.5</v>
      </c>
      <c r="I14" s="9">
        <f>IF(AND(C14&lt;3,D14=1),1,IF(AND(C14&lt;3,D14=2),0,IF(AND(C14&gt;2,D14=1,E14 = 1),1-Model_Matched_Parameters!$K$4,IF(AND(C14&gt;2,D14=1,E14 = 2),Model_Matched_Parameters!$K$5,IF(AND(C14&gt;2, D14 = 2, E14 = 1),Model_Matched_Parameters!$K$4,Model_Matched_Parameters!$K$5)))))</f>
        <v>0</v>
      </c>
      <c r="J14" s="9">
        <f>IF(SUMIFS('Indirect Model Parameters'!$G$11:$G$16,'Indirect Model Parameters'!$D$11:$D$16,Pop_Init!E14,'Indirect Model Parameters'!$E$11:$E$16,Pop_Init!F14) = 0,'Indirect Model Parameters'!$G$17,'Indirect Model Parameters'!$G$18*SUMIFS('Indirect Model Parameters'!$G$11:$G$16,'Indirect Model Parameters'!$D$11:$D$16,Pop_Init!E14,'Indirect Model Parameters'!$E$11:$E$16,Pop_Init!F14))</f>
        <v>8.1000000000000003E-2</v>
      </c>
      <c r="L14" s="9">
        <f t="shared" si="2"/>
        <v>0</v>
      </c>
      <c r="M14" s="9">
        <f t="shared" si="3"/>
        <v>0</v>
      </c>
      <c r="N14" s="38">
        <f>M14*'Indirect Model Parameters'!$G$10</f>
        <v>0</v>
      </c>
    </row>
    <row r="15" spans="1:17" ht="32">
      <c r="A15" s="1" t="str">
        <f t="shared" si="0"/>
        <v>Population in TB compartment  Uninfected, not on IPT with Drug-susceptible (DS) in HIV compartment  PLHIV and on ART and Male</v>
      </c>
      <c r="B15" s="8" t="s">
        <v>257</v>
      </c>
      <c r="C15" s="8">
        <v>1</v>
      </c>
      <c r="D15" s="9">
        <v>1</v>
      </c>
      <c r="E15" s="9">
        <v>4</v>
      </c>
      <c r="F15" s="9">
        <v>1</v>
      </c>
      <c r="G15" s="40" t="str">
        <f t="shared" si="1"/>
        <v>N,1,1,4,1</v>
      </c>
      <c r="H15" s="9">
        <f>IF(F15=1,'Indirect Model Parameters'!$G$19,'Indirect Model Parameters'!$G$20)</f>
        <v>0.5</v>
      </c>
      <c r="I15" s="9">
        <f>IF(AND(C15&lt;3,D15=1),1,IF(AND(C15&lt;3,D15=2),0,IF(AND(C15&gt;2,D15=1,E15 = 1),1-Model_Matched_Parameters!$K$4,IF(AND(C15&gt;2,D15=1,E15 = 2),Model_Matched_Parameters!$K$5,IF(AND(C15&gt;2, D15 = 2, E15 = 1),Model_Matched_Parameters!$K$4,Model_Matched_Parameters!$K$5)))))</f>
        <v>1</v>
      </c>
      <c r="J15" s="9">
        <f>IF(SUMIFS('Indirect Model Parameters'!$G$11:$G$16,'Indirect Model Parameters'!$D$11:$D$16,Pop_Init!E15,'Indirect Model Parameters'!$E$11:$E$16,Pop_Init!F15) = 0,'Indirect Model Parameters'!$G$17,'Indirect Model Parameters'!$G$18*SUMIFS('Indirect Model Parameters'!$G$11:$G$16,'Indirect Model Parameters'!$D$11:$D$16,Pop_Init!E15,'Indirect Model Parameters'!$E$11:$E$16,Pop_Init!F15))</f>
        <v>8.1000000000000003E-2</v>
      </c>
      <c r="L15" s="9">
        <f t="shared" si="2"/>
        <v>4.0500000000000001E-2</v>
      </c>
      <c r="M15" s="9">
        <f t="shared" si="3"/>
        <v>8.2317073170731659E-3</v>
      </c>
      <c r="N15" s="38">
        <f>M15*'Indirect Model Parameters'!$G$10</f>
        <v>823.17073170731658</v>
      </c>
    </row>
    <row r="16" spans="1:17" ht="48">
      <c r="A16" s="1" t="str">
        <f t="shared" si="0"/>
        <v>Population in TB compartment  Uninfected, not on IPT with  Multidrug-resistant (MDR-TB) in HIV compartment  PLHIV and on ART and Female</v>
      </c>
      <c r="B16" s="8" t="s">
        <v>257</v>
      </c>
      <c r="C16" s="8">
        <v>1</v>
      </c>
      <c r="D16" s="9">
        <v>2</v>
      </c>
      <c r="E16" s="9">
        <v>4</v>
      </c>
      <c r="F16" s="9">
        <v>2</v>
      </c>
      <c r="G16" s="40" t="str">
        <f t="shared" si="1"/>
        <v>N,1,2,4,2</v>
      </c>
      <c r="H16" s="9">
        <f>IF(F16=1,'Indirect Model Parameters'!$G$19,'Indirect Model Parameters'!$G$20)</f>
        <v>0.5</v>
      </c>
      <c r="I16" s="9">
        <f>IF(AND(C16&lt;3,D16=1),1,IF(AND(C16&lt;3,D16=2),0,IF(AND(C16&gt;2,D16=1,E16 = 1),1-Model_Matched_Parameters!$K$4,IF(AND(C16&gt;2,D16=1,E16 = 2),Model_Matched_Parameters!$K$5,IF(AND(C16&gt;2, D16 = 2, E16 = 1),Model_Matched_Parameters!$K$4,Model_Matched_Parameters!$K$5)))))</f>
        <v>0</v>
      </c>
      <c r="J16" s="9">
        <f>IF(SUMIFS('Indirect Model Parameters'!$G$11:$G$16,'Indirect Model Parameters'!$D$11:$D$16,Pop_Init!E16,'Indirect Model Parameters'!$E$11:$E$16,Pop_Init!F16) = 0,'Indirect Model Parameters'!$G$17,'Indirect Model Parameters'!$G$18*SUMIFS('Indirect Model Parameters'!$G$11:$G$16,'Indirect Model Parameters'!$D$11:$D$16,Pop_Init!E16,'Indirect Model Parameters'!$E$11:$E$16,Pop_Init!F16))</f>
        <v>8.1000000000000003E-2</v>
      </c>
      <c r="L16" s="9">
        <f t="shared" si="2"/>
        <v>0</v>
      </c>
      <c r="M16" s="9">
        <f t="shared" si="3"/>
        <v>0</v>
      </c>
      <c r="N16" s="38">
        <f>M16*'Indirect Model Parameters'!$G$10</f>
        <v>0</v>
      </c>
    </row>
    <row r="17" spans="1:14" ht="48">
      <c r="A17" s="1" t="str">
        <f t="shared" si="0"/>
        <v>Population in TB compartment  Uninfected, not on IPT with Drug-susceptible (DS) in HIV compartment  PLHIV and on ART and Female</v>
      </c>
      <c r="B17" s="8" t="s">
        <v>257</v>
      </c>
      <c r="C17" s="8">
        <v>1</v>
      </c>
      <c r="D17" s="9">
        <v>1</v>
      </c>
      <c r="E17" s="9">
        <v>4</v>
      </c>
      <c r="F17" s="9">
        <v>2</v>
      </c>
      <c r="G17" s="40" t="str">
        <f t="shared" si="1"/>
        <v>N,1,1,4,2</v>
      </c>
      <c r="H17" s="9">
        <f>IF(F17=1,'Indirect Model Parameters'!$G$19,'Indirect Model Parameters'!$G$20)</f>
        <v>0.5</v>
      </c>
      <c r="I17" s="9">
        <f>IF(AND(C17&lt;3,D17=1),1,IF(AND(C17&lt;3,D17=2),0,IF(AND(C17&gt;2,D17=1,E17 = 1),1-Model_Matched_Parameters!$K$4,IF(AND(C17&gt;2,D17=1,E17 = 2),Model_Matched_Parameters!$K$5,IF(AND(C17&gt;2, D17 = 2, E17 = 1),Model_Matched_Parameters!$K$4,Model_Matched_Parameters!$K$5)))))</f>
        <v>1</v>
      </c>
      <c r="J17" s="9">
        <f>IF(SUMIFS('Indirect Model Parameters'!$G$11:$G$16,'Indirect Model Parameters'!$D$11:$D$16,Pop_Init!E17,'Indirect Model Parameters'!$E$11:$E$16,Pop_Init!F17) = 0,'Indirect Model Parameters'!$G$17,'Indirect Model Parameters'!$G$18*SUMIFS('Indirect Model Parameters'!$G$11:$G$16,'Indirect Model Parameters'!$D$11:$D$16,Pop_Init!E17,'Indirect Model Parameters'!$E$11:$E$16,Pop_Init!F17))</f>
        <v>8.1000000000000003E-2</v>
      </c>
      <c r="L17" s="9">
        <f t="shared" si="2"/>
        <v>4.0500000000000001E-2</v>
      </c>
      <c r="M17" s="9">
        <f t="shared" si="3"/>
        <v>8.2317073170731659E-3</v>
      </c>
      <c r="N17" s="38">
        <f>M17*'Indirect Model Parameters'!$G$10</f>
        <v>823.17073170731658</v>
      </c>
    </row>
    <row r="18" spans="1:14" ht="32">
      <c r="A18" s="1" t="str">
        <f t="shared" si="0"/>
        <v>Population in TB compartment  Uninfected, on IPT with Drug-susceptible (DS) in HIV compartment  HIV-negative and Male</v>
      </c>
      <c r="B18" s="8" t="s">
        <v>257</v>
      </c>
      <c r="C18" s="8">
        <v>2</v>
      </c>
      <c r="D18" s="9">
        <v>1</v>
      </c>
      <c r="E18" s="9">
        <v>1</v>
      </c>
      <c r="F18" s="9">
        <v>1</v>
      </c>
      <c r="G18" s="40" t="str">
        <f t="shared" si="1"/>
        <v>N,2,1,1,1</v>
      </c>
      <c r="H18" s="9">
        <f>IF(F18=1,'Indirect Model Parameters'!$G$19,'Indirect Model Parameters'!$G$20)</f>
        <v>0.5</v>
      </c>
      <c r="I18" s="9">
        <f>IF(AND(C18&lt;3,D18=1),1,IF(AND(C18&lt;3,D18=2),0,IF(AND(C18&gt;2,D18=1,E18 = 1),1-Model_Matched_Parameters!$K$4,IF(AND(C18&gt;2,D18=1,E18 = 2),Model_Matched_Parameters!$K$5,IF(AND(C18&gt;2, D18 = 2, E18 = 1),Model_Matched_Parameters!$K$4,Model_Matched_Parameters!$K$5)))))</f>
        <v>1</v>
      </c>
      <c r="J18" s="9">
        <f>IF(SUMIFS('Indirect Model Parameters'!$G$11:$G$16,'Indirect Model Parameters'!$D$11:$D$16,Pop_Init!E18,'Indirect Model Parameters'!$E$11:$E$16,Pop_Init!F18) = 0,'Indirect Model Parameters'!$G$17,'Indirect Model Parameters'!$G$18*SUMIFS('Indirect Model Parameters'!$G$11:$G$16,'Indirect Model Parameters'!$D$11:$D$16,Pop_Init!E18,'Indirect Model Parameters'!$E$11:$E$16,Pop_Init!F18))</f>
        <v>0.7</v>
      </c>
      <c r="L18" s="9">
        <f t="shared" si="2"/>
        <v>0.35</v>
      </c>
      <c r="M18" s="9">
        <f t="shared" si="3"/>
        <v>7.1138211382113764E-2</v>
      </c>
      <c r="N18" s="38">
        <f>M18*'Indirect Model Parameters'!$G$10</f>
        <v>7113.8211382113768</v>
      </c>
    </row>
    <row r="19" spans="1:14" ht="48">
      <c r="A19" s="1" t="str">
        <f t="shared" si="0"/>
        <v>Population in TB compartment  Uninfected, on IPT with  Multidrug-resistant (MDR-TB) in HIV compartment  HIV-negative and Male</v>
      </c>
      <c r="B19" s="8" t="s">
        <v>257</v>
      </c>
      <c r="C19" s="8">
        <v>2</v>
      </c>
      <c r="D19" s="9">
        <v>2</v>
      </c>
      <c r="E19" s="9">
        <v>1</v>
      </c>
      <c r="F19" s="9">
        <v>1</v>
      </c>
      <c r="G19" s="40" t="str">
        <f t="shared" si="1"/>
        <v>N,2,2,1,1</v>
      </c>
      <c r="H19" s="9">
        <f>IF(F19=1,'Indirect Model Parameters'!$G$19,'Indirect Model Parameters'!$G$20)</f>
        <v>0.5</v>
      </c>
      <c r="I19" s="9">
        <f>IF(AND(C19&lt;3,D19=1),1,IF(AND(C19&lt;3,D19=2),0,IF(AND(C19&gt;2,D19=1,E19 = 1),1-Model_Matched_Parameters!$K$4,IF(AND(C19&gt;2,D19=1,E19 = 2),Model_Matched_Parameters!$K$5,IF(AND(C19&gt;2, D19 = 2, E19 = 1),Model_Matched_Parameters!$K$4,Model_Matched_Parameters!$K$5)))))</f>
        <v>0</v>
      </c>
      <c r="J19" s="9">
        <f>IF(SUMIFS('Indirect Model Parameters'!$G$11:$G$16,'Indirect Model Parameters'!$D$11:$D$16,Pop_Init!E19,'Indirect Model Parameters'!$E$11:$E$16,Pop_Init!F19) = 0,'Indirect Model Parameters'!$G$17,'Indirect Model Parameters'!$G$18*SUMIFS('Indirect Model Parameters'!$G$11:$G$16,'Indirect Model Parameters'!$D$11:$D$16,Pop_Init!E19,'Indirect Model Parameters'!$E$11:$E$16,Pop_Init!F19))</f>
        <v>0.7</v>
      </c>
      <c r="L19" s="9">
        <f t="shared" si="2"/>
        <v>0</v>
      </c>
      <c r="M19" s="9">
        <f t="shared" si="3"/>
        <v>0</v>
      </c>
      <c r="N19" s="38">
        <f>M19*'Indirect Model Parameters'!$G$10</f>
        <v>0</v>
      </c>
    </row>
    <row r="20" spans="1:14" ht="32">
      <c r="A20" s="1" t="str">
        <f t="shared" si="0"/>
        <v>Population in TB compartment  Uninfected, on IPT with Drug-susceptible (DS) in HIV compartment  HIV-negative and Female</v>
      </c>
      <c r="B20" s="8" t="s">
        <v>257</v>
      </c>
      <c r="C20" s="8">
        <v>2</v>
      </c>
      <c r="D20" s="9">
        <v>1</v>
      </c>
      <c r="E20" s="9">
        <v>1</v>
      </c>
      <c r="F20" s="9">
        <v>2</v>
      </c>
      <c r="G20" s="40" t="str">
        <f t="shared" si="1"/>
        <v>N,2,1,1,2</v>
      </c>
      <c r="H20" s="9">
        <f>IF(F20=1,'Indirect Model Parameters'!$G$19,'Indirect Model Parameters'!$G$20)</f>
        <v>0.5</v>
      </c>
      <c r="I20" s="9">
        <f>IF(AND(C20&lt;3,D20=1),1,IF(AND(C20&lt;3,D20=2),0,IF(AND(C20&gt;2,D20=1,E20 = 1),1-Model_Matched_Parameters!$K$4,IF(AND(C20&gt;2,D20=1,E20 = 2),Model_Matched_Parameters!$K$5,IF(AND(C20&gt;2, D20 = 2, E20 = 1),Model_Matched_Parameters!$K$4,Model_Matched_Parameters!$K$5)))))</f>
        <v>1</v>
      </c>
      <c r="J20" s="9">
        <f>IF(SUMIFS('Indirect Model Parameters'!$G$11:$G$16,'Indirect Model Parameters'!$D$11:$D$16,Pop_Init!E20,'Indirect Model Parameters'!$E$11:$E$16,Pop_Init!F20) = 0,'Indirect Model Parameters'!$G$17,'Indirect Model Parameters'!$G$18*SUMIFS('Indirect Model Parameters'!$G$11:$G$16,'Indirect Model Parameters'!$D$11:$D$16,Pop_Init!E20,'Indirect Model Parameters'!$E$11:$E$16,Pop_Init!F20))</f>
        <v>0.7</v>
      </c>
      <c r="L20" s="9">
        <f t="shared" si="2"/>
        <v>0.35</v>
      </c>
      <c r="M20" s="9">
        <f t="shared" si="3"/>
        <v>7.1138211382113764E-2</v>
      </c>
      <c r="N20" s="38">
        <f>M20*'Indirect Model Parameters'!$G$10</f>
        <v>7113.8211382113768</v>
      </c>
    </row>
    <row r="21" spans="1:14" ht="48">
      <c r="A21" s="1" t="str">
        <f t="shared" si="0"/>
        <v>Population in TB compartment  Uninfected, on IPT with  Multidrug-resistant (MDR-TB) in HIV compartment  HIV-negative and Female</v>
      </c>
      <c r="B21" s="8" t="s">
        <v>257</v>
      </c>
      <c r="C21" s="8">
        <v>2</v>
      </c>
      <c r="D21" s="9">
        <v>2</v>
      </c>
      <c r="E21" s="9">
        <v>1</v>
      </c>
      <c r="F21" s="9">
        <v>2</v>
      </c>
      <c r="G21" s="40" t="str">
        <f t="shared" si="1"/>
        <v>N,2,2,1,2</v>
      </c>
      <c r="H21" s="9">
        <f>IF(F21=1,'Indirect Model Parameters'!$G$19,'Indirect Model Parameters'!$G$20)</f>
        <v>0.5</v>
      </c>
      <c r="I21" s="9">
        <f>IF(AND(C21&lt;3,D21=1),1,IF(AND(C21&lt;3,D21=2),0,IF(AND(C21&gt;2,D21=1,E21 = 1),1-Model_Matched_Parameters!$K$4,IF(AND(C21&gt;2,D21=1,E21 = 2),Model_Matched_Parameters!$K$5,IF(AND(C21&gt;2, D21 = 2, E21 = 1),Model_Matched_Parameters!$K$4,Model_Matched_Parameters!$K$5)))))</f>
        <v>0</v>
      </c>
      <c r="J21" s="9">
        <f>IF(SUMIFS('Indirect Model Parameters'!$G$11:$G$16,'Indirect Model Parameters'!$D$11:$D$16,Pop_Init!E21,'Indirect Model Parameters'!$E$11:$E$16,Pop_Init!F21) = 0,'Indirect Model Parameters'!$G$17,'Indirect Model Parameters'!$G$18*SUMIFS('Indirect Model Parameters'!$G$11:$G$16,'Indirect Model Parameters'!$D$11:$D$16,Pop_Init!E21,'Indirect Model Parameters'!$E$11:$E$16,Pop_Init!F21))</f>
        <v>0.7</v>
      </c>
      <c r="L21" s="9">
        <f t="shared" si="2"/>
        <v>0</v>
      </c>
      <c r="M21" s="9">
        <f t="shared" si="3"/>
        <v>0</v>
      </c>
      <c r="N21" s="38">
        <f>M21*'Indirect Model Parameters'!$G$10</f>
        <v>0</v>
      </c>
    </row>
    <row r="22" spans="1:14" ht="48">
      <c r="A22" s="1" t="str">
        <f t="shared" si="0"/>
        <v>Population in TB compartment  Uninfected, on IPT with Drug-susceptible (DS) in HIV compartment  PLHIV not on ART, CD4&gt;200 and Male</v>
      </c>
      <c r="B22" s="8" t="s">
        <v>257</v>
      </c>
      <c r="C22" s="8">
        <v>2</v>
      </c>
      <c r="D22" s="9">
        <v>1</v>
      </c>
      <c r="E22" s="9">
        <v>2</v>
      </c>
      <c r="F22" s="9">
        <v>1</v>
      </c>
      <c r="G22" s="40" t="str">
        <f t="shared" si="1"/>
        <v>N,2,1,2,1</v>
      </c>
      <c r="H22" s="9">
        <f>IF(F22=1,'Indirect Model Parameters'!$G$19,'Indirect Model Parameters'!$G$20)</f>
        <v>0.5</v>
      </c>
      <c r="I22" s="9">
        <f>IF(AND(C22&lt;3,D22=1),1,IF(AND(C22&lt;3,D22=2),0,IF(AND(C22&gt;2,D22=1,E22 = 1),1-Model_Matched_Parameters!$K$4,IF(AND(C22&gt;2,D22=1,E22 = 2),Model_Matched_Parameters!$K$5,IF(AND(C22&gt;2, D22 = 2, E22 = 1),Model_Matched_Parameters!$K$4,Model_Matched_Parameters!$K$5)))))</f>
        <v>1</v>
      </c>
      <c r="J22" s="9">
        <f>IF(SUMIFS('Indirect Model Parameters'!$G$11:$G$16,'Indirect Model Parameters'!$D$11:$D$16,Pop_Init!E22,'Indirect Model Parameters'!$E$11:$E$16,Pop_Init!F22) = 0,'Indirect Model Parameters'!$G$17,'Indirect Model Parameters'!$G$18*SUMIFS('Indirect Model Parameters'!$G$11:$G$16,'Indirect Model Parameters'!$D$11:$D$16,Pop_Init!E22,'Indirect Model Parameters'!$E$11:$E$16,Pop_Init!F22))</f>
        <v>0.16500000000000001</v>
      </c>
      <c r="L22" s="9">
        <f t="shared" si="2"/>
        <v>8.2500000000000004E-2</v>
      </c>
      <c r="M22" s="9">
        <f t="shared" si="3"/>
        <v>1.676829268292682E-2</v>
      </c>
      <c r="N22" s="38">
        <f>M22*'Indirect Model Parameters'!$G$10</f>
        <v>1676.8292682926819</v>
      </c>
    </row>
    <row r="23" spans="1:14" ht="48">
      <c r="A23" s="1" t="str">
        <f t="shared" si="0"/>
        <v>Population in TB compartment  Uninfected, on IPT with  Multidrug-resistant (MDR-TB) in HIV compartment  PLHIV not on ART, CD4&gt;200 and Male</v>
      </c>
      <c r="B23" s="8" t="s">
        <v>257</v>
      </c>
      <c r="C23" s="8">
        <v>2</v>
      </c>
      <c r="D23" s="9">
        <v>2</v>
      </c>
      <c r="E23" s="9">
        <v>2</v>
      </c>
      <c r="F23" s="9">
        <v>1</v>
      </c>
      <c r="G23" s="40" t="str">
        <f t="shared" si="1"/>
        <v>N,2,2,2,1</v>
      </c>
      <c r="H23" s="9">
        <f>IF(F23=1,'Indirect Model Parameters'!$G$19,'Indirect Model Parameters'!$G$20)</f>
        <v>0.5</v>
      </c>
      <c r="I23" s="9">
        <f>IF(AND(C23&lt;3,D23=1),1,IF(AND(C23&lt;3,D23=2),0,IF(AND(C23&gt;2,D23=1,E23 = 1),1-Model_Matched_Parameters!$K$4,IF(AND(C23&gt;2,D23=1,E23 = 2),Model_Matched_Parameters!$K$5,IF(AND(C23&gt;2, D23 = 2, E23 = 1),Model_Matched_Parameters!$K$4,Model_Matched_Parameters!$K$5)))))</f>
        <v>0</v>
      </c>
      <c r="J23" s="9">
        <f>IF(SUMIFS('Indirect Model Parameters'!$G$11:$G$16,'Indirect Model Parameters'!$D$11:$D$16,Pop_Init!E23,'Indirect Model Parameters'!$E$11:$E$16,Pop_Init!F23) = 0,'Indirect Model Parameters'!$G$17,'Indirect Model Parameters'!$G$18*SUMIFS('Indirect Model Parameters'!$G$11:$G$16,'Indirect Model Parameters'!$D$11:$D$16,Pop_Init!E23,'Indirect Model Parameters'!$E$11:$E$16,Pop_Init!F23))</f>
        <v>0.16500000000000001</v>
      </c>
      <c r="L23" s="9">
        <f t="shared" si="2"/>
        <v>0</v>
      </c>
      <c r="M23" s="9">
        <f t="shared" si="3"/>
        <v>0</v>
      </c>
      <c r="N23" s="38">
        <f>M23*'Indirect Model Parameters'!$G$10</f>
        <v>0</v>
      </c>
    </row>
    <row r="24" spans="1:14" ht="48">
      <c r="A24" s="1" t="str">
        <f t="shared" si="0"/>
        <v>Population in TB compartment  Uninfected, on IPT with Drug-susceptible (DS) in HIV compartment  PLHIV not on ART, CD4&gt;200 and Female</v>
      </c>
      <c r="B24" s="8" t="s">
        <v>257</v>
      </c>
      <c r="C24" s="8">
        <v>2</v>
      </c>
      <c r="D24" s="9">
        <v>1</v>
      </c>
      <c r="E24" s="9">
        <v>2</v>
      </c>
      <c r="F24" s="9">
        <v>2</v>
      </c>
      <c r="G24" s="40" t="str">
        <f t="shared" si="1"/>
        <v>N,2,1,2,2</v>
      </c>
      <c r="H24" s="9">
        <f>IF(F24=1,'Indirect Model Parameters'!$G$19,'Indirect Model Parameters'!$G$20)</f>
        <v>0.5</v>
      </c>
      <c r="I24" s="9">
        <f>IF(AND(C24&lt;3,D24=1),1,IF(AND(C24&lt;3,D24=2),0,IF(AND(C24&gt;2,D24=1,E24 = 1),1-Model_Matched_Parameters!$K$4,IF(AND(C24&gt;2,D24=1,E24 = 2),Model_Matched_Parameters!$K$5,IF(AND(C24&gt;2, D24 = 2, E24 = 1),Model_Matched_Parameters!$K$4,Model_Matched_Parameters!$K$5)))))</f>
        <v>1</v>
      </c>
      <c r="J24" s="9">
        <f>IF(SUMIFS('Indirect Model Parameters'!$G$11:$G$16,'Indirect Model Parameters'!$D$11:$D$16,Pop_Init!E24,'Indirect Model Parameters'!$E$11:$E$16,Pop_Init!F24) = 0,'Indirect Model Parameters'!$G$17,'Indirect Model Parameters'!$G$18*SUMIFS('Indirect Model Parameters'!$G$11:$G$16,'Indirect Model Parameters'!$D$11:$D$16,Pop_Init!E24,'Indirect Model Parameters'!$E$11:$E$16,Pop_Init!F24))</f>
        <v>0.16500000000000001</v>
      </c>
      <c r="L24" s="9">
        <f t="shared" si="2"/>
        <v>8.2500000000000004E-2</v>
      </c>
      <c r="M24" s="9">
        <f t="shared" si="3"/>
        <v>1.676829268292682E-2</v>
      </c>
      <c r="N24" s="38">
        <f>M24*'Indirect Model Parameters'!$G$10</f>
        <v>1676.8292682926819</v>
      </c>
    </row>
    <row r="25" spans="1:14" ht="48">
      <c r="A25" s="1" t="str">
        <f t="shared" si="0"/>
        <v>Population in TB compartment  Uninfected, on IPT with  Multidrug-resistant (MDR-TB) in HIV compartment  PLHIV not on ART, CD4&gt;200 and Female</v>
      </c>
      <c r="B25" s="8" t="s">
        <v>257</v>
      </c>
      <c r="C25" s="8">
        <v>2</v>
      </c>
      <c r="D25" s="9">
        <v>2</v>
      </c>
      <c r="E25" s="9">
        <v>2</v>
      </c>
      <c r="F25" s="9">
        <v>2</v>
      </c>
      <c r="G25" s="40" t="str">
        <f t="shared" si="1"/>
        <v>N,2,2,2,2</v>
      </c>
      <c r="H25" s="9">
        <f>IF(F25=1,'Indirect Model Parameters'!$G$19,'Indirect Model Parameters'!$G$20)</f>
        <v>0.5</v>
      </c>
      <c r="I25" s="9">
        <f>IF(AND(C25&lt;3,D25=1),1,IF(AND(C25&lt;3,D25=2),0,IF(AND(C25&gt;2,D25=1,E25 = 1),1-Model_Matched_Parameters!$K$4,IF(AND(C25&gt;2,D25=1,E25 = 2),Model_Matched_Parameters!$K$5,IF(AND(C25&gt;2, D25 = 2, E25 = 1),Model_Matched_Parameters!$K$4,Model_Matched_Parameters!$K$5)))))</f>
        <v>0</v>
      </c>
      <c r="J25" s="9">
        <f>IF(SUMIFS('Indirect Model Parameters'!$G$11:$G$16,'Indirect Model Parameters'!$D$11:$D$16,Pop_Init!E25,'Indirect Model Parameters'!$E$11:$E$16,Pop_Init!F25) = 0,'Indirect Model Parameters'!$G$17,'Indirect Model Parameters'!$G$18*SUMIFS('Indirect Model Parameters'!$G$11:$G$16,'Indirect Model Parameters'!$D$11:$D$16,Pop_Init!E25,'Indirect Model Parameters'!$E$11:$E$16,Pop_Init!F25))</f>
        <v>0.16500000000000001</v>
      </c>
      <c r="L25" s="9">
        <f t="shared" si="2"/>
        <v>0</v>
      </c>
      <c r="M25" s="9">
        <f t="shared" si="3"/>
        <v>0</v>
      </c>
      <c r="N25" s="38">
        <f>M25*'Indirect Model Parameters'!$G$10</f>
        <v>0</v>
      </c>
    </row>
    <row r="26" spans="1:14" ht="48">
      <c r="A26" s="1" t="str">
        <f t="shared" si="0"/>
        <v>Population in TB compartment  Uninfected, on IPT with Drug-susceptible (DS) in HIV compartment  PLHIV not on ART, CD4≤200 and Male</v>
      </c>
      <c r="B26" s="8" t="s">
        <v>257</v>
      </c>
      <c r="C26" s="8">
        <v>2</v>
      </c>
      <c r="D26" s="9">
        <v>1</v>
      </c>
      <c r="E26" s="9">
        <v>3</v>
      </c>
      <c r="F26" s="9">
        <v>1</v>
      </c>
      <c r="G26" s="40" t="str">
        <f t="shared" si="1"/>
        <v>N,2,1,3,1</v>
      </c>
      <c r="H26" s="9">
        <f>IF(F26=1,'Indirect Model Parameters'!$G$19,'Indirect Model Parameters'!$G$20)</f>
        <v>0.5</v>
      </c>
      <c r="I26" s="9">
        <f>IF(AND(C26&lt;3,D26=1),1,IF(AND(C26&lt;3,D26=2),0,IF(AND(C26&gt;2,D26=1,E26 = 1),1-Model_Matched_Parameters!$K$4,IF(AND(C26&gt;2,D26=1,E26 = 2),Model_Matched_Parameters!$K$5,IF(AND(C26&gt;2, D26 = 2, E26 = 1),Model_Matched_Parameters!$K$4,Model_Matched_Parameters!$K$5)))))</f>
        <v>1</v>
      </c>
      <c r="J26" s="9">
        <f>IF(SUMIFS('Indirect Model Parameters'!$G$11:$G$16,'Indirect Model Parameters'!$D$11:$D$16,Pop_Init!E26,'Indirect Model Parameters'!$E$11:$E$16,Pop_Init!F26) = 0,'Indirect Model Parameters'!$G$17,'Indirect Model Parameters'!$G$18*SUMIFS('Indirect Model Parameters'!$G$11:$G$16,'Indirect Model Parameters'!$D$11:$D$16,Pop_Init!E26,'Indirect Model Parameters'!$E$11:$E$16,Pop_Init!F26))</f>
        <v>5.3999999999999979E-2</v>
      </c>
      <c r="L26" s="9">
        <f t="shared" si="2"/>
        <v>2.6999999999999989E-2</v>
      </c>
      <c r="M26" s="9">
        <f t="shared" si="3"/>
        <v>5.4878048780487741E-3</v>
      </c>
      <c r="N26" s="38">
        <f>M26*'Indirect Model Parameters'!$G$10</f>
        <v>548.78048780487745</v>
      </c>
    </row>
    <row r="27" spans="1:14" ht="48">
      <c r="A27" s="1" t="str">
        <f t="shared" si="0"/>
        <v>Population in TB compartment  Uninfected, on IPT with  Multidrug-resistant (MDR-TB) in HIV compartment  PLHIV not on ART, CD4≤200 and Male</v>
      </c>
      <c r="B27" s="8" t="s">
        <v>257</v>
      </c>
      <c r="C27" s="8">
        <v>2</v>
      </c>
      <c r="D27" s="9">
        <v>2</v>
      </c>
      <c r="E27" s="9">
        <v>3</v>
      </c>
      <c r="F27" s="9">
        <v>1</v>
      </c>
      <c r="G27" s="40" t="str">
        <f t="shared" si="1"/>
        <v>N,2,2,3,1</v>
      </c>
      <c r="H27" s="9">
        <f>IF(F27=1,'Indirect Model Parameters'!$G$19,'Indirect Model Parameters'!$G$20)</f>
        <v>0.5</v>
      </c>
      <c r="I27" s="9">
        <f>IF(AND(C27&lt;3,D27=1),1,IF(AND(C27&lt;3,D27=2),0,IF(AND(C27&gt;2,D27=1,E27 = 1),1-Model_Matched_Parameters!$K$4,IF(AND(C27&gt;2,D27=1,E27 = 2),Model_Matched_Parameters!$K$5,IF(AND(C27&gt;2, D27 = 2, E27 = 1),Model_Matched_Parameters!$K$4,Model_Matched_Parameters!$K$5)))))</f>
        <v>0</v>
      </c>
      <c r="J27" s="9">
        <f>IF(SUMIFS('Indirect Model Parameters'!$G$11:$G$16,'Indirect Model Parameters'!$D$11:$D$16,Pop_Init!E27,'Indirect Model Parameters'!$E$11:$E$16,Pop_Init!F27) = 0,'Indirect Model Parameters'!$G$17,'Indirect Model Parameters'!$G$18*SUMIFS('Indirect Model Parameters'!$G$11:$G$16,'Indirect Model Parameters'!$D$11:$D$16,Pop_Init!E27,'Indirect Model Parameters'!$E$11:$E$16,Pop_Init!F27))</f>
        <v>5.3999999999999979E-2</v>
      </c>
      <c r="L27" s="9">
        <f t="shared" si="2"/>
        <v>0</v>
      </c>
      <c r="M27" s="9">
        <f t="shared" si="3"/>
        <v>0</v>
      </c>
      <c r="N27" s="38">
        <f>M27*'Indirect Model Parameters'!$G$10</f>
        <v>0</v>
      </c>
    </row>
    <row r="28" spans="1:14" ht="48">
      <c r="A28" s="1" t="str">
        <f t="shared" si="0"/>
        <v>Population in TB compartment  Uninfected, on IPT with Drug-susceptible (DS) in HIV compartment  PLHIV not on ART, CD4≤200 and Female</v>
      </c>
      <c r="B28" s="8" t="s">
        <v>257</v>
      </c>
      <c r="C28" s="8">
        <v>2</v>
      </c>
      <c r="D28" s="9">
        <v>1</v>
      </c>
      <c r="E28" s="9">
        <v>3</v>
      </c>
      <c r="F28" s="9">
        <v>2</v>
      </c>
      <c r="G28" s="40" t="str">
        <f t="shared" si="1"/>
        <v>N,2,1,3,2</v>
      </c>
      <c r="H28" s="9">
        <f>IF(F28=1,'Indirect Model Parameters'!$G$19,'Indirect Model Parameters'!$G$20)</f>
        <v>0.5</v>
      </c>
      <c r="I28" s="9">
        <f>IF(AND(C28&lt;3,D28=1),1,IF(AND(C28&lt;3,D28=2),0,IF(AND(C28&gt;2,D28=1,E28 = 1),1-Model_Matched_Parameters!$K$4,IF(AND(C28&gt;2,D28=1,E28 = 2),Model_Matched_Parameters!$K$5,IF(AND(C28&gt;2, D28 = 2, E28 = 1),Model_Matched_Parameters!$K$4,Model_Matched_Parameters!$K$5)))))</f>
        <v>1</v>
      </c>
      <c r="J28" s="9">
        <f>IF(SUMIFS('Indirect Model Parameters'!$G$11:$G$16,'Indirect Model Parameters'!$D$11:$D$16,Pop_Init!E28,'Indirect Model Parameters'!$E$11:$E$16,Pop_Init!F28) = 0,'Indirect Model Parameters'!$G$17,'Indirect Model Parameters'!$G$18*SUMIFS('Indirect Model Parameters'!$G$11:$G$16,'Indirect Model Parameters'!$D$11:$D$16,Pop_Init!E28,'Indirect Model Parameters'!$E$11:$E$16,Pop_Init!F28))</f>
        <v>5.3999999999999979E-2</v>
      </c>
      <c r="L28" s="9">
        <f t="shared" si="2"/>
        <v>2.6999999999999989E-2</v>
      </c>
      <c r="M28" s="9">
        <f t="shared" si="3"/>
        <v>5.4878048780487741E-3</v>
      </c>
      <c r="N28" s="38">
        <f>M28*'Indirect Model Parameters'!$G$10</f>
        <v>548.78048780487745</v>
      </c>
    </row>
    <row r="29" spans="1:14" ht="48">
      <c r="A29" s="1" t="str">
        <f t="shared" si="0"/>
        <v>Population in TB compartment  Uninfected, on IPT with  Multidrug-resistant (MDR-TB) in HIV compartment  PLHIV not on ART, CD4≤200 and Female</v>
      </c>
      <c r="B29" s="8" t="s">
        <v>257</v>
      </c>
      <c r="C29" s="8">
        <v>2</v>
      </c>
      <c r="D29" s="9">
        <v>2</v>
      </c>
      <c r="E29" s="9">
        <v>3</v>
      </c>
      <c r="F29" s="9">
        <v>2</v>
      </c>
      <c r="G29" s="40" t="str">
        <f t="shared" si="1"/>
        <v>N,2,2,3,2</v>
      </c>
      <c r="H29" s="9">
        <f>IF(F29=1,'Indirect Model Parameters'!$G$19,'Indirect Model Parameters'!$G$20)</f>
        <v>0.5</v>
      </c>
      <c r="I29" s="9">
        <f>IF(AND(C29&lt;3,D29=1),1,IF(AND(C29&lt;3,D29=2),0,IF(AND(C29&gt;2,D29=1,E29 = 1),1-Model_Matched_Parameters!$K$4,IF(AND(C29&gt;2,D29=1,E29 = 2),Model_Matched_Parameters!$K$5,IF(AND(C29&gt;2, D29 = 2, E29 = 1),Model_Matched_Parameters!$K$4,Model_Matched_Parameters!$K$5)))))</f>
        <v>0</v>
      </c>
      <c r="J29" s="9">
        <f>IF(SUMIFS('Indirect Model Parameters'!$G$11:$G$16,'Indirect Model Parameters'!$D$11:$D$16,Pop_Init!E29,'Indirect Model Parameters'!$E$11:$E$16,Pop_Init!F29) = 0,'Indirect Model Parameters'!$G$17,'Indirect Model Parameters'!$G$18*SUMIFS('Indirect Model Parameters'!$G$11:$G$16,'Indirect Model Parameters'!$D$11:$D$16,Pop_Init!E29,'Indirect Model Parameters'!$E$11:$E$16,Pop_Init!F29))</f>
        <v>5.3999999999999979E-2</v>
      </c>
      <c r="L29" s="9">
        <f t="shared" si="2"/>
        <v>0</v>
      </c>
      <c r="M29" s="9">
        <f t="shared" si="3"/>
        <v>0</v>
      </c>
      <c r="N29" s="38">
        <f>M29*'Indirect Model Parameters'!$G$10</f>
        <v>0</v>
      </c>
    </row>
    <row r="30" spans="1:14" ht="32">
      <c r="A30" s="1" t="str">
        <f t="shared" si="0"/>
        <v>Population in TB compartment  Uninfected, on IPT with Drug-susceptible (DS) in HIV compartment  PLHIV and on ART and Male</v>
      </c>
      <c r="B30" s="8" t="s">
        <v>257</v>
      </c>
      <c r="C30" s="8">
        <v>2</v>
      </c>
      <c r="D30" s="9">
        <v>1</v>
      </c>
      <c r="E30" s="9">
        <v>4</v>
      </c>
      <c r="F30" s="9">
        <v>1</v>
      </c>
      <c r="G30" s="40" t="str">
        <f t="shared" si="1"/>
        <v>N,2,1,4,1</v>
      </c>
      <c r="H30" s="9">
        <f>IF(F30=1,'Indirect Model Parameters'!$G$19,'Indirect Model Parameters'!$G$20)</f>
        <v>0.5</v>
      </c>
      <c r="I30" s="9">
        <f>IF(AND(C30&lt;3,D30=1),1,IF(AND(C30&lt;3,D30=2),0,IF(AND(C30&gt;2,D30=1,E30 = 1),1-Model_Matched_Parameters!$K$4,IF(AND(C30&gt;2,D30=1,E30 = 2),Model_Matched_Parameters!$K$5,IF(AND(C30&gt;2, D30 = 2, E30 = 1),Model_Matched_Parameters!$K$4,Model_Matched_Parameters!$K$5)))))</f>
        <v>1</v>
      </c>
      <c r="J30" s="9">
        <f>IF(SUMIFS('Indirect Model Parameters'!$G$11:$G$16,'Indirect Model Parameters'!$D$11:$D$16,Pop_Init!E30,'Indirect Model Parameters'!$E$11:$E$16,Pop_Init!F30) = 0,'Indirect Model Parameters'!$G$17,'Indirect Model Parameters'!$G$18*SUMIFS('Indirect Model Parameters'!$G$11:$G$16,'Indirect Model Parameters'!$D$11:$D$16,Pop_Init!E30,'Indirect Model Parameters'!$E$11:$E$16,Pop_Init!F30))</f>
        <v>8.1000000000000003E-2</v>
      </c>
      <c r="L30" s="9">
        <f t="shared" si="2"/>
        <v>4.0500000000000001E-2</v>
      </c>
      <c r="M30" s="9">
        <f t="shared" si="3"/>
        <v>8.2317073170731659E-3</v>
      </c>
      <c r="N30" s="38">
        <f>M30*'Indirect Model Parameters'!$G$10</f>
        <v>823.17073170731658</v>
      </c>
    </row>
    <row r="31" spans="1:14" ht="48">
      <c r="A31" s="1" t="str">
        <f t="shared" si="0"/>
        <v>Population in TB compartment  Uninfected, on IPT with  Multidrug-resistant (MDR-TB) in HIV compartment  PLHIV and on ART and Male</v>
      </c>
      <c r="B31" s="8" t="s">
        <v>257</v>
      </c>
      <c r="C31" s="8">
        <v>2</v>
      </c>
      <c r="D31" s="9">
        <v>2</v>
      </c>
      <c r="E31" s="9">
        <v>4</v>
      </c>
      <c r="F31" s="9">
        <v>1</v>
      </c>
      <c r="G31" s="40" t="str">
        <f t="shared" si="1"/>
        <v>N,2,2,4,1</v>
      </c>
      <c r="H31" s="9">
        <f>IF(F31=1,'Indirect Model Parameters'!$G$19,'Indirect Model Parameters'!$G$20)</f>
        <v>0.5</v>
      </c>
      <c r="I31" s="9">
        <f>IF(AND(C31&lt;3,D31=1),1,IF(AND(C31&lt;3,D31=2),0,IF(AND(C31&gt;2,D31=1,E31 = 1),1-Model_Matched_Parameters!$K$4,IF(AND(C31&gt;2,D31=1,E31 = 2),Model_Matched_Parameters!$K$5,IF(AND(C31&gt;2, D31 = 2, E31 = 1),Model_Matched_Parameters!$K$4,Model_Matched_Parameters!$K$5)))))</f>
        <v>0</v>
      </c>
      <c r="J31" s="9">
        <f>IF(SUMIFS('Indirect Model Parameters'!$G$11:$G$16,'Indirect Model Parameters'!$D$11:$D$16,Pop_Init!E31,'Indirect Model Parameters'!$E$11:$E$16,Pop_Init!F31) = 0,'Indirect Model Parameters'!$G$17,'Indirect Model Parameters'!$G$18*SUMIFS('Indirect Model Parameters'!$G$11:$G$16,'Indirect Model Parameters'!$D$11:$D$16,Pop_Init!E31,'Indirect Model Parameters'!$E$11:$E$16,Pop_Init!F31))</f>
        <v>8.1000000000000003E-2</v>
      </c>
      <c r="L31" s="9">
        <f t="shared" si="2"/>
        <v>0</v>
      </c>
      <c r="M31" s="9">
        <f t="shared" si="3"/>
        <v>0</v>
      </c>
      <c r="N31" s="38">
        <f>M31*'Indirect Model Parameters'!$G$10</f>
        <v>0</v>
      </c>
    </row>
    <row r="32" spans="1:14" ht="48">
      <c r="A32" s="1" t="str">
        <f t="shared" si="0"/>
        <v>Population in TB compartment  Uninfected, on IPT with Drug-susceptible (DS) in HIV compartment  PLHIV and on ART and Female</v>
      </c>
      <c r="B32" s="8" t="s">
        <v>257</v>
      </c>
      <c r="C32" s="8">
        <v>2</v>
      </c>
      <c r="D32" s="9">
        <v>1</v>
      </c>
      <c r="E32" s="9">
        <v>4</v>
      </c>
      <c r="F32" s="9">
        <v>2</v>
      </c>
      <c r="G32" s="40" t="str">
        <f t="shared" si="1"/>
        <v>N,2,1,4,2</v>
      </c>
      <c r="H32" s="9">
        <f>IF(F32=1,'Indirect Model Parameters'!$G$19,'Indirect Model Parameters'!$G$20)</f>
        <v>0.5</v>
      </c>
      <c r="I32" s="9">
        <f>IF(AND(C32&lt;3,D32=1),1,IF(AND(C32&lt;3,D32=2),0,IF(AND(C32&gt;2,D32=1,E32 = 1),1-Model_Matched_Parameters!$K$4,IF(AND(C32&gt;2,D32=1,E32 = 2),Model_Matched_Parameters!$K$5,IF(AND(C32&gt;2, D32 = 2, E32 = 1),Model_Matched_Parameters!$K$4,Model_Matched_Parameters!$K$5)))))</f>
        <v>1</v>
      </c>
      <c r="J32" s="9">
        <f>IF(SUMIFS('Indirect Model Parameters'!$G$11:$G$16,'Indirect Model Parameters'!$D$11:$D$16,Pop_Init!E32,'Indirect Model Parameters'!$E$11:$E$16,Pop_Init!F32) = 0,'Indirect Model Parameters'!$G$17,'Indirect Model Parameters'!$G$18*SUMIFS('Indirect Model Parameters'!$G$11:$G$16,'Indirect Model Parameters'!$D$11:$D$16,Pop_Init!E32,'Indirect Model Parameters'!$E$11:$E$16,Pop_Init!F32))</f>
        <v>8.1000000000000003E-2</v>
      </c>
      <c r="L32" s="9">
        <f t="shared" si="2"/>
        <v>4.0500000000000001E-2</v>
      </c>
      <c r="M32" s="9">
        <f t="shared" si="3"/>
        <v>8.2317073170731659E-3</v>
      </c>
      <c r="N32" s="38">
        <f>M32*'Indirect Model Parameters'!$G$10</f>
        <v>823.17073170731658</v>
      </c>
    </row>
    <row r="33" spans="1:14" ht="48">
      <c r="A33" s="1" t="str">
        <f t="shared" si="0"/>
        <v>Population in TB compartment  Uninfected, on IPT with  Multidrug-resistant (MDR-TB) in HIV compartment  PLHIV and on ART and Female</v>
      </c>
      <c r="B33" s="8" t="s">
        <v>257</v>
      </c>
      <c r="C33" s="8">
        <v>2</v>
      </c>
      <c r="D33" s="9">
        <v>2</v>
      </c>
      <c r="E33" s="9">
        <v>4</v>
      </c>
      <c r="F33" s="9">
        <v>2</v>
      </c>
      <c r="G33" s="40" t="str">
        <f t="shared" si="1"/>
        <v>N,2,2,4,2</v>
      </c>
      <c r="H33" s="9">
        <f>IF(F33=1,'Indirect Model Parameters'!$G$19,'Indirect Model Parameters'!$G$20)</f>
        <v>0.5</v>
      </c>
      <c r="I33" s="9">
        <f>IF(AND(C33&lt;3,D33=1),1,IF(AND(C33&lt;3,D33=2),0,IF(AND(C33&gt;2,D33=1,E33 = 1),1-Model_Matched_Parameters!$K$4,IF(AND(C33&gt;2,D33=1,E33 = 2),Model_Matched_Parameters!$K$5,IF(AND(C33&gt;2, D33 = 2, E33 = 1),Model_Matched_Parameters!$K$4,Model_Matched_Parameters!$K$5)))))</f>
        <v>0</v>
      </c>
      <c r="J33" s="9">
        <f>IF(SUMIFS('Indirect Model Parameters'!$G$11:$G$16,'Indirect Model Parameters'!$D$11:$D$16,Pop_Init!E33,'Indirect Model Parameters'!$E$11:$E$16,Pop_Init!F33) = 0,'Indirect Model Parameters'!$G$17,'Indirect Model Parameters'!$G$18*SUMIFS('Indirect Model Parameters'!$G$11:$G$16,'Indirect Model Parameters'!$D$11:$D$16,Pop_Init!E33,'Indirect Model Parameters'!$E$11:$E$16,Pop_Init!F33))</f>
        <v>8.1000000000000003E-2</v>
      </c>
      <c r="L33" s="9">
        <f t="shared" si="2"/>
        <v>0</v>
      </c>
      <c r="M33" s="9">
        <f t="shared" si="3"/>
        <v>0</v>
      </c>
      <c r="N33" s="38">
        <f>M33*'Indirect Model Parameters'!$G$10</f>
        <v>0</v>
      </c>
    </row>
    <row r="34" spans="1:14" ht="48">
      <c r="A34" s="1" t="str">
        <f t="shared" ref="A34:A65" si="4">CONCATENATE("Population in TB compartment ",VLOOKUP(C34,TB_SET,2), " with ", VLOOKUP(D34,R_SET,2), " in HIV compartment ", VLOOKUP(E34,HIV_SET,2), " and ", VLOOKUP(F34, G_SET,2))</f>
        <v>Population in TB compartment  LTBI, infected recently (at risk for rapid progression) with Drug-susceptible (DS) in HIV compartment  HIV-negative and Male</v>
      </c>
      <c r="B34" s="8" t="s">
        <v>257</v>
      </c>
      <c r="C34" s="8">
        <v>3</v>
      </c>
      <c r="D34" s="9">
        <v>1</v>
      </c>
      <c r="E34" s="9">
        <v>1</v>
      </c>
      <c r="F34" s="9">
        <v>1</v>
      </c>
      <c r="G34" s="40" t="str">
        <f t="shared" ref="G34:G65" si="5">CONCATENATE( B34, IF(B34&lt;&gt;"",",",""), C34, IF(C34&lt;&gt;"",",",""),  D34, IF(D34&lt;&gt;"",",",""),  E34, IF(F34&lt;&gt;"",",",""), F34,)</f>
        <v>N,3,1,1,1</v>
      </c>
      <c r="H34" s="9">
        <f>IF(F34=1,'Indirect Model Parameters'!$G$21,'Indirect Model Parameters'!$G$22)</f>
        <v>0.49</v>
      </c>
      <c r="I34" s="9">
        <f>IF(AND(C34&lt;3,D34=1),1,IF(AND(C34&lt;3,D34=2),0,IF(AND(C34&gt;2,D34=1,E34 = 1),1-Model_Matched_Parameters!$K$4,IF(AND(C34&gt;2,D34=1,E34 = 2),Model_Matched_Parameters!$K$5,IF(AND(C34&gt;2, D34 = 2, E34 = 1),Model_Matched_Parameters!$K$4,Model_Matched_Parameters!$K$5)))))</f>
        <v>0.95</v>
      </c>
      <c r="J34" s="9">
        <f>IF(SUMIFS('Indirect Model Parameters'!$G$11:$G$16,'Indirect Model Parameters'!$D$11:$D$16,Pop_Init!E34,'Indirect Model Parameters'!$E$11:$E$16,Pop_Init!F34) = 0,'Indirect Model Parameters'!$G$17,'Indirect Model Parameters'!$G$18*SUMIFS('Indirect Model Parameters'!$G$11:$G$16,'Indirect Model Parameters'!$D$11:$D$16,Pop_Init!E34,'Indirect Model Parameters'!$E$11:$E$16,Pop_Init!F34))</f>
        <v>0.7</v>
      </c>
      <c r="L34" s="9">
        <f t="shared" si="2"/>
        <v>0.32584999999999997</v>
      </c>
      <c r="M34" s="9">
        <f t="shared" si="3"/>
        <v>6.622967479674792E-2</v>
      </c>
      <c r="N34" s="38">
        <f>M34*'Indirect Model Parameters'!$G$10</f>
        <v>6622.9674796747922</v>
      </c>
    </row>
    <row r="35" spans="1:14" ht="48">
      <c r="A35" s="1" t="str">
        <f t="shared" si="4"/>
        <v>Population in TB compartment  LTBI, infected recently (at risk for rapid progression) with  Multidrug-resistant (MDR-TB) in HIV compartment  HIV-negative and Male</v>
      </c>
      <c r="B35" s="8" t="s">
        <v>257</v>
      </c>
      <c r="C35" s="8">
        <v>3</v>
      </c>
      <c r="D35" s="9">
        <v>2</v>
      </c>
      <c r="E35" s="9">
        <v>1</v>
      </c>
      <c r="F35" s="9">
        <v>1</v>
      </c>
      <c r="G35" s="40" t="str">
        <f t="shared" si="5"/>
        <v>N,3,2,1,1</v>
      </c>
      <c r="H35" s="9">
        <f>IF(F35=1,'Indirect Model Parameters'!$G$21,'Indirect Model Parameters'!$G$22)</f>
        <v>0.49</v>
      </c>
      <c r="I35" s="9">
        <f>IF(AND(C35&lt;3,D35=1),1,IF(AND(C35&lt;3,D35=2),0,IF(AND(C35&gt;2,D35=1,E35 = 1),1-Model_Matched_Parameters!$K$4,IF(AND(C35&gt;2,D35=1,E35 = 2),Model_Matched_Parameters!$K$5,IF(AND(C35&gt;2, D35 = 2, E35 = 1),Model_Matched_Parameters!$K$4,Model_Matched_Parameters!$K$5)))))</f>
        <v>0.05</v>
      </c>
      <c r="J35" s="9">
        <f>IF(SUMIFS('Indirect Model Parameters'!$G$11:$G$16,'Indirect Model Parameters'!$D$11:$D$16,Pop_Init!E35,'Indirect Model Parameters'!$E$11:$E$16,Pop_Init!F35) = 0,'Indirect Model Parameters'!$G$17,'Indirect Model Parameters'!$G$18*SUMIFS('Indirect Model Parameters'!$G$11:$G$16,'Indirect Model Parameters'!$D$11:$D$16,Pop_Init!E35,'Indirect Model Parameters'!$E$11:$E$16,Pop_Init!F35))</f>
        <v>0.7</v>
      </c>
      <c r="L35" s="9">
        <f t="shared" si="2"/>
        <v>1.7149999999999999E-2</v>
      </c>
      <c r="M35" s="9">
        <f t="shared" si="3"/>
        <v>3.4857723577235745E-3</v>
      </c>
      <c r="N35" s="38">
        <f>M35*'Indirect Model Parameters'!$G$10</f>
        <v>348.57723577235748</v>
      </c>
    </row>
    <row r="36" spans="1:14" ht="48">
      <c r="A36" s="1" t="str">
        <f t="shared" si="4"/>
        <v>Population in TB compartment  LTBI, infected recently (at risk for rapid progression) with Drug-susceptible (DS) in HIV compartment  HIV-negative and Female</v>
      </c>
      <c r="B36" s="8" t="s">
        <v>257</v>
      </c>
      <c r="C36" s="8">
        <v>3</v>
      </c>
      <c r="D36" s="9">
        <v>1</v>
      </c>
      <c r="E36" s="9">
        <v>1</v>
      </c>
      <c r="F36" s="9">
        <v>2</v>
      </c>
      <c r="G36" s="40" t="str">
        <f t="shared" si="5"/>
        <v>N,3,1,1,2</v>
      </c>
      <c r="H36" s="9">
        <f>IF(F36=1,'Indirect Model Parameters'!$G$21,'Indirect Model Parameters'!$G$22)</f>
        <v>0.49</v>
      </c>
      <c r="I36" s="9">
        <f>IF(AND(C36&lt;3,D36=1),1,IF(AND(C36&lt;3,D36=2),0,IF(AND(C36&gt;2,D36=1,E36 = 1),1-Model_Matched_Parameters!$K$4,IF(AND(C36&gt;2,D36=1,E36 = 2),Model_Matched_Parameters!$K$5,IF(AND(C36&gt;2, D36 = 2, E36 = 1),Model_Matched_Parameters!$K$4,Model_Matched_Parameters!$K$5)))))</f>
        <v>0.95</v>
      </c>
      <c r="J36" s="9">
        <f>IF(SUMIFS('Indirect Model Parameters'!$G$11:$G$16,'Indirect Model Parameters'!$D$11:$D$16,Pop_Init!E36,'Indirect Model Parameters'!$E$11:$E$16,Pop_Init!F36) = 0,'Indirect Model Parameters'!$G$17,'Indirect Model Parameters'!$G$18*SUMIFS('Indirect Model Parameters'!$G$11:$G$16,'Indirect Model Parameters'!$D$11:$D$16,Pop_Init!E36,'Indirect Model Parameters'!$E$11:$E$16,Pop_Init!F36))</f>
        <v>0.7</v>
      </c>
      <c r="L36" s="9">
        <f t="shared" si="2"/>
        <v>0.32584999999999997</v>
      </c>
      <c r="M36" s="9">
        <f t="shared" si="3"/>
        <v>6.622967479674792E-2</v>
      </c>
      <c r="N36" s="38">
        <f>M36*'Indirect Model Parameters'!$G$10</f>
        <v>6622.9674796747922</v>
      </c>
    </row>
    <row r="37" spans="1:14" ht="48">
      <c r="A37" s="1" t="str">
        <f t="shared" si="4"/>
        <v>Population in TB compartment  LTBI, infected recently (at risk for rapid progression) with  Multidrug-resistant (MDR-TB) in HIV compartment  HIV-negative and Female</v>
      </c>
      <c r="B37" s="8" t="s">
        <v>257</v>
      </c>
      <c r="C37" s="8">
        <v>3</v>
      </c>
      <c r="D37" s="9">
        <v>2</v>
      </c>
      <c r="E37" s="9">
        <v>1</v>
      </c>
      <c r="F37" s="9">
        <v>2</v>
      </c>
      <c r="G37" s="40" t="str">
        <f t="shared" si="5"/>
        <v>N,3,2,1,2</v>
      </c>
      <c r="H37" s="9">
        <f>IF(F37=1,'Indirect Model Parameters'!$G$21,'Indirect Model Parameters'!$G$22)</f>
        <v>0.49</v>
      </c>
      <c r="I37" s="9">
        <f>IF(AND(C37&lt;3,D37=1),1,IF(AND(C37&lt;3,D37=2),0,IF(AND(C37&gt;2,D37=1,E37 = 1),1-Model_Matched_Parameters!$K$4,IF(AND(C37&gt;2,D37=1,E37 = 2),Model_Matched_Parameters!$K$5,IF(AND(C37&gt;2, D37 = 2, E37 = 1),Model_Matched_Parameters!$K$4,Model_Matched_Parameters!$K$5)))))</f>
        <v>0.05</v>
      </c>
      <c r="J37" s="9">
        <f>IF(SUMIFS('Indirect Model Parameters'!$G$11:$G$16,'Indirect Model Parameters'!$D$11:$D$16,Pop_Init!E37,'Indirect Model Parameters'!$E$11:$E$16,Pop_Init!F37) = 0,'Indirect Model Parameters'!$G$17,'Indirect Model Parameters'!$G$18*SUMIFS('Indirect Model Parameters'!$G$11:$G$16,'Indirect Model Parameters'!$D$11:$D$16,Pop_Init!E37,'Indirect Model Parameters'!$E$11:$E$16,Pop_Init!F37))</f>
        <v>0.7</v>
      </c>
      <c r="L37" s="9">
        <f t="shared" si="2"/>
        <v>1.7149999999999999E-2</v>
      </c>
      <c r="M37" s="9">
        <f t="shared" si="3"/>
        <v>3.4857723577235745E-3</v>
      </c>
      <c r="N37" s="38">
        <f>M37*'Indirect Model Parameters'!$G$10</f>
        <v>348.57723577235748</v>
      </c>
    </row>
    <row r="38" spans="1:14" ht="48">
      <c r="A38" s="1" t="str">
        <f t="shared" si="4"/>
        <v>Population in TB compartment  LTBI, infected recently (at risk for rapid progression) with Drug-susceptible (DS) in HIV compartment  PLHIV not on ART, CD4&gt;200 and Male</v>
      </c>
      <c r="B38" s="8" t="s">
        <v>257</v>
      </c>
      <c r="C38" s="8">
        <v>3</v>
      </c>
      <c r="D38" s="9">
        <v>1</v>
      </c>
      <c r="E38" s="9">
        <v>2</v>
      </c>
      <c r="F38" s="9">
        <v>1</v>
      </c>
      <c r="G38" s="40" t="str">
        <f t="shared" si="5"/>
        <v>N,3,1,2,1</v>
      </c>
      <c r="H38" s="9">
        <f>IF(F38=1,'Indirect Model Parameters'!$G$23,'Indirect Model Parameters'!$G$24)</f>
        <v>0.5</v>
      </c>
      <c r="I38" s="9">
        <f>IF(AND(C38&lt;3,D38=1),1,IF(AND(C38&lt;3,D38=2),0,IF(AND(C38&gt;2,D38=1,E38 = 1),1-Model_Matched_Parameters!$K$4,IF(AND(C38&gt;2,D38=1,E38 = 2),Model_Matched_Parameters!$K$5,IF(AND(C38&gt;2, D38 = 2, E38 = 1),Model_Matched_Parameters!$K$4,Model_Matched_Parameters!$K$5)))))</f>
        <v>0.05</v>
      </c>
      <c r="J38" s="9">
        <f>IF(SUMIFS('Indirect Model Parameters'!$G$11:$G$16,'Indirect Model Parameters'!$D$11:$D$16,Pop_Init!E38,'Indirect Model Parameters'!$E$11:$E$16,Pop_Init!F38) = 0,'Indirect Model Parameters'!$G$17,'Indirect Model Parameters'!$G$18*SUMIFS('Indirect Model Parameters'!$G$11:$G$16,'Indirect Model Parameters'!$D$11:$D$16,Pop_Init!E38,'Indirect Model Parameters'!$E$11:$E$16,Pop_Init!F38))</f>
        <v>0.16500000000000001</v>
      </c>
      <c r="L38" s="9">
        <f t="shared" si="2"/>
        <v>4.1250000000000002E-3</v>
      </c>
      <c r="M38" s="9">
        <f t="shared" si="3"/>
        <v>8.3841463414634091E-4</v>
      </c>
      <c r="N38" s="38">
        <f>M38*'Indirect Model Parameters'!$G$10</f>
        <v>83.841463414634092</v>
      </c>
    </row>
    <row r="39" spans="1:14" ht="48">
      <c r="A39" s="1" t="str">
        <f t="shared" si="4"/>
        <v>Population in TB compartment  LTBI, infected recently (at risk for rapid progression) with  Multidrug-resistant (MDR-TB) in HIV compartment  PLHIV not on ART, CD4&gt;200 and Male</v>
      </c>
      <c r="B39" s="8" t="s">
        <v>257</v>
      </c>
      <c r="C39" s="8">
        <v>3</v>
      </c>
      <c r="D39" s="9">
        <v>2</v>
      </c>
      <c r="E39" s="9">
        <v>2</v>
      </c>
      <c r="F39" s="9">
        <v>1</v>
      </c>
      <c r="G39" s="40" t="str">
        <f t="shared" si="5"/>
        <v>N,3,2,2,1</v>
      </c>
      <c r="H39" s="9">
        <f>IF(F39=1,'Indirect Model Parameters'!$G$23,'Indirect Model Parameters'!$G$24)</f>
        <v>0.5</v>
      </c>
      <c r="I39" s="9">
        <f>IF(AND(C39&lt;3,D39=1),1,IF(AND(C39&lt;3,D39=2),0,IF(AND(C39&gt;2,D39=1,E39 = 1),1-Model_Matched_Parameters!$K$4,IF(AND(C39&gt;2,D39=1,E39 = 2),Model_Matched_Parameters!$K$5,IF(AND(C39&gt;2, D39 = 2, E39 = 1),Model_Matched_Parameters!$K$4,Model_Matched_Parameters!$K$5)))))</f>
        <v>0.05</v>
      </c>
      <c r="J39" s="9">
        <f>IF(SUMIFS('Indirect Model Parameters'!$G$11:$G$16,'Indirect Model Parameters'!$D$11:$D$16,Pop_Init!E39,'Indirect Model Parameters'!$E$11:$E$16,Pop_Init!F39) = 0,'Indirect Model Parameters'!$G$17,'Indirect Model Parameters'!$G$18*SUMIFS('Indirect Model Parameters'!$G$11:$G$16,'Indirect Model Parameters'!$D$11:$D$16,Pop_Init!E39,'Indirect Model Parameters'!$E$11:$E$16,Pop_Init!F39))</f>
        <v>0.16500000000000001</v>
      </c>
      <c r="L39" s="9">
        <f t="shared" si="2"/>
        <v>4.1250000000000002E-3</v>
      </c>
      <c r="M39" s="9">
        <f t="shared" si="3"/>
        <v>8.3841463414634091E-4</v>
      </c>
      <c r="N39" s="38">
        <f>M39*'Indirect Model Parameters'!$G$10</f>
        <v>83.841463414634092</v>
      </c>
    </row>
    <row r="40" spans="1:14" ht="48">
      <c r="A40" s="1" t="str">
        <f t="shared" si="4"/>
        <v>Population in TB compartment  LTBI, infected recently (at risk for rapid progression) with Drug-susceptible (DS) in HIV compartment  PLHIV not on ART, CD4&gt;200 and Female</v>
      </c>
      <c r="B40" s="8" t="s">
        <v>257</v>
      </c>
      <c r="C40" s="8">
        <v>3</v>
      </c>
      <c r="D40" s="9">
        <v>1</v>
      </c>
      <c r="E40" s="9">
        <v>2</v>
      </c>
      <c r="F40" s="9">
        <v>2</v>
      </c>
      <c r="G40" s="40" t="str">
        <f t="shared" si="5"/>
        <v>N,3,1,2,2</v>
      </c>
      <c r="H40" s="9">
        <f>IF(F40=1,'Indirect Model Parameters'!$G$23,'Indirect Model Parameters'!$G$24)</f>
        <v>0.5</v>
      </c>
      <c r="I40" s="9">
        <f>IF(AND(C40&lt;3,D40=1),1,IF(AND(C40&lt;3,D40=2),0,IF(AND(C40&gt;2,D40=1,E40 = 1),1-Model_Matched_Parameters!$K$4,IF(AND(C40&gt;2,D40=1,E40 = 2),Model_Matched_Parameters!$K$5,IF(AND(C40&gt;2, D40 = 2, E40 = 1),Model_Matched_Parameters!$K$4,Model_Matched_Parameters!$K$5)))))</f>
        <v>0.05</v>
      </c>
      <c r="J40" s="9">
        <f>IF(SUMIFS('Indirect Model Parameters'!$G$11:$G$16,'Indirect Model Parameters'!$D$11:$D$16,Pop_Init!E40,'Indirect Model Parameters'!$E$11:$E$16,Pop_Init!F40) = 0,'Indirect Model Parameters'!$G$17,'Indirect Model Parameters'!$G$18*SUMIFS('Indirect Model Parameters'!$G$11:$G$16,'Indirect Model Parameters'!$D$11:$D$16,Pop_Init!E40,'Indirect Model Parameters'!$E$11:$E$16,Pop_Init!F40))</f>
        <v>0.16500000000000001</v>
      </c>
      <c r="L40" s="9">
        <f t="shared" si="2"/>
        <v>4.1250000000000002E-3</v>
      </c>
      <c r="M40" s="9">
        <f t="shared" si="3"/>
        <v>8.3841463414634091E-4</v>
      </c>
      <c r="N40" s="38">
        <f>M40*'Indirect Model Parameters'!$G$10</f>
        <v>83.841463414634092</v>
      </c>
    </row>
    <row r="41" spans="1:14" ht="48">
      <c r="A41" s="1" t="str">
        <f t="shared" si="4"/>
        <v>Population in TB compartment  LTBI, infected recently (at risk for rapid progression) with  Multidrug-resistant (MDR-TB) in HIV compartment  PLHIV not on ART, CD4&gt;200 and Female</v>
      </c>
      <c r="B41" s="8" t="s">
        <v>257</v>
      </c>
      <c r="C41" s="8">
        <v>3</v>
      </c>
      <c r="D41" s="9">
        <v>2</v>
      </c>
      <c r="E41" s="9">
        <v>2</v>
      </c>
      <c r="F41" s="9">
        <v>2</v>
      </c>
      <c r="G41" s="40" t="str">
        <f t="shared" si="5"/>
        <v>N,3,2,2,2</v>
      </c>
      <c r="H41" s="9">
        <f>IF(F41=1,'Indirect Model Parameters'!$G$23,'Indirect Model Parameters'!$G$24)</f>
        <v>0.5</v>
      </c>
      <c r="I41" s="9">
        <f>IF(AND(C41&lt;3,D41=1),1,IF(AND(C41&lt;3,D41=2),0,IF(AND(C41&gt;2,D41=1,E41 = 1),1-Model_Matched_Parameters!$K$4,IF(AND(C41&gt;2,D41=1,E41 = 2),Model_Matched_Parameters!$K$5,IF(AND(C41&gt;2, D41 = 2, E41 = 1),Model_Matched_Parameters!$K$4,Model_Matched_Parameters!$K$5)))))</f>
        <v>0.05</v>
      </c>
      <c r="J41" s="9">
        <f>IF(SUMIFS('Indirect Model Parameters'!$G$11:$G$16,'Indirect Model Parameters'!$D$11:$D$16,Pop_Init!E41,'Indirect Model Parameters'!$E$11:$E$16,Pop_Init!F41) = 0,'Indirect Model Parameters'!$G$17,'Indirect Model Parameters'!$G$18*SUMIFS('Indirect Model Parameters'!$G$11:$G$16,'Indirect Model Parameters'!$D$11:$D$16,Pop_Init!E41,'Indirect Model Parameters'!$E$11:$E$16,Pop_Init!F41))</f>
        <v>0.16500000000000001</v>
      </c>
      <c r="L41" s="9">
        <f t="shared" si="2"/>
        <v>4.1250000000000002E-3</v>
      </c>
      <c r="M41" s="9">
        <f t="shared" si="3"/>
        <v>8.3841463414634091E-4</v>
      </c>
      <c r="N41" s="38">
        <f>M41*'Indirect Model Parameters'!$G$10</f>
        <v>83.841463414634092</v>
      </c>
    </row>
    <row r="42" spans="1:14" ht="48">
      <c r="A42" s="1" t="str">
        <f t="shared" si="4"/>
        <v>Population in TB compartment  LTBI, infected recently (at risk for rapid progression) with Drug-susceptible (DS) in HIV compartment  PLHIV not on ART, CD4≤200 and Male</v>
      </c>
      <c r="B42" s="8" t="s">
        <v>257</v>
      </c>
      <c r="C42" s="8">
        <v>3</v>
      </c>
      <c r="D42" s="9">
        <v>1</v>
      </c>
      <c r="E42" s="9">
        <v>3</v>
      </c>
      <c r="F42" s="9">
        <v>1</v>
      </c>
      <c r="G42" s="40" t="str">
        <f t="shared" si="5"/>
        <v>N,3,1,3,1</v>
      </c>
      <c r="H42" s="9">
        <f>IF(F42=1,'Indirect Model Parameters'!$G$23,'Indirect Model Parameters'!$G$24)</f>
        <v>0.5</v>
      </c>
      <c r="I42" s="9">
        <f>IF(AND(C42&lt;3,D42=1),1,IF(AND(C42&lt;3,D42=2),0,IF(AND(C42&gt;2,D42=1,E42 = 1),1-Model_Matched_Parameters!$K$4,IF(AND(C42&gt;2,D42=1,E42 = 2),Model_Matched_Parameters!$K$5,IF(AND(C42&gt;2, D42 = 2, E42 = 1),Model_Matched_Parameters!$K$4,Model_Matched_Parameters!$K$5)))))</f>
        <v>0.05</v>
      </c>
      <c r="J42" s="9">
        <f>IF(SUMIFS('Indirect Model Parameters'!$G$11:$G$16,'Indirect Model Parameters'!$D$11:$D$16,Pop_Init!E42,'Indirect Model Parameters'!$E$11:$E$16,Pop_Init!F42) = 0,'Indirect Model Parameters'!$G$17,'Indirect Model Parameters'!$G$18*SUMIFS('Indirect Model Parameters'!$G$11:$G$16,'Indirect Model Parameters'!$D$11:$D$16,Pop_Init!E42,'Indirect Model Parameters'!$E$11:$E$16,Pop_Init!F42))</f>
        <v>5.3999999999999979E-2</v>
      </c>
      <c r="L42" s="9">
        <f t="shared" si="2"/>
        <v>1.3499999999999996E-3</v>
      </c>
      <c r="M42" s="9">
        <f t="shared" si="3"/>
        <v>2.7439024390243878E-4</v>
      </c>
      <c r="N42" s="38">
        <f>M42*'Indirect Model Parameters'!$G$10</f>
        <v>27.43902439024388</v>
      </c>
    </row>
    <row r="43" spans="1:14" ht="48">
      <c r="A43" s="1" t="str">
        <f t="shared" si="4"/>
        <v>Population in TB compartment  LTBI, infected recently (at risk for rapid progression) with  Multidrug-resistant (MDR-TB) in HIV compartment  PLHIV not on ART, CD4≤200 and Male</v>
      </c>
      <c r="B43" s="8" t="s">
        <v>257</v>
      </c>
      <c r="C43" s="8">
        <v>3</v>
      </c>
      <c r="D43" s="9">
        <v>2</v>
      </c>
      <c r="E43" s="9">
        <v>3</v>
      </c>
      <c r="F43" s="9">
        <v>1</v>
      </c>
      <c r="G43" s="40" t="str">
        <f t="shared" si="5"/>
        <v>N,3,2,3,1</v>
      </c>
      <c r="H43" s="9">
        <f>IF(F43=1,'Indirect Model Parameters'!$G$23,'Indirect Model Parameters'!$G$24)</f>
        <v>0.5</v>
      </c>
      <c r="I43" s="9">
        <f>IF(AND(C43&lt;3,D43=1),1,IF(AND(C43&lt;3,D43=2),0,IF(AND(C43&gt;2,D43=1,E43 = 1),1-Model_Matched_Parameters!$K$4,IF(AND(C43&gt;2,D43=1,E43 = 2),Model_Matched_Parameters!$K$5,IF(AND(C43&gt;2, D43 = 2, E43 = 1),Model_Matched_Parameters!$K$4,Model_Matched_Parameters!$K$5)))))</f>
        <v>0.05</v>
      </c>
      <c r="J43" s="9">
        <f>IF(SUMIFS('Indirect Model Parameters'!$G$11:$G$16,'Indirect Model Parameters'!$D$11:$D$16,Pop_Init!E43,'Indirect Model Parameters'!$E$11:$E$16,Pop_Init!F43) = 0,'Indirect Model Parameters'!$G$17,'Indirect Model Parameters'!$G$18*SUMIFS('Indirect Model Parameters'!$G$11:$G$16,'Indirect Model Parameters'!$D$11:$D$16,Pop_Init!E43,'Indirect Model Parameters'!$E$11:$E$16,Pop_Init!F43))</f>
        <v>5.3999999999999979E-2</v>
      </c>
      <c r="L43" s="9">
        <f t="shared" si="2"/>
        <v>1.3499999999999996E-3</v>
      </c>
      <c r="M43" s="9">
        <f t="shared" si="3"/>
        <v>2.7439024390243878E-4</v>
      </c>
      <c r="N43" s="38">
        <f>M43*'Indirect Model Parameters'!$G$10</f>
        <v>27.43902439024388</v>
      </c>
    </row>
    <row r="44" spans="1:14" ht="48">
      <c r="A44" s="1" t="str">
        <f t="shared" si="4"/>
        <v>Population in TB compartment  LTBI, infected recently (at risk for rapid progression) with Drug-susceptible (DS) in HIV compartment  PLHIV not on ART, CD4≤200 and Female</v>
      </c>
      <c r="B44" s="8" t="s">
        <v>257</v>
      </c>
      <c r="C44" s="8">
        <v>3</v>
      </c>
      <c r="D44" s="9">
        <v>1</v>
      </c>
      <c r="E44" s="9">
        <v>3</v>
      </c>
      <c r="F44" s="9">
        <v>2</v>
      </c>
      <c r="G44" s="40" t="str">
        <f t="shared" si="5"/>
        <v>N,3,1,3,2</v>
      </c>
      <c r="H44" s="9">
        <f>IF(F44=1,'Indirect Model Parameters'!$G$23,'Indirect Model Parameters'!$G$24)</f>
        <v>0.5</v>
      </c>
      <c r="I44" s="9">
        <f>IF(AND(C44&lt;3,D44=1),1,IF(AND(C44&lt;3,D44=2),0,IF(AND(C44&gt;2,D44=1,E44 = 1),1-Model_Matched_Parameters!$K$4,IF(AND(C44&gt;2,D44=1,E44 = 2),Model_Matched_Parameters!$K$5,IF(AND(C44&gt;2, D44 = 2, E44 = 1),Model_Matched_Parameters!$K$4,Model_Matched_Parameters!$K$5)))))</f>
        <v>0.05</v>
      </c>
      <c r="J44" s="9">
        <f>IF(SUMIFS('Indirect Model Parameters'!$G$11:$G$16,'Indirect Model Parameters'!$D$11:$D$16,Pop_Init!E44,'Indirect Model Parameters'!$E$11:$E$16,Pop_Init!F44) = 0,'Indirect Model Parameters'!$G$17,'Indirect Model Parameters'!$G$18*SUMIFS('Indirect Model Parameters'!$G$11:$G$16,'Indirect Model Parameters'!$D$11:$D$16,Pop_Init!E44,'Indirect Model Parameters'!$E$11:$E$16,Pop_Init!F44))</f>
        <v>5.3999999999999979E-2</v>
      </c>
      <c r="L44" s="9">
        <f t="shared" si="2"/>
        <v>1.3499999999999996E-3</v>
      </c>
      <c r="M44" s="9">
        <f t="shared" si="3"/>
        <v>2.7439024390243878E-4</v>
      </c>
      <c r="N44" s="38">
        <f>M44*'Indirect Model Parameters'!$G$10</f>
        <v>27.43902439024388</v>
      </c>
    </row>
    <row r="45" spans="1:14" ht="48">
      <c r="A45" s="1" t="str">
        <f t="shared" si="4"/>
        <v>Population in TB compartment  LTBI, infected recently (at risk for rapid progression) with  Multidrug-resistant (MDR-TB) in HIV compartment  PLHIV not on ART, CD4≤200 and Female</v>
      </c>
      <c r="B45" s="8" t="s">
        <v>257</v>
      </c>
      <c r="C45" s="8">
        <v>3</v>
      </c>
      <c r="D45" s="9">
        <v>2</v>
      </c>
      <c r="E45" s="9">
        <v>3</v>
      </c>
      <c r="F45" s="9">
        <v>2</v>
      </c>
      <c r="G45" s="40" t="str">
        <f t="shared" si="5"/>
        <v>N,3,2,3,2</v>
      </c>
      <c r="H45" s="9">
        <f>IF(F45=1,'Indirect Model Parameters'!$G$23,'Indirect Model Parameters'!$G$24)</f>
        <v>0.5</v>
      </c>
      <c r="I45" s="9">
        <f>IF(AND(C45&lt;3,D45=1),1,IF(AND(C45&lt;3,D45=2),0,IF(AND(C45&gt;2,D45=1,E45 = 1),1-Model_Matched_Parameters!$K$4,IF(AND(C45&gt;2,D45=1,E45 = 2),Model_Matched_Parameters!$K$5,IF(AND(C45&gt;2, D45 = 2, E45 = 1),Model_Matched_Parameters!$K$4,Model_Matched_Parameters!$K$5)))))</f>
        <v>0.05</v>
      </c>
      <c r="J45" s="9">
        <f>IF(SUMIFS('Indirect Model Parameters'!$G$11:$G$16,'Indirect Model Parameters'!$D$11:$D$16,Pop_Init!E45,'Indirect Model Parameters'!$E$11:$E$16,Pop_Init!F45) = 0,'Indirect Model Parameters'!$G$17,'Indirect Model Parameters'!$G$18*SUMIFS('Indirect Model Parameters'!$G$11:$G$16,'Indirect Model Parameters'!$D$11:$D$16,Pop_Init!E45,'Indirect Model Parameters'!$E$11:$E$16,Pop_Init!F45))</f>
        <v>5.3999999999999979E-2</v>
      </c>
      <c r="L45" s="9">
        <f t="shared" si="2"/>
        <v>1.3499999999999996E-3</v>
      </c>
      <c r="M45" s="9">
        <f t="shared" si="3"/>
        <v>2.7439024390243878E-4</v>
      </c>
      <c r="N45" s="38">
        <f>M45*'Indirect Model Parameters'!$G$10</f>
        <v>27.43902439024388</v>
      </c>
    </row>
    <row r="46" spans="1:14" ht="48">
      <c r="A46" s="1" t="str">
        <f t="shared" si="4"/>
        <v>Population in TB compartment  LTBI, infected recently (at risk for rapid progression) with Drug-susceptible (DS) in HIV compartment  PLHIV and on ART and Male</v>
      </c>
      <c r="B46" s="8" t="s">
        <v>257</v>
      </c>
      <c r="C46" s="8">
        <v>3</v>
      </c>
      <c r="D46" s="9">
        <v>1</v>
      </c>
      <c r="E46" s="9">
        <v>4</v>
      </c>
      <c r="F46" s="9">
        <v>1</v>
      </c>
      <c r="G46" s="40" t="str">
        <f t="shared" si="5"/>
        <v>N,3,1,4,1</v>
      </c>
      <c r="H46" s="9">
        <f>IF(F46=1,'Indirect Model Parameters'!$G$23,'Indirect Model Parameters'!$G$24)</f>
        <v>0.5</v>
      </c>
      <c r="I46" s="9">
        <f>IF(AND(C46&lt;3,D46=1),1,IF(AND(C46&lt;3,D46=2),0,IF(AND(C46&gt;2,D46=1,E46 = 1),1-Model_Matched_Parameters!$K$4,IF(AND(C46&gt;2,D46=1,E46 = 2),Model_Matched_Parameters!$K$5,IF(AND(C46&gt;2, D46 = 2, E46 = 1),Model_Matched_Parameters!$K$4,Model_Matched_Parameters!$K$5)))))</f>
        <v>0.05</v>
      </c>
      <c r="J46" s="9">
        <f>IF(SUMIFS('Indirect Model Parameters'!$G$11:$G$16,'Indirect Model Parameters'!$D$11:$D$16,Pop_Init!E46,'Indirect Model Parameters'!$E$11:$E$16,Pop_Init!F46) = 0,'Indirect Model Parameters'!$G$17,'Indirect Model Parameters'!$G$18*SUMIFS('Indirect Model Parameters'!$G$11:$G$16,'Indirect Model Parameters'!$D$11:$D$16,Pop_Init!E46,'Indirect Model Parameters'!$E$11:$E$16,Pop_Init!F46))</f>
        <v>8.1000000000000003E-2</v>
      </c>
      <c r="L46" s="9">
        <f t="shared" si="2"/>
        <v>2.0250000000000003E-3</v>
      </c>
      <c r="M46" s="9">
        <f t="shared" si="3"/>
        <v>4.1158536585365831E-4</v>
      </c>
      <c r="N46" s="38">
        <f>M46*'Indirect Model Parameters'!$G$10</f>
        <v>41.15853658536583</v>
      </c>
    </row>
    <row r="47" spans="1:14" ht="48">
      <c r="A47" s="1" t="str">
        <f t="shared" si="4"/>
        <v>Population in TB compartment  LTBI, infected recently (at risk for rapid progression) with  Multidrug-resistant (MDR-TB) in HIV compartment  PLHIV and on ART and Male</v>
      </c>
      <c r="B47" s="8" t="s">
        <v>257</v>
      </c>
      <c r="C47" s="8">
        <v>3</v>
      </c>
      <c r="D47" s="9">
        <v>2</v>
      </c>
      <c r="E47" s="9">
        <v>4</v>
      </c>
      <c r="F47" s="9">
        <v>1</v>
      </c>
      <c r="G47" s="40" t="str">
        <f t="shared" si="5"/>
        <v>N,3,2,4,1</v>
      </c>
      <c r="H47" s="9">
        <f>IF(F47=1,'Indirect Model Parameters'!$G$23,'Indirect Model Parameters'!$G$24)</f>
        <v>0.5</v>
      </c>
      <c r="I47" s="9">
        <f>IF(AND(C47&lt;3,D47=1),1,IF(AND(C47&lt;3,D47=2),0,IF(AND(C47&gt;2,D47=1,E47 = 1),1-Model_Matched_Parameters!$K$4,IF(AND(C47&gt;2,D47=1,E47 = 2),Model_Matched_Parameters!$K$5,IF(AND(C47&gt;2, D47 = 2, E47 = 1),Model_Matched_Parameters!$K$4,Model_Matched_Parameters!$K$5)))))</f>
        <v>0.05</v>
      </c>
      <c r="J47" s="9">
        <f>IF(SUMIFS('Indirect Model Parameters'!$G$11:$G$16,'Indirect Model Parameters'!$D$11:$D$16,Pop_Init!E47,'Indirect Model Parameters'!$E$11:$E$16,Pop_Init!F47) = 0,'Indirect Model Parameters'!$G$17,'Indirect Model Parameters'!$G$18*SUMIFS('Indirect Model Parameters'!$G$11:$G$16,'Indirect Model Parameters'!$D$11:$D$16,Pop_Init!E47,'Indirect Model Parameters'!$E$11:$E$16,Pop_Init!F47))</f>
        <v>8.1000000000000003E-2</v>
      </c>
      <c r="L47" s="9">
        <f t="shared" si="2"/>
        <v>2.0250000000000003E-3</v>
      </c>
      <c r="M47" s="9">
        <f t="shared" si="3"/>
        <v>4.1158536585365831E-4</v>
      </c>
      <c r="N47" s="38">
        <f>M47*'Indirect Model Parameters'!$G$10</f>
        <v>41.15853658536583</v>
      </c>
    </row>
    <row r="48" spans="1:14" ht="48">
      <c r="A48" s="1" t="str">
        <f t="shared" si="4"/>
        <v>Population in TB compartment  LTBI, infected recently (at risk for rapid progression) with Drug-susceptible (DS) in HIV compartment  PLHIV and on ART and Female</v>
      </c>
      <c r="B48" s="8" t="s">
        <v>257</v>
      </c>
      <c r="C48" s="8">
        <v>3</v>
      </c>
      <c r="D48" s="9">
        <v>1</v>
      </c>
      <c r="E48" s="9">
        <v>4</v>
      </c>
      <c r="F48" s="9">
        <v>2</v>
      </c>
      <c r="G48" s="40" t="str">
        <f t="shared" si="5"/>
        <v>N,3,1,4,2</v>
      </c>
      <c r="H48" s="9">
        <f>IF(F48=1,'Indirect Model Parameters'!$G$23,'Indirect Model Parameters'!$G$24)</f>
        <v>0.5</v>
      </c>
      <c r="I48" s="9">
        <f>IF(AND(C48&lt;3,D48=1),1,IF(AND(C48&lt;3,D48=2),0,IF(AND(C48&gt;2,D48=1,E48 = 1),1-Model_Matched_Parameters!$K$4,IF(AND(C48&gt;2,D48=1,E48 = 2),Model_Matched_Parameters!$K$5,IF(AND(C48&gt;2, D48 = 2, E48 = 1),Model_Matched_Parameters!$K$4,Model_Matched_Parameters!$K$5)))))</f>
        <v>0.05</v>
      </c>
      <c r="J48" s="9">
        <f>IF(SUMIFS('Indirect Model Parameters'!$G$11:$G$16,'Indirect Model Parameters'!$D$11:$D$16,Pop_Init!E48,'Indirect Model Parameters'!$E$11:$E$16,Pop_Init!F48) = 0,'Indirect Model Parameters'!$G$17,'Indirect Model Parameters'!$G$18*SUMIFS('Indirect Model Parameters'!$G$11:$G$16,'Indirect Model Parameters'!$D$11:$D$16,Pop_Init!E48,'Indirect Model Parameters'!$E$11:$E$16,Pop_Init!F48))</f>
        <v>8.1000000000000003E-2</v>
      </c>
      <c r="L48" s="9">
        <f t="shared" si="2"/>
        <v>2.0250000000000003E-3</v>
      </c>
      <c r="M48" s="9">
        <f t="shared" si="3"/>
        <v>4.1158536585365831E-4</v>
      </c>
      <c r="N48" s="38">
        <f>M48*'Indirect Model Parameters'!$G$10</f>
        <v>41.15853658536583</v>
      </c>
    </row>
    <row r="49" spans="1:14" ht="48">
      <c r="A49" s="1" t="str">
        <f t="shared" si="4"/>
        <v>Population in TB compartment  LTBI, infected recently (at risk for rapid progression) with  Multidrug-resistant (MDR-TB) in HIV compartment  PLHIV and on ART and Female</v>
      </c>
      <c r="B49" s="8" t="s">
        <v>257</v>
      </c>
      <c r="C49" s="8">
        <v>3</v>
      </c>
      <c r="D49" s="9">
        <v>2</v>
      </c>
      <c r="E49" s="9">
        <v>4</v>
      </c>
      <c r="F49" s="9">
        <v>2</v>
      </c>
      <c r="G49" s="40" t="str">
        <f t="shared" si="5"/>
        <v>N,3,2,4,2</v>
      </c>
      <c r="H49" s="9">
        <f>IF(F49=1,'Indirect Model Parameters'!$G$23,'Indirect Model Parameters'!$G$24)</f>
        <v>0.5</v>
      </c>
      <c r="I49" s="9">
        <f>IF(AND(C49&lt;3,D49=1),1,IF(AND(C49&lt;3,D49=2),0,IF(AND(C49&gt;2,D49=1,E49 = 1),1-Model_Matched_Parameters!$K$4,IF(AND(C49&gt;2,D49=1,E49 = 2),Model_Matched_Parameters!$K$5,IF(AND(C49&gt;2, D49 = 2, E49 = 1),Model_Matched_Parameters!$K$4,Model_Matched_Parameters!$K$5)))))</f>
        <v>0.05</v>
      </c>
      <c r="J49" s="9">
        <f>IF(SUMIFS('Indirect Model Parameters'!$G$11:$G$16,'Indirect Model Parameters'!$D$11:$D$16,Pop_Init!E49,'Indirect Model Parameters'!$E$11:$E$16,Pop_Init!F49) = 0,'Indirect Model Parameters'!$G$17,'Indirect Model Parameters'!$G$18*SUMIFS('Indirect Model Parameters'!$G$11:$G$16,'Indirect Model Parameters'!$D$11:$D$16,Pop_Init!E49,'Indirect Model Parameters'!$E$11:$E$16,Pop_Init!F49))</f>
        <v>8.1000000000000003E-2</v>
      </c>
      <c r="L49" s="9">
        <f t="shared" si="2"/>
        <v>2.0250000000000003E-3</v>
      </c>
      <c r="M49" s="9">
        <f t="shared" si="3"/>
        <v>4.1158536585365831E-4</v>
      </c>
      <c r="N49" s="38">
        <f>M49*'Indirect Model Parameters'!$G$10</f>
        <v>41.15853658536583</v>
      </c>
    </row>
    <row r="50" spans="1:14" ht="32">
      <c r="A50" s="1" t="str">
        <f t="shared" si="4"/>
        <v>Population in TB compartment  LTBI, infected remotely with Drug-susceptible (DS) in HIV compartment  HIV-negative and Male</v>
      </c>
      <c r="B50" s="8" t="s">
        <v>257</v>
      </c>
      <c r="C50" s="8">
        <v>4</v>
      </c>
      <c r="D50" s="9">
        <v>1</v>
      </c>
      <c r="E50" s="9">
        <v>1</v>
      </c>
      <c r="F50" s="9">
        <v>1</v>
      </c>
      <c r="G50" s="40" t="str">
        <f t="shared" si="5"/>
        <v>N,4,1,1,1</v>
      </c>
      <c r="H50" s="9">
        <f>IF(F50=1,'Indirect Model Parameters'!$G$21,'Indirect Model Parameters'!$G$22)</f>
        <v>0.49</v>
      </c>
      <c r="I50" s="9">
        <f>IF(AND(C50&lt;3,D50=1),1,IF(AND(C50&lt;3,D50=2),0,IF(AND(C50&gt;2,D50=1,E50 = 1),1-Model_Matched_Parameters!$K$4,IF(AND(C50&gt;2,D50=1,E50 = 2),Model_Matched_Parameters!$K$5,IF(AND(C50&gt;2, D50 = 2, E50 = 1),Model_Matched_Parameters!$K$4,Model_Matched_Parameters!$K$5)))))</f>
        <v>0.95</v>
      </c>
      <c r="J50" s="9">
        <f>IF(SUMIFS('Indirect Model Parameters'!$G$11:$G$16,'Indirect Model Parameters'!$D$11:$D$16,Pop_Init!E50,'Indirect Model Parameters'!$E$11:$E$16,Pop_Init!F50) = 0,'Indirect Model Parameters'!$G$17,'Indirect Model Parameters'!$G$18*SUMIFS('Indirect Model Parameters'!$G$11:$G$16,'Indirect Model Parameters'!$D$11:$D$16,Pop_Init!E50,'Indirect Model Parameters'!$E$11:$E$16,Pop_Init!F50))</f>
        <v>0.7</v>
      </c>
      <c r="L50" s="9">
        <f t="shared" si="2"/>
        <v>0.32584999999999997</v>
      </c>
      <c r="M50" s="9">
        <f t="shared" si="3"/>
        <v>6.622967479674792E-2</v>
      </c>
      <c r="N50" s="38">
        <f>M50*'Indirect Model Parameters'!$G$10</f>
        <v>6622.9674796747922</v>
      </c>
    </row>
    <row r="51" spans="1:14" ht="48">
      <c r="A51" s="1" t="str">
        <f t="shared" si="4"/>
        <v>Population in TB compartment  LTBI, infected remotely with  Multidrug-resistant (MDR-TB) in HIV compartment  HIV-negative and Male</v>
      </c>
      <c r="B51" s="8" t="s">
        <v>257</v>
      </c>
      <c r="C51" s="8">
        <v>4</v>
      </c>
      <c r="D51" s="9">
        <v>2</v>
      </c>
      <c r="E51" s="9">
        <v>1</v>
      </c>
      <c r="F51" s="9">
        <v>1</v>
      </c>
      <c r="G51" s="40" t="str">
        <f t="shared" si="5"/>
        <v>N,4,2,1,1</v>
      </c>
      <c r="H51" s="9">
        <f>IF(F51=1,'Indirect Model Parameters'!$G$21,'Indirect Model Parameters'!$G$22)</f>
        <v>0.49</v>
      </c>
      <c r="I51" s="9">
        <f>IF(AND(C51&lt;3,D51=1),1,IF(AND(C51&lt;3,D51=2),0,IF(AND(C51&gt;2,D51=1,E51 = 1),1-Model_Matched_Parameters!$K$4,IF(AND(C51&gt;2,D51=1,E51 = 2),Model_Matched_Parameters!$K$5,IF(AND(C51&gt;2, D51 = 2, E51 = 1),Model_Matched_Parameters!$K$4,Model_Matched_Parameters!$K$5)))))</f>
        <v>0.05</v>
      </c>
      <c r="J51" s="9">
        <f>IF(SUMIFS('Indirect Model Parameters'!$G$11:$G$16,'Indirect Model Parameters'!$D$11:$D$16,Pop_Init!E51,'Indirect Model Parameters'!$E$11:$E$16,Pop_Init!F51) = 0,'Indirect Model Parameters'!$G$17,'Indirect Model Parameters'!$G$18*SUMIFS('Indirect Model Parameters'!$G$11:$G$16,'Indirect Model Parameters'!$D$11:$D$16,Pop_Init!E51,'Indirect Model Parameters'!$E$11:$E$16,Pop_Init!F51))</f>
        <v>0.7</v>
      </c>
      <c r="L51" s="9">
        <f t="shared" si="2"/>
        <v>1.7149999999999999E-2</v>
      </c>
      <c r="M51" s="9">
        <f t="shared" si="3"/>
        <v>3.4857723577235745E-3</v>
      </c>
      <c r="N51" s="38">
        <f>M51*'Indirect Model Parameters'!$G$10</f>
        <v>348.57723577235748</v>
      </c>
    </row>
    <row r="52" spans="1:14" ht="32">
      <c r="A52" s="1" t="str">
        <f t="shared" si="4"/>
        <v>Population in TB compartment  LTBI, infected remotely with Drug-susceptible (DS) in HIV compartment  HIV-negative and Female</v>
      </c>
      <c r="B52" s="8" t="s">
        <v>257</v>
      </c>
      <c r="C52" s="8">
        <v>4</v>
      </c>
      <c r="D52" s="9">
        <v>1</v>
      </c>
      <c r="E52" s="9">
        <v>1</v>
      </c>
      <c r="F52" s="9">
        <v>2</v>
      </c>
      <c r="G52" s="40" t="str">
        <f t="shared" si="5"/>
        <v>N,4,1,1,2</v>
      </c>
      <c r="H52" s="9">
        <f>IF(F52=1,'Indirect Model Parameters'!$G$21,'Indirect Model Parameters'!$G$22)</f>
        <v>0.49</v>
      </c>
      <c r="I52" s="9">
        <f>IF(AND(C52&lt;3,D52=1),1,IF(AND(C52&lt;3,D52=2),0,IF(AND(C52&gt;2,D52=1,E52 = 1),1-Model_Matched_Parameters!$K$4,IF(AND(C52&gt;2,D52=1,E52 = 2),Model_Matched_Parameters!$K$5,IF(AND(C52&gt;2, D52 = 2, E52 = 1),Model_Matched_Parameters!$K$4,Model_Matched_Parameters!$K$5)))))</f>
        <v>0.95</v>
      </c>
      <c r="J52" s="9">
        <f>IF(SUMIFS('Indirect Model Parameters'!$G$11:$G$16,'Indirect Model Parameters'!$D$11:$D$16,Pop_Init!E52,'Indirect Model Parameters'!$E$11:$E$16,Pop_Init!F52) = 0,'Indirect Model Parameters'!$G$17,'Indirect Model Parameters'!$G$18*SUMIFS('Indirect Model Parameters'!$G$11:$G$16,'Indirect Model Parameters'!$D$11:$D$16,Pop_Init!E52,'Indirect Model Parameters'!$E$11:$E$16,Pop_Init!F52))</f>
        <v>0.7</v>
      </c>
      <c r="L52" s="9">
        <f t="shared" si="2"/>
        <v>0.32584999999999997</v>
      </c>
      <c r="M52" s="9">
        <f t="shared" si="3"/>
        <v>6.622967479674792E-2</v>
      </c>
      <c r="N52" s="38">
        <f>M52*'Indirect Model Parameters'!$G$10</f>
        <v>6622.9674796747922</v>
      </c>
    </row>
    <row r="53" spans="1:14" ht="48">
      <c r="A53" s="1" t="str">
        <f t="shared" si="4"/>
        <v>Population in TB compartment  LTBI, infected remotely with  Multidrug-resistant (MDR-TB) in HIV compartment  HIV-negative and Female</v>
      </c>
      <c r="B53" s="8" t="s">
        <v>257</v>
      </c>
      <c r="C53" s="8">
        <v>4</v>
      </c>
      <c r="D53" s="9">
        <v>2</v>
      </c>
      <c r="E53" s="9">
        <v>1</v>
      </c>
      <c r="F53" s="9">
        <v>2</v>
      </c>
      <c r="G53" s="40" t="str">
        <f t="shared" si="5"/>
        <v>N,4,2,1,2</v>
      </c>
      <c r="H53" s="9">
        <f>IF(F53=1,'Indirect Model Parameters'!$G$21,'Indirect Model Parameters'!$G$22)</f>
        <v>0.49</v>
      </c>
      <c r="I53" s="9">
        <f>IF(AND(C53&lt;3,D53=1),1,IF(AND(C53&lt;3,D53=2),0,IF(AND(C53&gt;2,D53=1,E53 = 1),1-Model_Matched_Parameters!$K$4,IF(AND(C53&gt;2,D53=1,E53 = 2),Model_Matched_Parameters!$K$5,IF(AND(C53&gt;2, D53 = 2, E53 = 1),Model_Matched_Parameters!$K$4,Model_Matched_Parameters!$K$5)))))</f>
        <v>0.05</v>
      </c>
      <c r="J53" s="9">
        <f>IF(SUMIFS('Indirect Model Parameters'!$G$11:$G$16,'Indirect Model Parameters'!$D$11:$D$16,Pop_Init!E53,'Indirect Model Parameters'!$E$11:$E$16,Pop_Init!F53) = 0,'Indirect Model Parameters'!$G$17,'Indirect Model Parameters'!$G$18*SUMIFS('Indirect Model Parameters'!$G$11:$G$16,'Indirect Model Parameters'!$D$11:$D$16,Pop_Init!E53,'Indirect Model Parameters'!$E$11:$E$16,Pop_Init!F53))</f>
        <v>0.7</v>
      </c>
      <c r="L53" s="9">
        <f t="shared" si="2"/>
        <v>1.7149999999999999E-2</v>
      </c>
      <c r="M53" s="9">
        <f t="shared" si="3"/>
        <v>3.4857723577235745E-3</v>
      </c>
      <c r="N53" s="38">
        <f>M53*'Indirect Model Parameters'!$G$10</f>
        <v>348.57723577235748</v>
      </c>
    </row>
    <row r="54" spans="1:14" ht="48">
      <c r="A54" s="1" t="str">
        <f t="shared" si="4"/>
        <v>Population in TB compartment  LTBI, infected remotely with Drug-susceptible (DS) in HIV compartment  PLHIV not on ART, CD4&gt;200 and Male</v>
      </c>
      <c r="B54" s="8" t="s">
        <v>257</v>
      </c>
      <c r="C54" s="8">
        <v>4</v>
      </c>
      <c r="D54" s="9">
        <v>1</v>
      </c>
      <c r="E54" s="9">
        <v>2</v>
      </c>
      <c r="F54" s="9">
        <v>1</v>
      </c>
      <c r="G54" s="40" t="str">
        <f t="shared" si="5"/>
        <v>N,4,1,2,1</v>
      </c>
      <c r="H54" s="9">
        <f>IF(F54=1,'Indirect Model Parameters'!$G$23,'Indirect Model Parameters'!$G$24)</f>
        <v>0.5</v>
      </c>
      <c r="I54" s="9">
        <f>IF(AND(C54&lt;3,D54=1),1,IF(AND(C54&lt;3,D54=2),0,IF(AND(C54&gt;2,D54=1,E54 = 1),1-Model_Matched_Parameters!$K$4,IF(AND(C54&gt;2,D54=1,E54 = 2),Model_Matched_Parameters!$K$5,IF(AND(C54&gt;2, D54 = 2, E54 = 1),Model_Matched_Parameters!$K$4,Model_Matched_Parameters!$K$5)))))</f>
        <v>0.05</v>
      </c>
      <c r="J54" s="9">
        <f>IF(SUMIFS('Indirect Model Parameters'!$G$11:$G$16,'Indirect Model Parameters'!$D$11:$D$16,Pop_Init!E54,'Indirect Model Parameters'!$E$11:$E$16,Pop_Init!F54) = 0,'Indirect Model Parameters'!$G$17,'Indirect Model Parameters'!$G$18*SUMIFS('Indirect Model Parameters'!$G$11:$G$16,'Indirect Model Parameters'!$D$11:$D$16,Pop_Init!E54,'Indirect Model Parameters'!$E$11:$E$16,Pop_Init!F54))</f>
        <v>0.16500000000000001</v>
      </c>
      <c r="L54" s="9">
        <f t="shared" si="2"/>
        <v>4.1250000000000002E-3</v>
      </c>
      <c r="M54" s="9">
        <f t="shared" si="3"/>
        <v>8.3841463414634091E-4</v>
      </c>
      <c r="N54" s="38">
        <f>M54*'Indirect Model Parameters'!$G$10</f>
        <v>83.841463414634092</v>
      </c>
    </row>
    <row r="55" spans="1:14" ht="48">
      <c r="A55" s="1" t="str">
        <f t="shared" si="4"/>
        <v>Population in TB compartment  LTBI, infected remotely with  Multidrug-resistant (MDR-TB) in HIV compartment  PLHIV not on ART, CD4&gt;200 and Male</v>
      </c>
      <c r="B55" s="8" t="s">
        <v>257</v>
      </c>
      <c r="C55" s="8">
        <v>4</v>
      </c>
      <c r="D55" s="9">
        <v>2</v>
      </c>
      <c r="E55" s="9">
        <v>2</v>
      </c>
      <c r="F55" s="9">
        <v>1</v>
      </c>
      <c r="G55" s="40" t="str">
        <f t="shared" si="5"/>
        <v>N,4,2,2,1</v>
      </c>
      <c r="H55" s="9">
        <f>IF(F55=1,'Indirect Model Parameters'!$G$23,'Indirect Model Parameters'!$G$24)</f>
        <v>0.5</v>
      </c>
      <c r="I55" s="9">
        <f>IF(AND(C55&lt;3,D55=1),1,IF(AND(C55&lt;3,D55=2),0,IF(AND(C55&gt;2,D55=1,E55 = 1),1-Model_Matched_Parameters!$K$4,IF(AND(C55&gt;2,D55=1,E55 = 2),Model_Matched_Parameters!$K$5,IF(AND(C55&gt;2, D55 = 2, E55 = 1),Model_Matched_Parameters!$K$4,Model_Matched_Parameters!$K$5)))))</f>
        <v>0.05</v>
      </c>
      <c r="J55" s="9">
        <f>IF(SUMIFS('Indirect Model Parameters'!$G$11:$G$16,'Indirect Model Parameters'!$D$11:$D$16,Pop_Init!E55,'Indirect Model Parameters'!$E$11:$E$16,Pop_Init!F55) = 0,'Indirect Model Parameters'!$G$17,'Indirect Model Parameters'!$G$18*SUMIFS('Indirect Model Parameters'!$G$11:$G$16,'Indirect Model Parameters'!$D$11:$D$16,Pop_Init!E55,'Indirect Model Parameters'!$E$11:$E$16,Pop_Init!F55))</f>
        <v>0.16500000000000001</v>
      </c>
      <c r="L55" s="9">
        <f t="shared" si="2"/>
        <v>4.1250000000000002E-3</v>
      </c>
      <c r="M55" s="9">
        <f t="shared" si="3"/>
        <v>8.3841463414634091E-4</v>
      </c>
      <c r="N55" s="38">
        <f>M55*'Indirect Model Parameters'!$G$10</f>
        <v>83.841463414634092</v>
      </c>
    </row>
    <row r="56" spans="1:14" ht="48">
      <c r="A56" s="1" t="str">
        <f t="shared" si="4"/>
        <v>Population in TB compartment  LTBI, infected remotely with Drug-susceptible (DS) in HIV compartment  PLHIV not on ART, CD4&gt;200 and Female</v>
      </c>
      <c r="B56" s="8" t="s">
        <v>257</v>
      </c>
      <c r="C56" s="8">
        <v>4</v>
      </c>
      <c r="D56" s="9">
        <v>1</v>
      </c>
      <c r="E56" s="9">
        <v>2</v>
      </c>
      <c r="F56" s="9">
        <v>2</v>
      </c>
      <c r="G56" s="40" t="str">
        <f t="shared" si="5"/>
        <v>N,4,1,2,2</v>
      </c>
      <c r="H56" s="9">
        <f>IF(F56=1,'Indirect Model Parameters'!$G$23,'Indirect Model Parameters'!$G$24)</f>
        <v>0.5</v>
      </c>
      <c r="I56" s="9">
        <f>IF(AND(C56&lt;3,D56=1),1,IF(AND(C56&lt;3,D56=2),0,IF(AND(C56&gt;2,D56=1,E56 = 1),1-Model_Matched_Parameters!$K$4,IF(AND(C56&gt;2,D56=1,E56 = 2),Model_Matched_Parameters!$K$5,IF(AND(C56&gt;2, D56 = 2, E56 = 1),Model_Matched_Parameters!$K$4,Model_Matched_Parameters!$K$5)))))</f>
        <v>0.05</v>
      </c>
      <c r="J56" s="9">
        <f>IF(SUMIFS('Indirect Model Parameters'!$G$11:$G$16,'Indirect Model Parameters'!$D$11:$D$16,Pop_Init!E56,'Indirect Model Parameters'!$E$11:$E$16,Pop_Init!F56) = 0,'Indirect Model Parameters'!$G$17,'Indirect Model Parameters'!$G$18*SUMIFS('Indirect Model Parameters'!$G$11:$G$16,'Indirect Model Parameters'!$D$11:$D$16,Pop_Init!E56,'Indirect Model Parameters'!$E$11:$E$16,Pop_Init!F56))</f>
        <v>0.16500000000000001</v>
      </c>
      <c r="L56" s="9">
        <f t="shared" si="2"/>
        <v>4.1250000000000002E-3</v>
      </c>
      <c r="M56" s="9">
        <f t="shared" si="3"/>
        <v>8.3841463414634091E-4</v>
      </c>
      <c r="N56" s="38">
        <f>M56*'Indirect Model Parameters'!$G$10</f>
        <v>83.841463414634092</v>
      </c>
    </row>
    <row r="57" spans="1:14" ht="48">
      <c r="A57" s="1" t="str">
        <f t="shared" si="4"/>
        <v>Population in TB compartment  LTBI, infected remotely with  Multidrug-resistant (MDR-TB) in HIV compartment  PLHIV not on ART, CD4&gt;200 and Female</v>
      </c>
      <c r="B57" s="8" t="s">
        <v>257</v>
      </c>
      <c r="C57" s="8">
        <v>4</v>
      </c>
      <c r="D57" s="9">
        <v>2</v>
      </c>
      <c r="E57" s="9">
        <v>2</v>
      </c>
      <c r="F57" s="9">
        <v>2</v>
      </c>
      <c r="G57" s="40" t="str">
        <f t="shared" si="5"/>
        <v>N,4,2,2,2</v>
      </c>
      <c r="H57" s="9">
        <f>IF(F57=1,'Indirect Model Parameters'!$G$23,'Indirect Model Parameters'!$G$24)</f>
        <v>0.5</v>
      </c>
      <c r="I57" s="9">
        <f>IF(AND(C57&lt;3,D57=1),1,IF(AND(C57&lt;3,D57=2),0,IF(AND(C57&gt;2,D57=1,E57 = 1),1-Model_Matched_Parameters!$K$4,IF(AND(C57&gt;2,D57=1,E57 = 2),Model_Matched_Parameters!$K$5,IF(AND(C57&gt;2, D57 = 2, E57 = 1),Model_Matched_Parameters!$K$4,Model_Matched_Parameters!$K$5)))))</f>
        <v>0.05</v>
      </c>
      <c r="J57" s="9">
        <f>IF(SUMIFS('Indirect Model Parameters'!$G$11:$G$16,'Indirect Model Parameters'!$D$11:$D$16,Pop_Init!E57,'Indirect Model Parameters'!$E$11:$E$16,Pop_Init!F57) = 0,'Indirect Model Parameters'!$G$17,'Indirect Model Parameters'!$G$18*SUMIFS('Indirect Model Parameters'!$G$11:$G$16,'Indirect Model Parameters'!$D$11:$D$16,Pop_Init!E57,'Indirect Model Parameters'!$E$11:$E$16,Pop_Init!F57))</f>
        <v>0.16500000000000001</v>
      </c>
      <c r="L57" s="9">
        <f t="shared" si="2"/>
        <v>4.1250000000000002E-3</v>
      </c>
      <c r="M57" s="9">
        <f t="shared" si="3"/>
        <v>8.3841463414634091E-4</v>
      </c>
      <c r="N57" s="38">
        <f>M57*'Indirect Model Parameters'!$G$10</f>
        <v>83.841463414634092</v>
      </c>
    </row>
    <row r="58" spans="1:14" ht="48">
      <c r="A58" s="1" t="str">
        <f t="shared" si="4"/>
        <v>Population in TB compartment  LTBI, infected remotely with Drug-susceptible (DS) in HIV compartment  PLHIV not on ART, CD4≤200 and Male</v>
      </c>
      <c r="B58" s="8" t="s">
        <v>257</v>
      </c>
      <c r="C58" s="8">
        <v>4</v>
      </c>
      <c r="D58" s="9">
        <v>1</v>
      </c>
      <c r="E58" s="9">
        <v>3</v>
      </c>
      <c r="F58" s="9">
        <v>1</v>
      </c>
      <c r="G58" s="40" t="str">
        <f t="shared" si="5"/>
        <v>N,4,1,3,1</v>
      </c>
      <c r="H58" s="9">
        <f>IF(F58=1,'Indirect Model Parameters'!$G$23,'Indirect Model Parameters'!$G$24)</f>
        <v>0.5</v>
      </c>
      <c r="I58" s="9">
        <f>IF(AND(C58&lt;3,D58=1),1,IF(AND(C58&lt;3,D58=2),0,IF(AND(C58&gt;2,D58=1,E58 = 1),1-Model_Matched_Parameters!$K$4,IF(AND(C58&gt;2,D58=1,E58 = 2),Model_Matched_Parameters!$K$5,IF(AND(C58&gt;2, D58 = 2, E58 = 1),Model_Matched_Parameters!$K$4,Model_Matched_Parameters!$K$5)))))</f>
        <v>0.05</v>
      </c>
      <c r="J58" s="9">
        <f>IF(SUMIFS('Indirect Model Parameters'!$G$11:$G$16,'Indirect Model Parameters'!$D$11:$D$16,Pop_Init!E58,'Indirect Model Parameters'!$E$11:$E$16,Pop_Init!F58) = 0,'Indirect Model Parameters'!$G$17,'Indirect Model Parameters'!$G$18*SUMIFS('Indirect Model Parameters'!$G$11:$G$16,'Indirect Model Parameters'!$D$11:$D$16,Pop_Init!E58,'Indirect Model Parameters'!$E$11:$E$16,Pop_Init!F58))</f>
        <v>5.3999999999999979E-2</v>
      </c>
      <c r="L58" s="9">
        <f t="shared" si="2"/>
        <v>1.3499999999999996E-3</v>
      </c>
      <c r="M58" s="9">
        <f t="shared" si="3"/>
        <v>2.7439024390243878E-4</v>
      </c>
      <c r="N58" s="38">
        <f>M58*'Indirect Model Parameters'!$G$10</f>
        <v>27.43902439024388</v>
      </c>
    </row>
    <row r="59" spans="1:14" ht="48">
      <c r="A59" s="1" t="str">
        <f t="shared" si="4"/>
        <v>Population in TB compartment  LTBI, infected remotely with  Multidrug-resistant (MDR-TB) in HIV compartment  PLHIV not on ART, CD4≤200 and Male</v>
      </c>
      <c r="B59" s="8" t="s">
        <v>257</v>
      </c>
      <c r="C59" s="8">
        <v>4</v>
      </c>
      <c r="D59" s="9">
        <v>2</v>
      </c>
      <c r="E59" s="9">
        <v>3</v>
      </c>
      <c r="F59" s="9">
        <v>1</v>
      </c>
      <c r="G59" s="40" t="str">
        <f t="shared" si="5"/>
        <v>N,4,2,3,1</v>
      </c>
      <c r="H59" s="9">
        <f>IF(F59=1,'Indirect Model Parameters'!$G$23,'Indirect Model Parameters'!$G$24)</f>
        <v>0.5</v>
      </c>
      <c r="I59" s="9">
        <f>IF(AND(C59&lt;3,D59=1),1,IF(AND(C59&lt;3,D59=2),0,IF(AND(C59&gt;2,D59=1,E59 = 1),1-Model_Matched_Parameters!$K$4,IF(AND(C59&gt;2,D59=1,E59 = 2),Model_Matched_Parameters!$K$5,IF(AND(C59&gt;2, D59 = 2, E59 = 1),Model_Matched_Parameters!$K$4,Model_Matched_Parameters!$K$5)))))</f>
        <v>0.05</v>
      </c>
      <c r="J59" s="9">
        <f>IF(SUMIFS('Indirect Model Parameters'!$G$11:$G$16,'Indirect Model Parameters'!$D$11:$D$16,Pop_Init!E59,'Indirect Model Parameters'!$E$11:$E$16,Pop_Init!F59) = 0,'Indirect Model Parameters'!$G$17,'Indirect Model Parameters'!$G$18*SUMIFS('Indirect Model Parameters'!$G$11:$G$16,'Indirect Model Parameters'!$D$11:$D$16,Pop_Init!E59,'Indirect Model Parameters'!$E$11:$E$16,Pop_Init!F59))</f>
        <v>5.3999999999999979E-2</v>
      </c>
      <c r="L59" s="9">
        <f t="shared" si="2"/>
        <v>1.3499999999999996E-3</v>
      </c>
      <c r="M59" s="9">
        <f t="shared" si="3"/>
        <v>2.7439024390243878E-4</v>
      </c>
      <c r="N59" s="38">
        <f>M59*'Indirect Model Parameters'!$G$10</f>
        <v>27.43902439024388</v>
      </c>
    </row>
    <row r="60" spans="1:14" ht="48">
      <c r="A60" s="1" t="str">
        <f t="shared" si="4"/>
        <v>Population in TB compartment  LTBI, infected remotely with Drug-susceptible (DS) in HIV compartment  PLHIV not on ART, CD4≤200 and Female</v>
      </c>
      <c r="B60" s="8" t="s">
        <v>257</v>
      </c>
      <c r="C60" s="8">
        <v>4</v>
      </c>
      <c r="D60" s="9">
        <v>1</v>
      </c>
      <c r="E60" s="9">
        <v>3</v>
      </c>
      <c r="F60" s="9">
        <v>2</v>
      </c>
      <c r="G60" s="40" t="str">
        <f t="shared" si="5"/>
        <v>N,4,1,3,2</v>
      </c>
      <c r="H60" s="9">
        <f>IF(F60=1,'Indirect Model Parameters'!$G$23,'Indirect Model Parameters'!$G$24)</f>
        <v>0.5</v>
      </c>
      <c r="I60" s="9">
        <f>IF(AND(C60&lt;3,D60=1),1,IF(AND(C60&lt;3,D60=2),0,IF(AND(C60&gt;2,D60=1,E60 = 1),1-Model_Matched_Parameters!$K$4,IF(AND(C60&gt;2,D60=1,E60 = 2),Model_Matched_Parameters!$K$5,IF(AND(C60&gt;2, D60 = 2, E60 = 1),Model_Matched_Parameters!$K$4,Model_Matched_Parameters!$K$5)))))</f>
        <v>0.05</v>
      </c>
      <c r="J60" s="9">
        <f>IF(SUMIFS('Indirect Model Parameters'!$G$11:$G$16,'Indirect Model Parameters'!$D$11:$D$16,Pop_Init!E60,'Indirect Model Parameters'!$E$11:$E$16,Pop_Init!F60) = 0,'Indirect Model Parameters'!$G$17,'Indirect Model Parameters'!$G$18*SUMIFS('Indirect Model Parameters'!$G$11:$G$16,'Indirect Model Parameters'!$D$11:$D$16,Pop_Init!E60,'Indirect Model Parameters'!$E$11:$E$16,Pop_Init!F60))</f>
        <v>5.3999999999999979E-2</v>
      </c>
      <c r="L60" s="9">
        <f t="shared" si="2"/>
        <v>1.3499999999999996E-3</v>
      </c>
      <c r="M60" s="9">
        <f t="shared" si="3"/>
        <v>2.7439024390243878E-4</v>
      </c>
      <c r="N60" s="38">
        <f>M60*'Indirect Model Parameters'!$G$10</f>
        <v>27.43902439024388</v>
      </c>
    </row>
    <row r="61" spans="1:14" ht="48">
      <c r="A61" s="1" t="str">
        <f t="shared" si="4"/>
        <v>Population in TB compartment  LTBI, infected remotely with  Multidrug-resistant (MDR-TB) in HIV compartment  PLHIV not on ART, CD4≤200 and Female</v>
      </c>
      <c r="B61" s="8" t="s">
        <v>257</v>
      </c>
      <c r="C61" s="8">
        <v>4</v>
      </c>
      <c r="D61" s="9">
        <v>2</v>
      </c>
      <c r="E61" s="9">
        <v>3</v>
      </c>
      <c r="F61" s="9">
        <v>2</v>
      </c>
      <c r="G61" s="40" t="str">
        <f t="shared" si="5"/>
        <v>N,4,2,3,2</v>
      </c>
      <c r="H61" s="9">
        <f>IF(F61=1,'Indirect Model Parameters'!$G$23,'Indirect Model Parameters'!$G$24)</f>
        <v>0.5</v>
      </c>
      <c r="I61" s="9">
        <f>IF(AND(C61&lt;3,D61=1),1,IF(AND(C61&lt;3,D61=2),0,IF(AND(C61&gt;2,D61=1,E61 = 1),1-Model_Matched_Parameters!$K$4,IF(AND(C61&gt;2,D61=1,E61 = 2),Model_Matched_Parameters!$K$5,IF(AND(C61&gt;2, D61 = 2, E61 = 1),Model_Matched_Parameters!$K$4,Model_Matched_Parameters!$K$5)))))</f>
        <v>0.05</v>
      </c>
      <c r="J61" s="9">
        <f>IF(SUMIFS('Indirect Model Parameters'!$G$11:$G$16,'Indirect Model Parameters'!$D$11:$D$16,Pop_Init!E61,'Indirect Model Parameters'!$E$11:$E$16,Pop_Init!F61) = 0,'Indirect Model Parameters'!$G$17,'Indirect Model Parameters'!$G$18*SUMIFS('Indirect Model Parameters'!$G$11:$G$16,'Indirect Model Parameters'!$D$11:$D$16,Pop_Init!E61,'Indirect Model Parameters'!$E$11:$E$16,Pop_Init!F61))</f>
        <v>5.3999999999999979E-2</v>
      </c>
      <c r="L61" s="9">
        <f t="shared" si="2"/>
        <v>1.3499999999999996E-3</v>
      </c>
      <c r="M61" s="9">
        <f t="shared" si="3"/>
        <v>2.7439024390243878E-4</v>
      </c>
      <c r="N61" s="38">
        <f>M61*'Indirect Model Parameters'!$G$10</f>
        <v>27.43902439024388</v>
      </c>
    </row>
    <row r="62" spans="1:14" ht="32">
      <c r="A62" s="1" t="str">
        <f t="shared" si="4"/>
        <v>Population in TB compartment  LTBI, infected remotely with Drug-susceptible (DS) in HIV compartment  PLHIV and on ART and Male</v>
      </c>
      <c r="B62" s="8" t="s">
        <v>257</v>
      </c>
      <c r="C62" s="8">
        <v>4</v>
      </c>
      <c r="D62" s="9">
        <v>1</v>
      </c>
      <c r="E62" s="9">
        <v>4</v>
      </c>
      <c r="F62" s="9">
        <v>1</v>
      </c>
      <c r="G62" s="40" t="str">
        <f t="shared" si="5"/>
        <v>N,4,1,4,1</v>
      </c>
      <c r="H62" s="9">
        <f>IF(F62=1,'Indirect Model Parameters'!$G$23,'Indirect Model Parameters'!$G$24)</f>
        <v>0.5</v>
      </c>
      <c r="I62" s="9">
        <f>IF(AND(C62&lt;3,D62=1),1,IF(AND(C62&lt;3,D62=2),0,IF(AND(C62&gt;2,D62=1,E62 = 1),1-Model_Matched_Parameters!$K$4,IF(AND(C62&gt;2,D62=1,E62 = 2),Model_Matched_Parameters!$K$5,IF(AND(C62&gt;2, D62 = 2, E62 = 1),Model_Matched_Parameters!$K$4,Model_Matched_Parameters!$K$5)))))</f>
        <v>0.05</v>
      </c>
      <c r="J62" s="9">
        <f>IF(SUMIFS('Indirect Model Parameters'!$G$11:$G$16,'Indirect Model Parameters'!$D$11:$D$16,Pop_Init!E62,'Indirect Model Parameters'!$E$11:$E$16,Pop_Init!F62) = 0,'Indirect Model Parameters'!$G$17,'Indirect Model Parameters'!$G$18*SUMIFS('Indirect Model Parameters'!$G$11:$G$16,'Indirect Model Parameters'!$D$11:$D$16,Pop_Init!E62,'Indirect Model Parameters'!$E$11:$E$16,Pop_Init!F62))</f>
        <v>8.1000000000000003E-2</v>
      </c>
      <c r="L62" s="9">
        <f t="shared" si="2"/>
        <v>2.0250000000000003E-3</v>
      </c>
      <c r="M62" s="9">
        <f t="shared" si="3"/>
        <v>4.1158536585365831E-4</v>
      </c>
      <c r="N62" s="38">
        <f>M62*'Indirect Model Parameters'!$G$10</f>
        <v>41.15853658536583</v>
      </c>
    </row>
    <row r="63" spans="1:14" ht="48">
      <c r="A63" s="1" t="str">
        <f t="shared" si="4"/>
        <v>Population in TB compartment  LTBI, infected remotely with  Multidrug-resistant (MDR-TB) in HIV compartment  PLHIV and on ART and Male</v>
      </c>
      <c r="B63" s="8" t="s">
        <v>257</v>
      </c>
      <c r="C63" s="8">
        <v>4</v>
      </c>
      <c r="D63" s="9">
        <v>2</v>
      </c>
      <c r="E63" s="9">
        <v>4</v>
      </c>
      <c r="F63" s="9">
        <v>1</v>
      </c>
      <c r="G63" s="40" t="str">
        <f t="shared" si="5"/>
        <v>N,4,2,4,1</v>
      </c>
      <c r="H63" s="9">
        <f>IF(F63=1,'Indirect Model Parameters'!$G$23,'Indirect Model Parameters'!$G$24)</f>
        <v>0.5</v>
      </c>
      <c r="I63" s="9">
        <f>IF(AND(C63&lt;3,D63=1),1,IF(AND(C63&lt;3,D63=2),0,IF(AND(C63&gt;2,D63=1,E63 = 1),1-Model_Matched_Parameters!$K$4,IF(AND(C63&gt;2,D63=1,E63 = 2),Model_Matched_Parameters!$K$5,IF(AND(C63&gt;2, D63 = 2, E63 = 1),Model_Matched_Parameters!$K$4,Model_Matched_Parameters!$K$5)))))</f>
        <v>0.05</v>
      </c>
      <c r="J63" s="9">
        <f>IF(SUMIFS('Indirect Model Parameters'!$G$11:$G$16,'Indirect Model Parameters'!$D$11:$D$16,Pop_Init!E63,'Indirect Model Parameters'!$E$11:$E$16,Pop_Init!F63) = 0,'Indirect Model Parameters'!$G$17,'Indirect Model Parameters'!$G$18*SUMIFS('Indirect Model Parameters'!$G$11:$G$16,'Indirect Model Parameters'!$D$11:$D$16,Pop_Init!E63,'Indirect Model Parameters'!$E$11:$E$16,Pop_Init!F63))</f>
        <v>8.1000000000000003E-2</v>
      </c>
      <c r="L63" s="9">
        <f t="shared" si="2"/>
        <v>2.0250000000000003E-3</v>
      </c>
      <c r="M63" s="9">
        <f t="shared" si="3"/>
        <v>4.1158536585365831E-4</v>
      </c>
      <c r="N63" s="38">
        <f>M63*'Indirect Model Parameters'!$G$10</f>
        <v>41.15853658536583</v>
      </c>
    </row>
    <row r="64" spans="1:14" ht="48">
      <c r="A64" s="1" t="str">
        <f t="shared" si="4"/>
        <v>Population in TB compartment  LTBI, infected remotely with Drug-susceptible (DS) in HIV compartment  PLHIV and on ART and Female</v>
      </c>
      <c r="B64" s="8" t="s">
        <v>257</v>
      </c>
      <c r="C64" s="8">
        <v>4</v>
      </c>
      <c r="D64" s="9">
        <v>1</v>
      </c>
      <c r="E64" s="9">
        <v>4</v>
      </c>
      <c r="F64" s="9">
        <v>2</v>
      </c>
      <c r="G64" s="40" t="str">
        <f t="shared" si="5"/>
        <v>N,4,1,4,2</v>
      </c>
      <c r="H64" s="9">
        <f>IF(F64=1,'Indirect Model Parameters'!$G$23,'Indirect Model Parameters'!$G$24)</f>
        <v>0.5</v>
      </c>
      <c r="I64" s="9">
        <f>IF(AND(C64&lt;3,D64=1),1,IF(AND(C64&lt;3,D64=2),0,IF(AND(C64&gt;2,D64=1,E64 = 1),1-Model_Matched_Parameters!$K$4,IF(AND(C64&gt;2,D64=1,E64 = 2),Model_Matched_Parameters!$K$5,IF(AND(C64&gt;2, D64 = 2, E64 = 1),Model_Matched_Parameters!$K$4,Model_Matched_Parameters!$K$5)))))</f>
        <v>0.05</v>
      </c>
      <c r="J64" s="9">
        <f>IF(SUMIFS('Indirect Model Parameters'!$G$11:$G$16,'Indirect Model Parameters'!$D$11:$D$16,Pop_Init!E64,'Indirect Model Parameters'!$E$11:$E$16,Pop_Init!F64) = 0,'Indirect Model Parameters'!$G$17,'Indirect Model Parameters'!$G$18*SUMIFS('Indirect Model Parameters'!$G$11:$G$16,'Indirect Model Parameters'!$D$11:$D$16,Pop_Init!E64,'Indirect Model Parameters'!$E$11:$E$16,Pop_Init!F64))</f>
        <v>8.1000000000000003E-2</v>
      </c>
      <c r="L64" s="9">
        <f t="shared" si="2"/>
        <v>2.0250000000000003E-3</v>
      </c>
      <c r="M64" s="9">
        <f t="shared" si="3"/>
        <v>4.1158536585365831E-4</v>
      </c>
      <c r="N64" s="38">
        <f>M64*'Indirect Model Parameters'!$G$10</f>
        <v>41.15853658536583</v>
      </c>
    </row>
    <row r="65" spans="1:14" ht="48">
      <c r="A65" s="1" t="str">
        <f t="shared" si="4"/>
        <v>Population in TB compartment  LTBI, infected remotely with  Multidrug-resistant (MDR-TB) in HIV compartment  PLHIV and on ART and Female</v>
      </c>
      <c r="B65" s="8" t="s">
        <v>257</v>
      </c>
      <c r="C65" s="8">
        <v>4</v>
      </c>
      <c r="D65" s="9">
        <v>2</v>
      </c>
      <c r="E65" s="9">
        <v>4</v>
      </c>
      <c r="F65" s="9">
        <v>2</v>
      </c>
      <c r="G65" s="40" t="str">
        <f t="shared" si="5"/>
        <v>N,4,2,4,2</v>
      </c>
      <c r="H65" s="9">
        <f>IF(F65=1,'Indirect Model Parameters'!$G$23,'Indirect Model Parameters'!$G$24)</f>
        <v>0.5</v>
      </c>
      <c r="I65" s="9">
        <f>IF(AND(C65&lt;3,D65=1),1,IF(AND(C65&lt;3,D65=2),0,IF(AND(C65&gt;2,D65=1,E65 = 1),1-Model_Matched_Parameters!$K$4,IF(AND(C65&gt;2,D65=1,E65 = 2),Model_Matched_Parameters!$K$5,IF(AND(C65&gt;2, D65 = 2, E65 = 1),Model_Matched_Parameters!$K$4,Model_Matched_Parameters!$K$5)))))</f>
        <v>0.05</v>
      </c>
      <c r="J65" s="9">
        <f>IF(SUMIFS('Indirect Model Parameters'!$G$11:$G$16,'Indirect Model Parameters'!$D$11:$D$16,Pop_Init!E65,'Indirect Model Parameters'!$E$11:$E$16,Pop_Init!F65) = 0,'Indirect Model Parameters'!$G$17,'Indirect Model Parameters'!$G$18*SUMIFS('Indirect Model Parameters'!$G$11:$G$16,'Indirect Model Parameters'!$D$11:$D$16,Pop_Init!E65,'Indirect Model Parameters'!$E$11:$E$16,Pop_Init!F65))</f>
        <v>8.1000000000000003E-2</v>
      </c>
      <c r="L65" s="9">
        <f t="shared" si="2"/>
        <v>2.0250000000000003E-3</v>
      </c>
      <c r="M65" s="9">
        <f t="shared" si="3"/>
        <v>4.1158536585365831E-4</v>
      </c>
      <c r="N65" s="38">
        <f>M65*'Indirect Model Parameters'!$G$10</f>
        <v>41.15853658536583</v>
      </c>
    </row>
    <row r="66" spans="1:14" ht="32">
      <c r="A66" s="1" t="str">
        <f t="shared" ref="A66:A97" si="6">CONCATENATE("Population in TB compartment ",VLOOKUP(C66,TB_SET,2), " with ", VLOOKUP(D66,R_SET,2), " in HIV compartment ", VLOOKUP(E66,HIV_SET,2), " and ", VLOOKUP(F66, G_SET,2))</f>
        <v>Population in TB compartment  LTBI, on IPT with Drug-susceptible (DS) in HIV compartment  HIV-negative and Male</v>
      </c>
      <c r="B66" s="8" t="s">
        <v>257</v>
      </c>
      <c r="C66" s="8">
        <v>5</v>
      </c>
      <c r="D66" s="9">
        <v>1</v>
      </c>
      <c r="E66" s="9">
        <v>1</v>
      </c>
      <c r="F66" s="9">
        <v>1</v>
      </c>
      <c r="G66" s="40" t="str">
        <f t="shared" ref="G66:G97" si="7">CONCATENATE( B66, IF(B66&lt;&gt;"",",",""), C66, IF(C66&lt;&gt;"",",",""),  D66, IF(D66&lt;&gt;"",",",""),  E66, IF(F66&lt;&gt;"",",",""), F66,)</f>
        <v>N,5,1,1,1</v>
      </c>
      <c r="H66" s="9">
        <f>IF(F66=1,'Indirect Model Parameters'!$G$21,'Indirect Model Parameters'!$G$22)</f>
        <v>0.49</v>
      </c>
      <c r="I66" s="9">
        <f>IF(AND(C66&lt;3,D66=1),1,IF(AND(C66&lt;3,D66=2),0,IF(AND(C66&gt;2,D66=1,E66 = 1),1-Model_Matched_Parameters!$K$4,IF(AND(C66&gt;2,D66=1,E66 = 2),Model_Matched_Parameters!$K$5,IF(AND(C66&gt;2, D66 = 2, E66 = 1),Model_Matched_Parameters!$K$4,Model_Matched_Parameters!$K$5)))))</f>
        <v>0.95</v>
      </c>
      <c r="J66" s="9">
        <f>IF(SUMIFS('Indirect Model Parameters'!$G$11:$G$16,'Indirect Model Parameters'!$D$11:$D$16,Pop_Init!E66,'Indirect Model Parameters'!$E$11:$E$16,Pop_Init!F66) = 0,'Indirect Model Parameters'!$G$17,'Indirect Model Parameters'!$G$18*SUMIFS('Indirect Model Parameters'!$G$11:$G$16,'Indirect Model Parameters'!$D$11:$D$16,Pop_Init!E66,'Indirect Model Parameters'!$E$11:$E$16,Pop_Init!F66))</f>
        <v>0.7</v>
      </c>
      <c r="L66" s="9">
        <f t="shared" si="2"/>
        <v>0.32584999999999997</v>
      </c>
      <c r="M66" s="9">
        <f t="shared" si="3"/>
        <v>6.622967479674792E-2</v>
      </c>
      <c r="N66" s="38">
        <f>M66*'Indirect Model Parameters'!$G$10</f>
        <v>6622.9674796747922</v>
      </c>
    </row>
    <row r="67" spans="1:14" ht="32">
      <c r="A67" s="1" t="str">
        <f t="shared" si="6"/>
        <v>Population in TB compartment  LTBI, on IPT with  Multidrug-resistant (MDR-TB) in HIV compartment  HIV-negative and Male</v>
      </c>
      <c r="B67" s="8" t="s">
        <v>257</v>
      </c>
      <c r="C67" s="8">
        <v>5</v>
      </c>
      <c r="D67" s="9">
        <v>2</v>
      </c>
      <c r="E67" s="9">
        <v>1</v>
      </c>
      <c r="F67" s="9">
        <v>1</v>
      </c>
      <c r="G67" s="40" t="str">
        <f t="shared" si="7"/>
        <v>N,5,2,1,1</v>
      </c>
      <c r="H67" s="9">
        <f>IF(F67=1,'Indirect Model Parameters'!$G$21,'Indirect Model Parameters'!$G$22)</f>
        <v>0.49</v>
      </c>
      <c r="I67" s="9">
        <f>IF(AND(C67&lt;3,D67=1),1,IF(AND(C67&lt;3,D67=2),0,IF(AND(C67&gt;2,D67=1,E67 = 1),1-Model_Matched_Parameters!$K$4,IF(AND(C67&gt;2,D67=1,E67 = 2),Model_Matched_Parameters!$K$5,IF(AND(C67&gt;2, D67 = 2, E67 = 1),Model_Matched_Parameters!$K$4,Model_Matched_Parameters!$K$5)))))</f>
        <v>0.05</v>
      </c>
      <c r="J67" s="9">
        <f>IF(SUMIFS('Indirect Model Parameters'!$G$11:$G$16,'Indirect Model Parameters'!$D$11:$D$16,Pop_Init!E67,'Indirect Model Parameters'!$E$11:$E$16,Pop_Init!F67) = 0,'Indirect Model Parameters'!$G$17,'Indirect Model Parameters'!$G$18*SUMIFS('Indirect Model Parameters'!$G$11:$G$16,'Indirect Model Parameters'!$D$11:$D$16,Pop_Init!E67,'Indirect Model Parameters'!$E$11:$E$16,Pop_Init!F67))</f>
        <v>0.7</v>
      </c>
      <c r="L67" s="9">
        <f t="shared" ref="L67:L129" si="8">PRODUCT(H67:J67)</f>
        <v>1.7149999999999999E-2</v>
      </c>
      <c r="M67" s="9">
        <f t="shared" ref="M67:M129" si="9">L67/SUM($L$2:$L$129)</f>
        <v>3.4857723577235745E-3</v>
      </c>
      <c r="N67" s="38">
        <f>M67*'Indirect Model Parameters'!$G$10</f>
        <v>348.57723577235748</v>
      </c>
    </row>
    <row r="68" spans="1:14" ht="32">
      <c r="A68" s="1" t="str">
        <f t="shared" si="6"/>
        <v>Population in TB compartment  LTBI, on IPT with Drug-susceptible (DS) in HIV compartment  HIV-negative and Female</v>
      </c>
      <c r="B68" s="8" t="s">
        <v>257</v>
      </c>
      <c r="C68" s="8">
        <v>5</v>
      </c>
      <c r="D68" s="9">
        <v>1</v>
      </c>
      <c r="E68" s="9">
        <v>1</v>
      </c>
      <c r="F68" s="9">
        <v>2</v>
      </c>
      <c r="G68" s="40" t="str">
        <f t="shared" si="7"/>
        <v>N,5,1,1,2</v>
      </c>
      <c r="H68" s="9">
        <f>IF(F68=1,'Indirect Model Parameters'!$G$21,'Indirect Model Parameters'!$G$22)</f>
        <v>0.49</v>
      </c>
      <c r="I68" s="9">
        <f>IF(AND(C68&lt;3,D68=1),1,IF(AND(C68&lt;3,D68=2),0,IF(AND(C68&gt;2,D68=1,E68 = 1),1-Model_Matched_Parameters!$K$4,IF(AND(C68&gt;2,D68=1,E68 = 2),Model_Matched_Parameters!$K$5,IF(AND(C68&gt;2, D68 = 2, E68 = 1),Model_Matched_Parameters!$K$4,Model_Matched_Parameters!$K$5)))))</f>
        <v>0.95</v>
      </c>
      <c r="J68" s="9">
        <f>IF(SUMIFS('Indirect Model Parameters'!$G$11:$G$16,'Indirect Model Parameters'!$D$11:$D$16,Pop_Init!E68,'Indirect Model Parameters'!$E$11:$E$16,Pop_Init!F68) = 0,'Indirect Model Parameters'!$G$17,'Indirect Model Parameters'!$G$18*SUMIFS('Indirect Model Parameters'!$G$11:$G$16,'Indirect Model Parameters'!$D$11:$D$16,Pop_Init!E68,'Indirect Model Parameters'!$E$11:$E$16,Pop_Init!F68))</f>
        <v>0.7</v>
      </c>
      <c r="L68" s="9">
        <f t="shared" si="8"/>
        <v>0.32584999999999997</v>
      </c>
      <c r="M68" s="9">
        <f t="shared" si="9"/>
        <v>6.622967479674792E-2</v>
      </c>
      <c r="N68" s="38">
        <f>M68*'Indirect Model Parameters'!$G$10</f>
        <v>6622.9674796747922</v>
      </c>
    </row>
    <row r="69" spans="1:14" ht="32">
      <c r="A69" s="1" t="str">
        <f t="shared" si="6"/>
        <v>Population in TB compartment  LTBI, on IPT with  Multidrug-resistant (MDR-TB) in HIV compartment  HIV-negative and Female</v>
      </c>
      <c r="B69" s="8" t="s">
        <v>257</v>
      </c>
      <c r="C69" s="8">
        <v>5</v>
      </c>
      <c r="D69" s="9">
        <v>2</v>
      </c>
      <c r="E69" s="9">
        <v>1</v>
      </c>
      <c r="F69" s="9">
        <v>2</v>
      </c>
      <c r="G69" s="40" t="str">
        <f t="shared" si="7"/>
        <v>N,5,2,1,2</v>
      </c>
      <c r="H69" s="9">
        <f>IF(F69=1,'Indirect Model Parameters'!$G$21,'Indirect Model Parameters'!$G$22)</f>
        <v>0.49</v>
      </c>
      <c r="I69" s="9">
        <f>IF(AND(C69&lt;3,D69=1),1,IF(AND(C69&lt;3,D69=2),0,IF(AND(C69&gt;2,D69=1,E69 = 1),1-Model_Matched_Parameters!$K$4,IF(AND(C69&gt;2,D69=1,E69 = 2),Model_Matched_Parameters!$K$5,IF(AND(C69&gt;2, D69 = 2, E69 = 1),Model_Matched_Parameters!$K$4,Model_Matched_Parameters!$K$5)))))</f>
        <v>0.05</v>
      </c>
      <c r="J69" s="9">
        <f>IF(SUMIFS('Indirect Model Parameters'!$G$11:$G$16,'Indirect Model Parameters'!$D$11:$D$16,Pop_Init!E69,'Indirect Model Parameters'!$E$11:$E$16,Pop_Init!F69) = 0,'Indirect Model Parameters'!$G$17,'Indirect Model Parameters'!$G$18*SUMIFS('Indirect Model Parameters'!$G$11:$G$16,'Indirect Model Parameters'!$D$11:$D$16,Pop_Init!E69,'Indirect Model Parameters'!$E$11:$E$16,Pop_Init!F69))</f>
        <v>0.7</v>
      </c>
      <c r="L69" s="9">
        <f t="shared" si="8"/>
        <v>1.7149999999999999E-2</v>
      </c>
      <c r="M69" s="9">
        <f t="shared" si="9"/>
        <v>3.4857723577235745E-3</v>
      </c>
      <c r="N69" s="38">
        <f>M69*'Indirect Model Parameters'!$G$10</f>
        <v>348.57723577235748</v>
      </c>
    </row>
    <row r="70" spans="1:14" ht="32">
      <c r="A70" s="1" t="str">
        <f t="shared" si="6"/>
        <v>Population in TB compartment  LTBI, on IPT with Drug-susceptible (DS) in HIV compartment  PLHIV not on ART, CD4&gt;200 and Male</v>
      </c>
      <c r="B70" s="8" t="s">
        <v>257</v>
      </c>
      <c r="C70" s="8">
        <v>5</v>
      </c>
      <c r="D70" s="9">
        <v>1</v>
      </c>
      <c r="E70" s="9">
        <v>2</v>
      </c>
      <c r="F70" s="9">
        <v>1</v>
      </c>
      <c r="G70" s="40" t="str">
        <f t="shared" si="7"/>
        <v>N,5,1,2,1</v>
      </c>
      <c r="H70" s="9">
        <f>IF(F70=1,'Indirect Model Parameters'!$G$23,'Indirect Model Parameters'!$G$24)</f>
        <v>0.5</v>
      </c>
      <c r="I70" s="9">
        <f>IF(AND(C70&lt;3,D70=1),1,IF(AND(C70&lt;3,D70=2),0,IF(AND(C70&gt;2,D70=1,E70 = 1),1-Model_Matched_Parameters!$K$4,IF(AND(C70&gt;2,D70=1,E70 = 2),Model_Matched_Parameters!$K$5,IF(AND(C70&gt;2, D70 = 2, E70 = 1),Model_Matched_Parameters!$K$4,Model_Matched_Parameters!$K$5)))))</f>
        <v>0.05</v>
      </c>
      <c r="J70" s="9">
        <f>IF(SUMIFS('Indirect Model Parameters'!$G$11:$G$16,'Indirect Model Parameters'!$D$11:$D$16,Pop_Init!E70,'Indirect Model Parameters'!$E$11:$E$16,Pop_Init!F70) = 0,'Indirect Model Parameters'!$G$17,'Indirect Model Parameters'!$G$18*SUMIFS('Indirect Model Parameters'!$G$11:$G$16,'Indirect Model Parameters'!$D$11:$D$16,Pop_Init!E70,'Indirect Model Parameters'!$E$11:$E$16,Pop_Init!F70))</f>
        <v>0.16500000000000001</v>
      </c>
      <c r="L70" s="9">
        <f t="shared" si="8"/>
        <v>4.1250000000000002E-3</v>
      </c>
      <c r="M70" s="9">
        <f t="shared" si="9"/>
        <v>8.3841463414634091E-4</v>
      </c>
      <c r="N70" s="38">
        <f>M70*'Indirect Model Parameters'!$G$10</f>
        <v>83.841463414634092</v>
      </c>
    </row>
    <row r="71" spans="1:14" ht="48">
      <c r="A71" s="1" t="str">
        <f t="shared" si="6"/>
        <v>Population in TB compartment  LTBI, on IPT with  Multidrug-resistant (MDR-TB) in HIV compartment  PLHIV not on ART, CD4&gt;200 and Male</v>
      </c>
      <c r="B71" s="8" t="s">
        <v>257</v>
      </c>
      <c r="C71" s="8">
        <v>5</v>
      </c>
      <c r="D71" s="9">
        <v>2</v>
      </c>
      <c r="E71" s="9">
        <v>2</v>
      </c>
      <c r="F71" s="9">
        <v>1</v>
      </c>
      <c r="G71" s="40" t="str">
        <f t="shared" si="7"/>
        <v>N,5,2,2,1</v>
      </c>
      <c r="H71" s="9">
        <f>IF(F71=1,'Indirect Model Parameters'!$G$23,'Indirect Model Parameters'!$G$24)</f>
        <v>0.5</v>
      </c>
      <c r="I71" s="9">
        <f>IF(AND(C71&lt;3,D71=1),1,IF(AND(C71&lt;3,D71=2),0,IF(AND(C71&gt;2,D71=1,E71 = 1),1-Model_Matched_Parameters!$K$4,IF(AND(C71&gt;2,D71=1,E71 = 2),Model_Matched_Parameters!$K$5,IF(AND(C71&gt;2, D71 = 2, E71 = 1),Model_Matched_Parameters!$K$4,Model_Matched_Parameters!$K$5)))))</f>
        <v>0.05</v>
      </c>
      <c r="J71" s="9">
        <f>IF(SUMIFS('Indirect Model Parameters'!$G$11:$G$16,'Indirect Model Parameters'!$D$11:$D$16,Pop_Init!E71,'Indirect Model Parameters'!$E$11:$E$16,Pop_Init!F71) = 0,'Indirect Model Parameters'!$G$17,'Indirect Model Parameters'!$G$18*SUMIFS('Indirect Model Parameters'!$G$11:$G$16,'Indirect Model Parameters'!$D$11:$D$16,Pop_Init!E71,'Indirect Model Parameters'!$E$11:$E$16,Pop_Init!F71))</f>
        <v>0.16500000000000001</v>
      </c>
      <c r="L71" s="9">
        <f t="shared" si="8"/>
        <v>4.1250000000000002E-3</v>
      </c>
      <c r="M71" s="9">
        <f t="shared" si="9"/>
        <v>8.3841463414634091E-4</v>
      </c>
      <c r="N71" s="38">
        <f>M71*'Indirect Model Parameters'!$G$10</f>
        <v>83.841463414634092</v>
      </c>
    </row>
    <row r="72" spans="1:14" ht="32">
      <c r="A72" s="1" t="str">
        <f t="shared" si="6"/>
        <v>Population in TB compartment  LTBI, on IPT with Drug-susceptible (DS) in HIV compartment  PLHIV not on ART, CD4&gt;200 and Female</v>
      </c>
      <c r="B72" s="8" t="s">
        <v>257</v>
      </c>
      <c r="C72" s="8">
        <v>5</v>
      </c>
      <c r="D72" s="9">
        <v>1</v>
      </c>
      <c r="E72" s="9">
        <v>2</v>
      </c>
      <c r="F72" s="9">
        <v>2</v>
      </c>
      <c r="G72" s="40" t="str">
        <f t="shared" si="7"/>
        <v>N,5,1,2,2</v>
      </c>
      <c r="H72" s="9">
        <f>IF(F72=1,'Indirect Model Parameters'!$G$23,'Indirect Model Parameters'!$G$24)</f>
        <v>0.5</v>
      </c>
      <c r="I72" s="9">
        <f>IF(AND(C72&lt;3,D72=1),1,IF(AND(C72&lt;3,D72=2),0,IF(AND(C72&gt;2,D72=1,E72 = 1),1-Model_Matched_Parameters!$K$4,IF(AND(C72&gt;2,D72=1,E72 = 2),Model_Matched_Parameters!$K$5,IF(AND(C72&gt;2, D72 = 2, E72 = 1),Model_Matched_Parameters!$K$4,Model_Matched_Parameters!$K$5)))))</f>
        <v>0.05</v>
      </c>
      <c r="J72" s="9">
        <f>IF(SUMIFS('Indirect Model Parameters'!$G$11:$G$16,'Indirect Model Parameters'!$D$11:$D$16,Pop_Init!E72,'Indirect Model Parameters'!$E$11:$E$16,Pop_Init!F72) = 0,'Indirect Model Parameters'!$G$17,'Indirect Model Parameters'!$G$18*SUMIFS('Indirect Model Parameters'!$G$11:$G$16,'Indirect Model Parameters'!$D$11:$D$16,Pop_Init!E72,'Indirect Model Parameters'!$E$11:$E$16,Pop_Init!F72))</f>
        <v>0.16500000000000001</v>
      </c>
      <c r="L72" s="9">
        <f t="shared" si="8"/>
        <v>4.1250000000000002E-3</v>
      </c>
      <c r="M72" s="9">
        <f t="shared" si="9"/>
        <v>8.3841463414634091E-4</v>
      </c>
      <c r="N72" s="38">
        <f>M72*'Indirect Model Parameters'!$G$10</f>
        <v>83.841463414634092</v>
      </c>
    </row>
    <row r="73" spans="1:14" ht="48">
      <c r="A73" s="1" t="str">
        <f t="shared" si="6"/>
        <v>Population in TB compartment  LTBI, on IPT with  Multidrug-resistant (MDR-TB) in HIV compartment  PLHIV not on ART, CD4&gt;200 and Female</v>
      </c>
      <c r="B73" s="8" t="s">
        <v>257</v>
      </c>
      <c r="C73" s="8">
        <v>5</v>
      </c>
      <c r="D73" s="9">
        <v>2</v>
      </c>
      <c r="E73" s="9">
        <v>2</v>
      </c>
      <c r="F73" s="9">
        <v>2</v>
      </c>
      <c r="G73" s="40" t="str">
        <f t="shared" si="7"/>
        <v>N,5,2,2,2</v>
      </c>
      <c r="H73" s="9">
        <f>IF(F73=1,'Indirect Model Parameters'!$G$23,'Indirect Model Parameters'!$G$24)</f>
        <v>0.5</v>
      </c>
      <c r="I73" s="9">
        <f>IF(AND(C73&lt;3,D73=1),1,IF(AND(C73&lt;3,D73=2),0,IF(AND(C73&gt;2,D73=1,E73 = 1),1-Model_Matched_Parameters!$K$4,IF(AND(C73&gt;2,D73=1,E73 = 2),Model_Matched_Parameters!$K$5,IF(AND(C73&gt;2, D73 = 2, E73 = 1),Model_Matched_Parameters!$K$4,Model_Matched_Parameters!$K$5)))))</f>
        <v>0.05</v>
      </c>
      <c r="J73" s="9">
        <f>IF(SUMIFS('Indirect Model Parameters'!$G$11:$G$16,'Indirect Model Parameters'!$D$11:$D$16,Pop_Init!E73,'Indirect Model Parameters'!$E$11:$E$16,Pop_Init!F73) = 0,'Indirect Model Parameters'!$G$17,'Indirect Model Parameters'!$G$18*SUMIFS('Indirect Model Parameters'!$G$11:$G$16,'Indirect Model Parameters'!$D$11:$D$16,Pop_Init!E73,'Indirect Model Parameters'!$E$11:$E$16,Pop_Init!F73))</f>
        <v>0.16500000000000001</v>
      </c>
      <c r="L73" s="9">
        <f t="shared" si="8"/>
        <v>4.1250000000000002E-3</v>
      </c>
      <c r="M73" s="9">
        <f t="shared" si="9"/>
        <v>8.3841463414634091E-4</v>
      </c>
      <c r="N73" s="38">
        <f>M73*'Indirect Model Parameters'!$G$10</f>
        <v>83.841463414634092</v>
      </c>
    </row>
    <row r="74" spans="1:14" ht="32">
      <c r="A74" s="1" t="str">
        <f t="shared" si="6"/>
        <v>Population in TB compartment  LTBI, on IPT with Drug-susceptible (DS) in HIV compartment  PLHIV not on ART, CD4≤200 and Male</v>
      </c>
      <c r="B74" s="8" t="s">
        <v>257</v>
      </c>
      <c r="C74" s="8">
        <v>5</v>
      </c>
      <c r="D74" s="9">
        <v>1</v>
      </c>
      <c r="E74" s="9">
        <v>3</v>
      </c>
      <c r="F74" s="9">
        <v>1</v>
      </c>
      <c r="G74" s="40" t="str">
        <f t="shared" si="7"/>
        <v>N,5,1,3,1</v>
      </c>
      <c r="H74" s="9">
        <f>IF(F74=1,'Indirect Model Parameters'!$G$23,'Indirect Model Parameters'!$G$24)</f>
        <v>0.5</v>
      </c>
      <c r="I74" s="9">
        <f>IF(AND(C74&lt;3,D74=1),1,IF(AND(C74&lt;3,D74=2),0,IF(AND(C74&gt;2,D74=1,E74 = 1),1-Model_Matched_Parameters!$K$4,IF(AND(C74&gt;2,D74=1,E74 = 2),Model_Matched_Parameters!$K$5,IF(AND(C74&gt;2, D74 = 2, E74 = 1),Model_Matched_Parameters!$K$4,Model_Matched_Parameters!$K$5)))))</f>
        <v>0.05</v>
      </c>
      <c r="J74" s="9">
        <f>IF(SUMIFS('Indirect Model Parameters'!$G$11:$G$16,'Indirect Model Parameters'!$D$11:$D$16,Pop_Init!E74,'Indirect Model Parameters'!$E$11:$E$16,Pop_Init!F74) = 0,'Indirect Model Parameters'!$G$17,'Indirect Model Parameters'!$G$18*SUMIFS('Indirect Model Parameters'!$G$11:$G$16,'Indirect Model Parameters'!$D$11:$D$16,Pop_Init!E74,'Indirect Model Parameters'!$E$11:$E$16,Pop_Init!F74))</f>
        <v>5.3999999999999979E-2</v>
      </c>
      <c r="L74" s="9">
        <f t="shared" si="8"/>
        <v>1.3499999999999996E-3</v>
      </c>
      <c r="M74" s="9">
        <f t="shared" si="9"/>
        <v>2.7439024390243878E-4</v>
      </c>
      <c r="N74" s="38">
        <f>M74*'Indirect Model Parameters'!$G$10</f>
        <v>27.43902439024388</v>
      </c>
    </row>
    <row r="75" spans="1:14" ht="48">
      <c r="A75" s="1" t="str">
        <f t="shared" si="6"/>
        <v>Population in TB compartment  LTBI, on IPT with  Multidrug-resistant (MDR-TB) in HIV compartment  PLHIV not on ART, CD4≤200 and Male</v>
      </c>
      <c r="B75" s="8" t="s">
        <v>257</v>
      </c>
      <c r="C75" s="8">
        <v>5</v>
      </c>
      <c r="D75" s="9">
        <v>2</v>
      </c>
      <c r="E75" s="9">
        <v>3</v>
      </c>
      <c r="F75" s="9">
        <v>1</v>
      </c>
      <c r="G75" s="40" t="str">
        <f t="shared" si="7"/>
        <v>N,5,2,3,1</v>
      </c>
      <c r="H75" s="9">
        <f>IF(F75=1,'Indirect Model Parameters'!$G$23,'Indirect Model Parameters'!$G$24)</f>
        <v>0.5</v>
      </c>
      <c r="I75" s="9">
        <f>IF(AND(C75&lt;3,D75=1),1,IF(AND(C75&lt;3,D75=2),0,IF(AND(C75&gt;2,D75=1,E75 = 1),1-Model_Matched_Parameters!$K$4,IF(AND(C75&gt;2,D75=1,E75 = 2),Model_Matched_Parameters!$K$5,IF(AND(C75&gt;2, D75 = 2, E75 = 1),Model_Matched_Parameters!$K$4,Model_Matched_Parameters!$K$5)))))</f>
        <v>0.05</v>
      </c>
      <c r="J75" s="9">
        <f>IF(SUMIFS('Indirect Model Parameters'!$G$11:$G$16,'Indirect Model Parameters'!$D$11:$D$16,Pop_Init!E75,'Indirect Model Parameters'!$E$11:$E$16,Pop_Init!F75) = 0,'Indirect Model Parameters'!$G$17,'Indirect Model Parameters'!$G$18*SUMIFS('Indirect Model Parameters'!$G$11:$G$16,'Indirect Model Parameters'!$D$11:$D$16,Pop_Init!E75,'Indirect Model Parameters'!$E$11:$E$16,Pop_Init!F75))</f>
        <v>5.3999999999999979E-2</v>
      </c>
      <c r="L75" s="9">
        <f t="shared" si="8"/>
        <v>1.3499999999999996E-3</v>
      </c>
      <c r="M75" s="9">
        <f t="shared" si="9"/>
        <v>2.7439024390243878E-4</v>
      </c>
      <c r="N75" s="38">
        <f>M75*'Indirect Model Parameters'!$G$10</f>
        <v>27.43902439024388</v>
      </c>
    </row>
    <row r="76" spans="1:14" ht="32">
      <c r="A76" s="1" t="str">
        <f t="shared" si="6"/>
        <v>Population in TB compartment  LTBI, on IPT with Drug-susceptible (DS) in HIV compartment  PLHIV not on ART, CD4≤200 and Female</v>
      </c>
      <c r="B76" s="8" t="s">
        <v>257</v>
      </c>
      <c r="C76" s="8">
        <v>5</v>
      </c>
      <c r="D76" s="9">
        <v>1</v>
      </c>
      <c r="E76" s="9">
        <v>3</v>
      </c>
      <c r="F76" s="9">
        <v>2</v>
      </c>
      <c r="G76" s="40" t="str">
        <f t="shared" si="7"/>
        <v>N,5,1,3,2</v>
      </c>
      <c r="H76" s="9">
        <f>IF(F76=1,'Indirect Model Parameters'!$G$23,'Indirect Model Parameters'!$G$24)</f>
        <v>0.5</v>
      </c>
      <c r="I76" s="9">
        <f>IF(AND(C76&lt;3,D76=1),1,IF(AND(C76&lt;3,D76=2),0,IF(AND(C76&gt;2,D76=1,E76 = 1),1-Model_Matched_Parameters!$K$4,IF(AND(C76&gt;2,D76=1,E76 = 2),Model_Matched_Parameters!$K$5,IF(AND(C76&gt;2, D76 = 2, E76 = 1),Model_Matched_Parameters!$K$4,Model_Matched_Parameters!$K$5)))))</f>
        <v>0.05</v>
      </c>
      <c r="J76" s="9">
        <f>IF(SUMIFS('Indirect Model Parameters'!$G$11:$G$16,'Indirect Model Parameters'!$D$11:$D$16,Pop_Init!E76,'Indirect Model Parameters'!$E$11:$E$16,Pop_Init!F76) = 0,'Indirect Model Parameters'!$G$17,'Indirect Model Parameters'!$G$18*SUMIFS('Indirect Model Parameters'!$G$11:$G$16,'Indirect Model Parameters'!$D$11:$D$16,Pop_Init!E76,'Indirect Model Parameters'!$E$11:$E$16,Pop_Init!F76))</f>
        <v>5.3999999999999979E-2</v>
      </c>
      <c r="L76" s="9">
        <f t="shared" si="8"/>
        <v>1.3499999999999996E-3</v>
      </c>
      <c r="M76" s="9">
        <f t="shared" si="9"/>
        <v>2.7439024390243878E-4</v>
      </c>
      <c r="N76" s="38">
        <f>M76*'Indirect Model Parameters'!$G$10</f>
        <v>27.43902439024388</v>
      </c>
    </row>
    <row r="77" spans="1:14" ht="48">
      <c r="A77" s="1" t="str">
        <f t="shared" si="6"/>
        <v>Population in TB compartment  LTBI, on IPT with  Multidrug-resistant (MDR-TB) in HIV compartment  PLHIV not on ART, CD4≤200 and Female</v>
      </c>
      <c r="B77" s="8" t="s">
        <v>257</v>
      </c>
      <c r="C77" s="8">
        <v>5</v>
      </c>
      <c r="D77" s="9">
        <v>2</v>
      </c>
      <c r="E77" s="9">
        <v>3</v>
      </c>
      <c r="F77" s="9">
        <v>2</v>
      </c>
      <c r="G77" s="40" t="str">
        <f t="shared" si="7"/>
        <v>N,5,2,3,2</v>
      </c>
      <c r="H77" s="9">
        <f>IF(F77=1,'Indirect Model Parameters'!$G$23,'Indirect Model Parameters'!$G$24)</f>
        <v>0.5</v>
      </c>
      <c r="I77" s="9">
        <f>IF(AND(C77&lt;3,D77=1),1,IF(AND(C77&lt;3,D77=2),0,IF(AND(C77&gt;2,D77=1,E77 = 1),1-Model_Matched_Parameters!$K$4,IF(AND(C77&gt;2,D77=1,E77 = 2),Model_Matched_Parameters!$K$5,IF(AND(C77&gt;2, D77 = 2, E77 = 1),Model_Matched_Parameters!$K$4,Model_Matched_Parameters!$K$5)))))</f>
        <v>0.05</v>
      </c>
      <c r="J77" s="9">
        <f>IF(SUMIFS('Indirect Model Parameters'!$G$11:$G$16,'Indirect Model Parameters'!$D$11:$D$16,Pop_Init!E77,'Indirect Model Parameters'!$E$11:$E$16,Pop_Init!F77) = 0,'Indirect Model Parameters'!$G$17,'Indirect Model Parameters'!$G$18*SUMIFS('Indirect Model Parameters'!$G$11:$G$16,'Indirect Model Parameters'!$D$11:$D$16,Pop_Init!E77,'Indirect Model Parameters'!$E$11:$E$16,Pop_Init!F77))</f>
        <v>5.3999999999999979E-2</v>
      </c>
      <c r="L77" s="9">
        <f t="shared" si="8"/>
        <v>1.3499999999999996E-3</v>
      </c>
      <c r="M77" s="9">
        <f t="shared" si="9"/>
        <v>2.7439024390243878E-4</v>
      </c>
      <c r="N77" s="38">
        <f>M77*'Indirect Model Parameters'!$G$10</f>
        <v>27.43902439024388</v>
      </c>
    </row>
    <row r="78" spans="1:14" ht="32">
      <c r="A78" s="1" t="str">
        <f t="shared" si="6"/>
        <v>Population in TB compartment  LTBI, on IPT with Drug-susceptible (DS) in HIV compartment  PLHIV and on ART and Male</v>
      </c>
      <c r="B78" s="8" t="s">
        <v>257</v>
      </c>
      <c r="C78" s="8">
        <v>5</v>
      </c>
      <c r="D78" s="9">
        <v>1</v>
      </c>
      <c r="E78" s="9">
        <v>4</v>
      </c>
      <c r="F78" s="9">
        <v>1</v>
      </c>
      <c r="G78" s="40" t="str">
        <f t="shared" si="7"/>
        <v>N,5,1,4,1</v>
      </c>
      <c r="H78" s="9">
        <f>IF(F78=1,'Indirect Model Parameters'!$G$23,'Indirect Model Parameters'!$G$24)</f>
        <v>0.5</v>
      </c>
      <c r="I78" s="9">
        <f>IF(AND(C78&lt;3,D78=1),1,IF(AND(C78&lt;3,D78=2),0,IF(AND(C78&gt;2,D78=1,E78 = 1),1-Model_Matched_Parameters!$K$4,IF(AND(C78&gt;2,D78=1,E78 = 2),Model_Matched_Parameters!$K$5,IF(AND(C78&gt;2, D78 = 2, E78 = 1),Model_Matched_Parameters!$K$4,Model_Matched_Parameters!$K$5)))))</f>
        <v>0.05</v>
      </c>
      <c r="J78" s="9">
        <f>IF(SUMIFS('Indirect Model Parameters'!$G$11:$G$16,'Indirect Model Parameters'!$D$11:$D$16,Pop_Init!E78,'Indirect Model Parameters'!$E$11:$E$16,Pop_Init!F78) = 0,'Indirect Model Parameters'!$G$17,'Indirect Model Parameters'!$G$18*SUMIFS('Indirect Model Parameters'!$G$11:$G$16,'Indirect Model Parameters'!$D$11:$D$16,Pop_Init!E78,'Indirect Model Parameters'!$E$11:$E$16,Pop_Init!F78))</f>
        <v>8.1000000000000003E-2</v>
      </c>
      <c r="L78" s="9">
        <f t="shared" si="8"/>
        <v>2.0250000000000003E-3</v>
      </c>
      <c r="M78" s="9">
        <f t="shared" si="9"/>
        <v>4.1158536585365831E-4</v>
      </c>
      <c r="N78" s="38">
        <f>M78*'Indirect Model Parameters'!$G$10</f>
        <v>41.15853658536583</v>
      </c>
    </row>
    <row r="79" spans="1:14" ht="48">
      <c r="A79" s="1" t="str">
        <f t="shared" si="6"/>
        <v>Population in TB compartment  LTBI, on IPT with  Multidrug-resistant (MDR-TB) in HIV compartment  PLHIV and on ART and Male</v>
      </c>
      <c r="B79" s="8" t="s">
        <v>257</v>
      </c>
      <c r="C79" s="8">
        <v>5</v>
      </c>
      <c r="D79" s="9">
        <v>2</v>
      </c>
      <c r="E79" s="9">
        <v>4</v>
      </c>
      <c r="F79" s="9">
        <v>1</v>
      </c>
      <c r="G79" s="40" t="str">
        <f t="shared" si="7"/>
        <v>N,5,2,4,1</v>
      </c>
      <c r="H79" s="9">
        <f>IF(F79=1,'Indirect Model Parameters'!$G$23,'Indirect Model Parameters'!$G$24)</f>
        <v>0.5</v>
      </c>
      <c r="I79" s="9">
        <f>IF(AND(C79&lt;3,D79=1),1,IF(AND(C79&lt;3,D79=2),0,IF(AND(C79&gt;2,D79=1,E79 = 1),1-Model_Matched_Parameters!$K$4,IF(AND(C79&gt;2,D79=1,E79 = 2),Model_Matched_Parameters!$K$5,IF(AND(C79&gt;2, D79 = 2, E79 = 1),Model_Matched_Parameters!$K$4,Model_Matched_Parameters!$K$5)))))</f>
        <v>0.05</v>
      </c>
      <c r="J79" s="9">
        <f>IF(SUMIFS('Indirect Model Parameters'!$G$11:$G$16,'Indirect Model Parameters'!$D$11:$D$16,Pop_Init!E79,'Indirect Model Parameters'!$E$11:$E$16,Pop_Init!F79) = 0,'Indirect Model Parameters'!$G$17,'Indirect Model Parameters'!$G$18*SUMIFS('Indirect Model Parameters'!$G$11:$G$16,'Indirect Model Parameters'!$D$11:$D$16,Pop_Init!E79,'Indirect Model Parameters'!$E$11:$E$16,Pop_Init!F79))</f>
        <v>8.1000000000000003E-2</v>
      </c>
      <c r="L79" s="9">
        <f t="shared" si="8"/>
        <v>2.0250000000000003E-3</v>
      </c>
      <c r="M79" s="9">
        <f t="shared" si="9"/>
        <v>4.1158536585365831E-4</v>
      </c>
      <c r="N79" s="38">
        <f>M79*'Indirect Model Parameters'!$G$10</f>
        <v>41.15853658536583</v>
      </c>
    </row>
    <row r="80" spans="1:14" ht="32">
      <c r="A80" s="1" t="str">
        <f t="shared" si="6"/>
        <v>Population in TB compartment  LTBI, on IPT with Drug-susceptible (DS) in HIV compartment  PLHIV and on ART and Female</v>
      </c>
      <c r="B80" s="8" t="s">
        <v>257</v>
      </c>
      <c r="C80" s="8">
        <v>5</v>
      </c>
      <c r="D80" s="9">
        <v>1</v>
      </c>
      <c r="E80" s="9">
        <v>4</v>
      </c>
      <c r="F80" s="9">
        <v>2</v>
      </c>
      <c r="G80" s="40" t="str">
        <f t="shared" si="7"/>
        <v>N,5,1,4,2</v>
      </c>
      <c r="H80" s="9">
        <f>IF(F80=1,'Indirect Model Parameters'!$G$23,'Indirect Model Parameters'!$G$24)</f>
        <v>0.5</v>
      </c>
      <c r="I80" s="9">
        <f>IF(AND(C80&lt;3,D80=1),1,IF(AND(C80&lt;3,D80=2),0,IF(AND(C80&gt;2,D80=1,E80 = 1),1-Model_Matched_Parameters!$K$4,IF(AND(C80&gt;2,D80=1,E80 = 2),Model_Matched_Parameters!$K$5,IF(AND(C80&gt;2, D80 = 2, E80 = 1),Model_Matched_Parameters!$K$4,Model_Matched_Parameters!$K$5)))))</f>
        <v>0.05</v>
      </c>
      <c r="J80" s="9">
        <f>IF(SUMIFS('Indirect Model Parameters'!$G$11:$G$16,'Indirect Model Parameters'!$D$11:$D$16,Pop_Init!E80,'Indirect Model Parameters'!$E$11:$E$16,Pop_Init!F80) = 0,'Indirect Model Parameters'!$G$17,'Indirect Model Parameters'!$G$18*SUMIFS('Indirect Model Parameters'!$G$11:$G$16,'Indirect Model Parameters'!$D$11:$D$16,Pop_Init!E80,'Indirect Model Parameters'!$E$11:$E$16,Pop_Init!F80))</f>
        <v>8.1000000000000003E-2</v>
      </c>
      <c r="L80" s="9">
        <f t="shared" si="8"/>
        <v>2.0250000000000003E-3</v>
      </c>
      <c r="M80" s="9">
        <f t="shared" si="9"/>
        <v>4.1158536585365831E-4</v>
      </c>
      <c r="N80" s="38">
        <f>M80*'Indirect Model Parameters'!$G$10</f>
        <v>41.15853658536583</v>
      </c>
    </row>
    <row r="81" spans="1:14" ht="48">
      <c r="A81" s="1" t="str">
        <f t="shared" si="6"/>
        <v>Population in TB compartment  LTBI, on IPT with  Multidrug-resistant (MDR-TB) in HIV compartment  PLHIV and on ART and Female</v>
      </c>
      <c r="B81" s="8" t="s">
        <v>257</v>
      </c>
      <c r="C81" s="8">
        <v>5</v>
      </c>
      <c r="D81" s="9">
        <v>2</v>
      </c>
      <c r="E81" s="9">
        <v>4</v>
      </c>
      <c r="F81" s="9">
        <v>2</v>
      </c>
      <c r="G81" s="40" t="str">
        <f t="shared" si="7"/>
        <v>N,5,2,4,2</v>
      </c>
      <c r="H81" s="9">
        <f>IF(F81=1,'Indirect Model Parameters'!$G$23,'Indirect Model Parameters'!$G$24)</f>
        <v>0.5</v>
      </c>
      <c r="I81" s="9">
        <f>IF(AND(C81&lt;3,D81=1),1,IF(AND(C81&lt;3,D81=2),0,IF(AND(C81&gt;2,D81=1,E81 = 1),1-Model_Matched_Parameters!$K$4,IF(AND(C81&gt;2,D81=1,E81 = 2),Model_Matched_Parameters!$K$5,IF(AND(C81&gt;2, D81 = 2, E81 = 1),Model_Matched_Parameters!$K$4,Model_Matched_Parameters!$K$5)))))</f>
        <v>0.05</v>
      </c>
      <c r="J81" s="9">
        <f>IF(SUMIFS('Indirect Model Parameters'!$G$11:$G$16,'Indirect Model Parameters'!$D$11:$D$16,Pop_Init!E81,'Indirect Model Parameters'!$E$11:$E$16,Pop_Init!F81) = 0,'Indirect Model Parameters'!$G$17,'Indirect Model Parameters'!$G$18*SUMIFS('Indirect Model Parameters'!$G$11:$G$16,'Indirect Model Parameters'!$D$11:$D$16,Pop_Init!E81,'Indirect Model Parameters'!$E$11:$E$16,Pop_Init!F81))</f>
        <v>8.1000000000000003E-2</v>
      </c>
      <c r="L81" s="9">
        <f t="shared" si="8"/>
        <v>2.0250000000000003E-3</v>
      </c>
      <c r="M81" s="9">
        <f t="shared" si="9"/>
        <v>4.1158536585365831E-4</v>
      </c>
      <c r="N81" s="38">
        <f>M81*'Indirect Model Parameters'!$G$10</f>
        <v>41.15853658536583</v>
      </c>
    </row>
    <row r="82" spans="1:14" ht="32">
      <c r="A82" s="1" t="str">
        <f t="shared" si="6"/>
        <v>Population in TB compartment  Active with Drug-susceptible (DS) in HIV compartment  HIV-negative and Male</v>
      </c>
      <c r="B82" s="8" t="s">
        <v>257</v>
      </c>
      <c r="C82" s="8">
        <v>6</v>
      </c>
      <c r="D82" s="9">
        <v>1</v>
      </c>
      <c r="E82" s="9">
        <v>1</v>
      </c>
      <c r="F82" s="9">
        <v>1</v>
      </c>
      <c r="G82" s="40" t="str">
        <f t="shared" si="7"/>
        <v>N,6,1,1,1</v>
      </c>
      <c r="H82" s="9">
        <f>IF(F82=1,'Indirect Model Parameters'!$G$25,'Indirect Model Parameters'!$G$26)</f>
        <v>0.01</v>
      </c>
      <c r="I82" s="9">
        <f>IF(AND(C82&lt;3,D82=1),1,IF(AND(C82&lt;3,D82=2),0,IF(AND(C82&gt;2,D82=1,E82 = 1),1-Model_Matched_Parameters!$K$4,IF(AND(C82&gt;2,D82=1,E82 = 2),Model_Matched_Parameters!$K$5,IF(AND(C82&gt;2, D82 = 2, E82 = 1),Model_Matched_Parameters!$K$4,Model_Matched_Parameters!$K$5)))))</f>
        <v>0.95</v>
      </c>
      <c r="J82" s="9">
        <f>IF(SUMIFS('Indirect Model Parameters'!$G$11:$G$16,'Indirect Model Parameters'!$D$11:$D$16,Pop_Init!E82,'Indirect Model Parameters'!$E$11:$E$16,Pop_Init!F82) = 0,'Indirect Model Parameters'!$G$17,'Indirect Model Parameters'!$G$18*SUMIFS('Indirect Model Parameters'!$G$11:$G$16,'Indirect Model Parameters'!$D$11:$D$16,Pop_Init!E82,'Indirect Model Parameters'!$E$11:$E$16,Pop_Init!F82))</f>
        <v>0.7</v>
      </c>
      <c r="L82" s="9">
        <f t="shared" si="8"/>
        <v>6.6499999999999997E-3</v>
      </c>
      <c r="M82" s="9">
        <f t="shared" si="9"/>
        <v>1.3516260162601615E-3</v>
      </c>
      <c r="N82" s="38">
        <f>M82*'Indirect Model Parameters'!$G$10</f>
        <v>135.16260162601614</v>
      </c>
    </row>
    <row r="83" spans="1:14" ht="32">
      <c r="A83" s="1" t="str">
        <f t="shared" si="6"/>
        <v>Population in TB compartment  Active with  Multidrug-resistant (MDR-TB) in HIV compartment  HIV-negative and Male</v>
      </c>
      <c r="B83" s="8" t="s">
        <v>257</v>
      </c>
      <c r="C83" s="8">
        <v>6</v>
      </c>
      <c r="D83" s="9">
        <v>2</v>
      </c>
      <c r="E83" s="9">
        <v>1</v>
      </c>
      <c r="F83" s="9">
        <v>1</v>
      </c>
      <c r="G83" s="40" t="str">
        <f t="shared" si="7"/>
        <v>N,6,2,1,1</v>
      </c>
      <c r="H83" s="9">
        <f>IF(F83=1,'Indirect Model Parameters'!$G$25,'Indirect Model Parameters'!$G$26)</f>
        <v>0.01</v>
      </c>
      <c r="I83" s="9">
        <f>IF(AND(C83&lt;3,D83=1),1,IF(AND(C83&lt;3,D83=2),0,IF(AND(C83&gt;2,D83=1,E83 = 1),1-Model_Matched_Parameters!$K$4,IF(AND(C83&gt;2,D83=1,E83 = 2),Model_Matched_Parameters!$K$5,IF(AND(C83&gt;2, D83 = 2, E83 = 1),Model_Matched_Parameters!$K$4,Model_Matched_Parameters!$K$5)))))</f>
        <v>0.05</v>
      </c>
      <c r="J83" s="9">
        <f>IF(SUMIFS('Indirect Model Parameters'!$G$11:$G$16,'Indirect Model Parameters'!$D$11:$D$16,Pop_Init!E83,'Indirect Model Parameters'!$E$11:$E$16,Pop_Init!F83) = 0,'Indirect Model Parameters'!$G$17,'Indirect Model Parameters'!$G$18*SUMIFS('Indirect Model Parameters'!$G$11:$G$16,'Indirect Model Parameters'!$D$11:$D$16,Pop_Init!E83,'Indirect Model Parameters'!$E$11:$E$16,Pop_Init!F83))</f>
        <v>0.7</v>
      </c>
      <c r="L83" s="9">
        <f t="shared" si="8"/>
        <v>3.5E-4</v>
      </c>
      <c r="M83" s="9">
        <f t="shared" si="9"/>
        <v>7.1138211382113767E-5</v>
      </c>
      <c r="N83" s="38">
        <f>M83*'Indirect Model Parameters'!$G$10</f>
        <v>7.1138211382113763</v>
      </c>
    </row>
    <row r="84" spans="1:14" ht="32">
      <c r="A84" s="1" t="str">
        <f t="shared" si="6"/>
        <v>Population in TB compartment  Active with Drug-susceptible (DS) in HIV compartment  HIV-negative and Female</v>
      </c>
      <c r="B84" s="8" t="s">
        <v>257</v>
      </c>
      <c r="C84" s="8">
        <v>6</v>
      </c>
      <c r="D84" s="9">
        <v>1</v>
      </c>
      <c r="E84" s="9">
        <v>1</v>
      </c>
      <c r="F84" s="9">
        <v>2</v>
      </c>
      <c r="G84" s="40" t="str">
        <f t="shared" si="7"/>
        <v>N,6,1,1,2</v>
      </c>
      <c r="H84" s="9">
        <f>IF(F84=1,'Indirect Model Parameters'!$G$25,'Indirect Model Parameters'!$G$26)</f>
        <v>0.01</v>
      </c>
      <c r="I84" s="9">
        <f>IF(AND(C84&lt;3,D84=1),1,IF(AND(C84&lt;3,D84=2),0,IF(AND(C84&gt;2,D84=1,E84 = 1),1-Model_Matched_Parameters!$K$4,IF(AND(C84&gt;2,D84=1,E84 = 2),Model_Matched_Parameters!$K$5,IF(AND(C84&gt;2, D84 = 2, E84 = 1),Model_Matched_Parameters!$K$4,Model_Matched_Parameters!$K$5)))))</f>
        <v>0.95</v>
      </c>
      <c r="J84" s="9">
        <f>IF(SUMIFS('Indirect Model Parameters'!$G$11:$G$16,'Indirect Model Parameters'!$D$11:$D$16,Pop_Init!E84,'Indirect Model Parameters'!$E$11:$E$16,Pop_Init!F84) = 0,'Indirect Model Parameters'!$G$17,'Indirect Model Parameters'!$G$18*SUMIFS('Indirect Model Parameters'!$G$11:$G$16,'Indirect Model Parameters'!$D$11:$D$16,Pop_Init!E84,'Indirect Model Parameters'!$E$11:$E$16,Pop_Init!F84))</f>
        <v>0.7</v>
      </c>
      <c r="L84" s="9">
        <f t="shared" si="8"/>
        <v>6.6499999999999997E-3</v>
      </c>
      <c r="M84" s="9">
        <f t="shared" si="9"/>
        <v>1.3516260162601615E-3</v>
      </c>
      <c r="N84" s="38">
        <f>M84*'Indirect Model Parameters'!$G$10</f>
        <v>135.16260162601614</v>
      </c>
    </row>
    <row r="85" spans="1:14" ht="32">
      <c r="A85" s="1" t="str">
        <f t="shared" si="6"/>
        <v>Population in TB compartment  Active with  Multidrug-resistant (MDR-TB) in HIV compartment  HIV-negative and Female</v>
      </c>
      <c r="B85" s="8" t="s">
        <v>257</v>
      </c>
      <c r="C85" s="8">
        <v>6</v>
      </c>
      <c r="D85" s="9">
        <v>2</v>
      </c>
      <c r="E85" s="9">
        <v>1</v>
      </c>
      <c r="F85" s="9">
        <v>2</v>
      </c>
      <c r="G85" s="40" t="str">
        <f t="shared" si="7"/>
        <v>N,6,2,1,2</v>
      </c>
      <c r="H85" s="9">
        <f>IF(F85=1,'Indirect Model Parameters'!$G$25,'Indirect Model Parameters'!$G$26)</f>
        <v>0.01</v>
      </c>
      <c r="I85" s="9">
        <f>IF(AND(C85&lt;3,D85=1),1,IF(AND(C85&lt;3,D85=2),0,IF(AND(C85&gt;2,D85=1,E85 = 1),1-Model_Matched_Parameters!$K$4,IF(AND(C85&gt;2,D85=1,E85 = 2),Model_Matched_Parameters!$K$5,IF(AND(C85&gt;2, D85 = 2, E85 = 1),Model_Matched_Parameters!$K$4,Model_Matched_Parameters!$K$5)))))</f>
        <v>0.05</v>
      </c>
      <c r="J85" s="9">
        <f>IF(SUMIFS('Indirect Model Parameters'!$G$11:$G$16,'Indirect Model Parameters'!$D$11:$D$16,Pop_Init!E85,'Indirect Model Parameters'!$E$11:$E$16,Pop_Init!F85) = 0,'Indirect Model Parameters'!$G$17,'Indirect Model Parameters'!$G$18*SUMIFS('Indirect Model Parameters'!$G$11:$G$16,'Indirect Model Parameters'!$D$11:$D$16,Pop_Init!E85,'Indirect Model Parameters'!$E$11:$E$16,Pop_Init!F85))</f>
        <v>0.7</v>
      </c>
      <c r="L85" s="9">
        <f t="shared" si="8"/>
        <v>3.5E-4</v>
      </c>
      <c r="M85" s="9">
        <f t="shared" si="9"/>
        <v>7.1138211382113767E-5</v>
      </c>
      <c r="N85" s="38">
        <f>M85*'Indirect Model Parameters'!$G$10</f>
        <v>7.1138211382113763</v>
      </c>
    </row>
    <row r="86" spans="1:14" ht="32">
      <c r="A86" s="1" t="str">
        <f t="shared" si="6"/>
        <v>Population in TB compartment  Active with Drug-susceptible (DS) in HIV compartment  PLHIV not on ART, CD4&gt;200 and Male</v>
      </c>
      <c r="B86" s="8" t="s">
        <v>257</v>
      </c>
      <c r="C86" s="8">
        <v>6</v>
      </c>
      <c r="D86" s="9">
        <v>1</v>
      </c>
      <c r="E86" s="9">
        <v>2</v>
      </c>
      <c r="F86" s="9">
        <v>1</v>
      </c>
      <c r="G86" s="40" t="str">
        <f t="shared" si="7"/>
        <v>N,6,1,2,1</v>
      </c>
      <c r="H86" s="9">
        <f>IF(F86=1,'Indirect Model Parameters'!$G$27,'Indirect Model Parameters'!$G$28)</f>
        <v>0.6</v>
      </c>
      <c r="I86" s="9">
        <f>IF(AND(C86&lt;3,D86=1),1,IF(AND(C86&lt;3,D86=2),0,IF(AND(C86&gt;2,D86=1,E86 = 1),1-Model_Matched_Parameters!$K$4,IF(AND(C86&gt;2,D86=1,E86 = 2),Model_Matched_Parameters!$K$5,IF(AND(C86&gt;2, D86 = 2, E86 = 1),Model_Matched_Parameters!$K$4,Model_Matched_Parameters!$K$5)))))</f>
        <v>0.05</v>
      </c>
      <c r="J86" s="9">
        <f>IF(SUMIFS('Indirect Model Parameters'!$G$11:$G$16,'Indirect Model Parameters'!$D$11:$D$16,Pop_Init!E86,'Indirect Model Parameters'!$E$11:$E$16,Pop_Init!F86) = 0,'Indirect Model Parameters'!$G$17,'Indirect Model Parameters'!$G$18*SUMIFS('Indirect Model Parameters'!$G$11:$G$16,'Indirect Model Parameters'!$D$11:$D$16,Pop_Init!E86,'Indirect Model Parameters'!$E$11:$E$16,Pop_Init!F86))</f>
        <v>0.16500000000000001</v>
      </c>
      <c r="L86" s="9">
        <f t="shared" si="8"/>
        <v>4.9500000000000004E-3</v>
      </c>
      <c r="M86" s="9">
        <f t="shared" si="9"/>
        <v>1.0060975609756091E-3</v>
      </c>
      <c r="N86" s="38">
        <f>M86*'Indirect Model Parameters'!$G$10</f>
        <v>100.60975609756092</v>
      </c>
    </row>
    <row r="87" spans="1:14" ht="48">
      <c r="A87" s="1" t="str">
        <f t="shared" si="6"/>
        <v>Population in TB compartment  Active with  Multidrug-resistant (MDR-TB) in HIV compartment  PLHIV not on ART, CD4&gt;200 and Male</v>
      </c>
      <c r="B87" s="8" t="s">
        <v>257</v>
      </c>
      <c r="C87" s="8">
        <v>6</v>
      </c>
      <c r="D87" s="9">
        <v>2</v>
      </c>
      <c r="E87" s="9">
        <v>2</v>
      </c>
      <c r="F87" s="9">
        <v>1</v>
      </c>
      <c r="G87" s="40" t="str">
        <f t="shared" si="7"/>
        <v>N,6,2,2,1</v>
      </c>
      <c r="H87" s="9">
        <f>IF(F87=1,'Indirect Model Parameters'!$G$27,'Indirect Model Parameters'!$G$28)</f>
        <v>0.6</v>
      </c>
      <c r="I87" s="9">
        <f>IF(AND(C87&lt;3,D87=1),1,IF(AND(C87&lt;3,D87=2),0,IF(AND(C87&gt;2,D87=1,E87 = 1),1-Model_Matched_Parameters!$K$4,IF(AND(C87&gt;2,D87=1,E87 = 2),Model_Matched_Parameters!$K$5,IF(AND(C87&gt;2, D87 = 2, E87 = 1),Model_Matched_Parameters!$K$4,Model_Matched_Parameters!$K$5)))))</f>
        <v>0.05</v>
      </c>
      <c r="J87" s="9">
        <f>IF(SUMIFS('Indirect Model Parameters'!$G$11:$G$16,'Indirect Model Parameters'!$D$11:$D$16,Pop_Init!E87,'Indirect Model Parameters'!$E$11:$E$16,Pop_Init!F87) = 0,'Indirect Model Parameters'!$G$17,'Indirect Model Parameters'!$G$18*SUMIFS('Indirect Model Parameters'!$G$11:$G$16,'Indirect Model Parameters'!$D$11:$D$16,Pop_Init!E87,'Indirect Model Parameters'!$E$11:$E$16,Pop_Init!F87))</f>
        <v>0.16500000000000001</v>
      </c>
      <c r="L87" s="9">
        <f t="shared" si="8"/>
        <v>4.9500000000000004E-3</v>
      </c>
      <c r="M87" s="9">
        <f t="shared" si="9"/>
        <v>1.0060975609756091E-3</v>
      </c>
      <c r="N87" s="38">
        <f>M87*'Indirect Model Parameters'!$G$10</f>
        <v>100.60975609756092</v>
      </c>
    </row>
    <row r="88" spans="1:14" ht="32">
      <c r="A88" s="1" t="str">
        <f t="shared" si="6"/>
        <v>Population in TB compartment  Active with Drug-susceptible (DS) in HIV compartment  PLHIV not on ART, CD4&gt;200 and Female</v>
      </c>
      <c r="B88" s="8" t="s">
        <v>257</v>
      </c>
      <c r="C88" s="8">
        <v>6</v>
      </c>
      <c r="D88" s="9">
        <v>1</v>
      </c>
      <c r="E88" s="9">
        <v>2</v>
      </c>
      <c r="F88" s="9">
        <v>2</v>
      </c>
      <c r="G88" s="40" t="str">
        <f t="shared" si="7"/>
        <v>N,6,1,2,2</v>
      </c>
      <c r="H88" s="9">
        <f>IF(F88=1,'Indirect Model Parameters'!$G$27,'Indirect Model Parameters'!$G$28)</f>
        <v>0.8</v>
      </c>
      <c r="I88" s="9">
        <f>IF(AND(C88&lt;3,D88=1),1,IF(AND(C88&lt;3,D88=2),0,IF(AND(C88&gt;2,D88=1,E88 = 1),1-Model_Matched_Parameters!$K$4,IF(AND(C88&gt;2,D88=1,E88 = 2),Model_Matched_Parameters!$K$5,IF(AND(C88&gt;2, D88 = 2, E88 = 1),Model_Matched_Parameters!$K$4,Model_Matched_Parameters!$K$5)))))</f>
        <v>0.05</v>
      </c>
      <c r="J88" s="9">
        <f>IF(SUMIFS('Indirect Model Parameters'!$G$11:$G$16,'Indirect Model Parameters'!$D$11:$D$16,Pop_Init!E88,'Indirect Model Parameters'!$E$11:$E$16,Pop_Init!F88) = 0,'Indirect Model Parameters'!$G$17,'Indirect Model Parameters'!$G$18*SUMIFS('Indirect Model Parameters'!$G$11:$G$16,'Indirect Model Parameters'!$D$11:$D$16,Pop_Init!E88,'Indirect Model Parameters'!$E$11:$E$16,Pop_Init!F88))</f>
        <v>0.16500000000000001</v>
      </c>
      <c r="L88" s="9">
        <f t="shared" si="8"/>
        <v>6.6000000000000017E-3</v>
      </c>
      <c r="M88" s="9">
        <f t="shared" si="9"/>
        <v>1.3414634146341458E-3</v>
      </c>
      <c r="N88" s="38">
        <f>M88*'Indirect Model Parameters'!$G$10</f>
        <v>134.14634146341459</v>
      </c>
    </row>
    <row r="89" spans="1:14" ht="48">
      <c r="A89" s="1" t="str">
        <f t="shared" si="6"/>
        <v>Population in TB compartment  Active with  Multidrug-resistant (MDR-TB) in HIV compartment  PLHIV not on ART, CD4&gt;200 and Female</v>
      </c>
      <c r="B89" s="8" t="s">
        <v>257</v>
      </c>
      <c r="C89" s="8">
        <v>6</v>
      </c>
      <c r="D89" s="9">
        <v>2</v>
      </c>
      <c r="E89" s="9">
        <v>2</v>
      </c>
      <c r="F89" s="9">
        <v>2</v>
      </c>
      <c r="G89" s="40" t="str">
        <f t="shared" si="7"/>
        <v>N,6,2,2,2</v>
      </c>
      <c r="H89" s="9">
        <f>IF(F89=1,'Indirect Model Parameters'!$G$27,'Indirect Model Parameters'!$G$28)</f>
        <v>0.8</v>
      </c>
      <c r="I89" s="9">
        <f>IF(AND(C89&lt;3,D89=1),1,IF(AND(C89&lt;3,D89=2),0,IF(AND(C89&gt;2,D89=1,E89 = 1),1-Model_Matched_Parameters!$K$4,IF(AND(C89&gt;2,D89=1,E89 = 2),Model_Matched_Parameters!$K$5,IF(AND(C89&gt;2, D89 = 2, E89 = 1),Model_Matched_Parameters!$K$4,Model_Matched_Parameters!$K$5)))))</f>
        <v>0.05</v>
      </c>
      <c r="J89" s="9">
        <f>IF(SUMIFS('Indirect Model Parameters'!$G$11:$G$16,'Indirect Model Parameters'!$D$11:$D$16,Pop_Init!E89,'Indirect Model Parameters'!$E$11:$E$16,Pop_Init!F89) = 0,'Indirect Model Parameters'!$G$17,'Indirect Model Parameters'!$G$18*SUMIFS('Indirect Model Parameters'!$G$11:$G$16,'Indirect Model Parameters'!$D$11:$D$16,Pop_Init!E89,'Indirect Model Parameters'!$E$11:$E$16,Pop_Init!F89))</f>
        <v>0.16500000000000001</v>
      </c>
      <c r="L89" s="9">
        <f t="shared" si="8"/>
        <v>6.6000000000000017E-3</v>
      </c>
      <c r="M89" s="9">
        <f t="shared" si="9"/>
        <v>1.3414634146341458E-3</v>
      </c>
      <c r="N89" s="38">
        <f>M89*'Indirect Model Parameters'!$G$10</f>
        <v>134.14634146341459</v>
      </c>
    </row>
    <row r="90" spans="1:14" ht="32">
      <c r="A90" s="1" t="str">
        <f t="shared" si="6"/>
        <v>Population in TB compartment  Active with Drug-susceptible (DS) in HIV compartment  PLHIV not on ART, CD4≤200 and Male</v>
      </c>
      <c r="B90" s="8" t="s">
        <v>257</v>
      </c>
      <c r="C90" s="8">
        <v>6</v>
      </c>
      <c r="D90" s="9">
        <v>1</v>
      </c>
      <c r="E90" s="9">
        <v>3</v>
      </c>
      <c r="F90" s="9">
        <v>1</v>
      </c>
      <c r="G90" s="40" t="str">
        <f t="shared" si="7"/>
        <v>N,6,1,3,1</v>
      </c>
      <c r="H90" s="9">
        <f>IF(F90=1,'Indirect Model Parameters'!$G$27,'Indirect Model Parameters'!$G$28)</f>
        <v>0.6</v>
      </c>
      <c r="I90" s="9">
        <f>IF(AND(C90&lt;3,D90=1),1,IF(AND(C90&lt;3,D90=2),0,IF(AND(C90&gt;2,D90=1,E90 = 1),1-Model_Matched_Parameters!$K$4,IF(AND(C90&gt;2,D90=1,E90 = 2),Model_Matched_Parameters!$K$5,IF(AND(C90&gt;2, D90 = 2, E90 = 1),Model_Matched_Parameters!$K$4,Model_Matched_Parameters!$K$5)))))</f>
        <v>0.05</v>
      </c>
      <c r="J90" s="9">
        <f>IF(SUMIFS('Indirect Model Parameters'!$G$11:$G$16,'Indirect Model Parameters'!$D$11:$D$16,Pop_Init!E90,'Indirect Model Parameters'!$E$11:$E$16,Pop_Init!F90) = 0,'Indirect Model Parameters'!$G$17,'Indirect Model Parameters'!$G$18*SUMIFS('Indirect Model Parameters'!$G$11:$G$16,'Indirect Model Parameters'!$D$11:$D$16,Pop_Init!E90,'Indirect Model Parameters'!$E$11:$E$16,Pop_Init!F90))</f>
        <v>5.3999999999999979E-2</v>
      </c>
      <c r="L90" s="9">
        <f t="shared" si="8"/>
        <v>1.6199999999999993E-3</v>
      </c>
      <c r="M90" s="9">
        <f t="shared" si="9"/>
        <v>3.2926829268292647E-4</v>
      </c>
      <c r="N90" s="38">
        <f>M90*'Indirect Model Parameters'!$G$10</f>
        <v>32.92682926829265</v>
      </c>
    </row>
    <row r="91" spans="1:14" ht="48">
      <c r="A91" s="1" t="str">
        <f t="shared" si="6"/>
        <v>Population in TB compartment  Active with  Multidrug-resistant (MDR-TB) in HIV compartment  PLHIV not on ART, CD4≤200 and Male</v>
      </c>
      <c r="B91" s="8" t="s">
        <v>257</v>
      </c>
      <c r="C91" s="8">
        <v>6</v>
      </c>
      <c r="D91" s="9">
        <v>2</v>
      </c>
      <c r="E91" s="9">
        <v>3</v>
      </c>
      <c r="F91" s="9">
        <v>1</v>
      </c>
      <c r="G91" s="40" t="str">
        <f t="shared" si="7"/>
        <v>N,6,2,3,1</v>
      </c>
      <c r="H91" s="9">
        <f>IF(F91=1,'Indirect Model Parameters'!$G$27,'Indirect Model Parameters'!$G$28)</f>
        <v>0.6</v>
      </c>
      <c r="I91" s="9">
        <f>IF(AND(C91&lt;3,D91=1),1,IF(AND(C91&lt;3,D91=2),0,IF(AND(C91&gt;2,D91=1,E91 = 1),1-Model_Matched_Parameters!$K$4,IF(AND(C91&gt;2,D91=1,E91 = 2),Model_Matched_Parameters!$K$5,IF(AND(C91&gt;2, D91 = 2, E91 = 1),Model_Matched_Parameters!$K$4,Model_Matched_Parameters!$K$5)))))</f>
        <v>0.05</v>
      </c>
      <c r="J91" s="9">
        <f>IF(SUMIFS('Indirect Model Parameters'!$G$11:$G$16,'Indirect Model Parameters'!$D$11:$D$16,Pop_Init!E91,'Indirect Model Parameters'!$E$11:$E$16,Pop_Init!F91) = 0,'Indirect Model Parameters'!$G$17,'Indirect Model Parameters'!$G$18*SUMIFS('Indirect Model Parameters'!$G$11:$G$16,'Indirect Model Parameters'!$D$11:$D$16,Pop_Init!E91,'Indirect Model Parameters'!$E$11:$E$16,Pop_Init!F91))</f>
        <v>5.3999999999999979E-2</v>
      </c>
      <c r="L91" s="9">
        <f t="shared" si="8"/>
        <v>1.6199999999999993E-3</v>
      </c>
      <c r="M91" s="9">
        <f t="shared" si="9"/>
        <v>3.2926829268292647E-4</v>
      </c>
      <c r="N91" s="38">
        <f>M91*'Indirect Model Parameters'!$G$10</f>
        <v>32.92682926829265</v>
      </c>
    </row>
    <row r="92" spans="1:14" ht="32">
      <c r="A92" s="1" t="str">
        <f t="shared" si="6"/>
        <v>Population in TB compartment  Active with Drug-susceptible (DS) in HIV compartment  PLHIV not on ART, CD4≤200 and Female</v>
      </c>
      <c r="B92" s="8" t="s">
        <v>257</v>
      </c>
      <c r="C92" s="8">
        <v>6</v>
      </c>
      <c r="D92" s="9">
        <v>1</v>
      </c>
      <c r="E92" s="9">
        <v>3</v>
      </c>
      <c r="F92" s="9">
        <v>2</v>
      </c>
      <c r="G92" s="40" t="str">
        <f t="shared" si="7"/>
        <v>N,6,1,3,2</v>
      </c>
      <c r="H92" s="9">
        <f>IF(F92=1,'Indirect Model Parameters'!$G$27,'Indirect Model Parameters'!$G$28)</f>
        <v>0.8</v>
      </c>
      <c r="I92" s="9">
        <f>IF(AND(C92&lt;3,D92=1),1,IF(AND(C92&lt;3,D92=2),0,IF(AND(C92&gt;2,D92=1,E92 = 1),1-Model_Matched_Parameters!$K$4,IF(AND(C92&gt;2,D92=1,E92 = 2),Model_Matched_Parameters!$K$5,IF(AND(C92&gt;2, D92 = 2, E92 = 1),Model_Matched_Parameters!$K$4,Model_Matched_Parameters!$K$5)))))</f>
        <v>0.05</v>
      </c>
      <c r="J92" s="9">
        <f>IF(SUMIFS('Indirect Model Parameters'!$G$11:$G$16,'Indirect Model Parameters'!$D$11:$D$16,Pop_Init!E92,'Indirect Model Parameters'!$E$11:$E$16,Pop_Init!F92) = 0,'Indirect Model Parameters'!$G$17,'Indirect Model Parameters'!$G$18*SUMIFS('Indirect Model Parameters'!$G$11:$G$16,'Indirect Model Parameters'!$D$11:$D$16,Pop_Init!E92,'Indirect Model Parameters'!$E$11:$E$16,Pop_Init!F92))</f>
        <v>5.3999999999999979E-2</v>
      </c>
      <c r="L92" s="9">
        <f t="shared" si="8"/>
        <v>2.1599999999999996E-3</v>
      </c>
      <c r="M92" s="9">
        <f t="shared" si="9"/>
        <v>4.3902439024390207E-4</v>
      </c>
      <c r="N92" s="38">
        <f>M92*'Indirect Model Parameters'!$G$10</f>
        <v>43.902439024390205</v>
      </c>
    </row>
    <row r="93" spans="1:14" ht="48">
      <c r="A93" s="1" t="str">
        <f t="shared" si="6"/>
        <v>Population in TB compartment  Active with  Multidrug-resistant (MDR-TB) in HIV compartment  PLHIV not on ART, CD4≤200 and Female</v>
      </c>
      <c r="B93" s="8" t="s">
        <v>257</v>
      </c>
      <c r="C93" s="8">
        <v>6</v>
      </c>
      <c r="D93" s="9">
        <v>2</v>
      </c>
      <c r="E93" s="9">
        <v>3</v>
      </c>
      <c r="F93" s="9">
        <v>2</v>
      </c>
      <c r="G93" s="40" t="str">
        <f t="shared" si="7"/>
        <v>N,6,2,3,2</v>
      </c>
      <c r="H93" s="9">
        <f>IF(F93=1,'Indirect Model Parameters'!$G$27,'Indirect Model Parameters'!$G$28)</f>
        <v>0.8</v>
      </c>
      <c r="I93" s="9">
        <f>IF(AND(C93&lt;3,D93=1),1,IF(AND(C93&lt;3,D93=2),0,IF(AND(C93&gt;2,D93=1,E93 = 1),1-Model_Matched_Parameters!$K$4,IF(AND(C93&gt;2,D93=1,E93 = 2),Model_Matched_Parameters!$K$5,IF(AND(C93&gt;2, D93 = 2, E93 = 1),Model_Matched_Parameters!$K$4,Model_Matched_Parameters!$K$5)))))</f>
        <v>0.05</v>
      </c>
      <c r="J93" s="9">
        <f>IF(SUMIFS('Indirect Model Parameters'!$G$11:$G$16,'Indirect Model Parameters'!$D$11:$D$16,Pop_Init!E93,'Indirect Model Parameters'!$E$11:$E$16,Pop_Init!F93) = 0,'Indirect Model Parameters'!$G$17,'Indirect Model Parameters'!$G$18*SUMIFS('Indirect Model Parameters'!$G$11:$G$16,'Indirect Model Parameters'!$D$11:$D$16,Pop_Init!E93,'Indirect Model Parameters'!$E$11:$E$16,Pop_Init!F93))</f>
        <v>5.3999999999999979E-2</v>
      </c>
      <c r="L93" s="9">
        <f t="shared" si="8"/>
        <v>2.1599999999999996E-3</v>
      </c>
      <c r="M93" s="9">
        <f t="shared" si="9"/>
        <v>4.3902439024390207E-4</v>
      </c>
      <c r="N93" s="38">
        <f>M93*'Indirect Model Parameters'!$G$10</f>
        <v>43.902439024390205</v>
      </c>
    </row>
    <row r="94" spans="1:14" ht="32">
      <c r="A94" s="1" t="str">
        <f t="shared" si="6"/>
        <v>Population in TB compartment  Active with Drug-susceptible (DS) in HIV compartment  PLHIV and on ART and Male</v>
      </c>
      <c r="B94" s="8" t="s">
        <v>257</v>
      </c>
      <c r="C94" s="8">
        <v>6</v>
      </c>
      <c r="D94" s="9">
        <v>1</v>
      </c>
      <c r="E94" s="9">
        <v>4</v>
      </c>
      <c r="F94" s="9">
        <v>1</v>
      </c>
      <c r="G94" s="40" t="str">
        <f t="shared" si="7"/>
        <v>N,6,1,4,1</v>
      </c>
      <c r="H94" s="9">
        <f>IF(F94=1,'Indirect Model Parameters'!$G$27,'Indirect Model Parameters'!$G$28)</f>
        <v>0.6</v>
      </c>
      <c r="I94" s="9">
        <f>IF(AND(C94&lt;3,D94=1),1,IF(AND(C94&lt;3,D94=2),0,IF(AND(C94&gt;2,D94=1,E94 = 1),1-Model_Matched_Parameters!$K$4,IF(AND(C94&gt;2,D94=1,E94 = 2),Model_Matched_Parameters!$K$5,IF(AND(C94&gt;2, D94 = 2, E94 = 1),Model_Matched_Parameters!$K$4,Model_Matched_Parameters!$K$5)))))</f>
        <v>0.05</v>
      </c>
      <c r="J94" s="9">
        <f>IF(SUMIFS('Indirect Model Parameters'!$G$11:$G$16,'Indirect Model Parameters'!$D$11:$D$16,Pop_Init!E94,'Indirect Model Parameters'!$E$11:$E$16,Pop_Init!F94) = 0,'Indirect Model Parameters'!$G$17,'Indirect Model Parameters'!$G$18*SUMIFS('Indirect Model Parameters'!$G$11:$G$16,'Indirect Model Parameters'!$D$11:$D$16,Pop_Init!E94,'Indirect Model Parameters'!$E$11:$E$16,Pop_Init!F94))</f>
        <v>8.1000000000000003E-2</v>
      </c>
      <c r="L94" s="9">
        <f t="shared" si="8"/>
        <v>2.4299999999999999E-3</v>
      </c>
      <c r="M94" s="9">
        <f t="shared" si="9"/>
        <v>4.9390243902438982E-4</v>
      </c>
      <c r="N94" s="38">
        <f>M94*'Indirect Model Parameters'!$G$10</f>
        <v>49.390243902438982</v>
      </c>
    </row>
    <row r="95" spans="1:14" ht="32">
      <c r="A95" s="1" t="str">
        <f t="shared" si="6"/>
        <v>Population in TB compartment  Active with  Multidrug-resistant (MDR-TB) in HIV compartment  PLHIV and on ART and Male</v>
      </c>
      <c r="B95" s="8" t="s">
        <v>257</v>
      </c>
      <c r="C95" s="8">
        <v>6</v>
      </c>
      <c r="D95" s="9">
        <v>2</v>
      </c>
      <c r="E95" s="9">
        <v>4</v>
      </c>
      <c r="F95" s="9">
        <v>1</v>
      </c>
      <c r="G95" s="40" t="str">
        <f t="shared" si="7"/>
        <v>N,6,2,4,1</v>
      </c>
      <c r="H95" s="9">
        <f>IF(F95=1,'Indirect Model Parameters'!$G$27,'Indirect Model Parameters'!$G$28)</f>
        <v>0.6</v>
      </c>
      <c r="I95" s="9">
        <f>IF(AND(C95&lt;3,D95=1),1,IF(AND(C95&lt;3,D95=2),0,IF(AND(C95&gt;2,D95=1,E95 = 1),1-Model_Matched_Parameters!$K$4,IF(AND(C95&gt;2,D95=1,E95 = 2),Model_Matched_Parameters!$K$5,IF(AND(C95&gt;2, D95 = 2, E95 = 1),Model_Matched_Parameters!$K$4,Model_Matched_Parameters!$K$5)))))</f>
        <v>0.05</v>
      </c>
      <c r="J95" s="9">
        <f>IF(SUMIFS('Indirect Model Parameters'!$G$11:$G$16,'Indirect Model Parameters'!$D$11:$D$16,Pop_Init!E95,'Indirect Model Parameters'!$E$11:$E$16,Pop_Init!F95) = 0,'Indirect Model Parameters'!$G$17,'Indirect Model Parameters'!$G$18*SUMIFS('Indirect Model Parameters'!$G$11:$G$16,'Indirect Model Parameters'!$D$11:$D$16,Pop_Init!E95,'Indirect Model Parameters'!$E$11:$E$16,Pop_Init!F95))</f>
        <v>8.1000000000000003E-2</v>
      </c>
      <c r="L95" s="9">
        <f t="shared" si="8"/>
        <v>2.4299999999999999E-3</v>
      </c>
      <c r="M95" s="9">
        <f t="shared" si="9"/>
        <v>4.9390243902438982E-4</v>
      </c>
      <c r="N95" s="38">
        <f>M95*'Indirect Model Parameters'!$G$10</f>
        <v>49.390243902438982</v>
      </c>
    </row>
    <row r="96" spans="1:14" ht="32">
      <c r="A96" s="1" t="str">
        <f t="shared" si="6"/>
        <v>Population in TB compartment  Active with Drug-susceptible (DS) in HIV compartment  PLHIV and on ART and Female</v>
      </c>
      <c r="B96" s="8" t="s">
        <v>257</v>
      </c>
      <c r="C96" s="8">
        <v>6</v>
      </c>
      <c r="D96" s="9">
        <v>1</v>
      </c>
      <c r="E96" s="9">
        <v>4</v>
      </c>
      <c r="F96" s="9">
        <v>2</v>
      </c>
      <c r="G96" s="40" t="str">
        <f t="shared" si="7"/>
        <v>N,6,1,4,2</v>
      </c>
      <c r="H96" s="9">
        <f>IF(F96=1,'Indirect Model Parameters'!$G$27,'Indirect Model Parameters'!$G$28)</f>
        <v>0.8</v>
      </c>
      <c r="I96" s="9">
        <f>IF(AND(C96&lt;3,D96=1),1,IF(AND(C96&lt;3,D96=2),0,IF(AND(C96&gt;2,D96=1,E96 = 1),1-Model_Matched_Parameters!$K$4,IF(AND(C96&gt;2,D96=1,E96 = 2),Model_Matched_Parameters!$K$5,IF(AND(C96&gt;2, D96 = 2, E96 = 1),Model_Matched_Parameters!$K$4,Model_Matched_Parameters!$K$5)))))</f>
        <v>0.05</v>
      </c>
      <c r="J96" s="9">
        <f>IF(SUMIFS('Indirect Model Parameters'!$G$11:$G$16,'Indirect Model Parameters'!$D$11:$D$16,Pop_Init!E96,'Indirect Model Parameters'!$E$11:$E$16,Pop_Init!F96) = 0,'Indirect Model Parameters'!$G$17,'Indirect Model Parameters'!$G$18*SUMIFS('Indirect Model Parameters'!$G$11:$G$16,'Indirect Model Parameters'!$D$11:$D$16,Pop_Init!E96,'Indirect Model Parameters'!$E$11:$E$16,Pop_Init!F96))</f>
        <v>8.1000000000000003E-2</v>
      </c>
      <c r="L96" s="9">
        <f t="shared" si="8"/>
        <v>3.2400000000000007E-3</v>
      </c>
      <c r="M96" s="9">
        <f t="shared" si="9"/>
        <v>6.5853658536585338E-4</v>
      </c>
      <c r="N96" s="38">
        <f>M96*'Indirect Model Parameters'!$G$10</f>
        <v>65.853658536585343</v>
      </c>
    </row>
    <row r="97" spans="1:14" ht="32">
      <c r="A97" s="1" t="str">
        <f t="shared" si="6"/>
        <v>Population in TB compartment  Active with  Multidrug-resistant (MDR-TB) in HIV compartment  PLHIV and on ART and Female</v>
      </c>
      <c r="B97" s="8" t="s">
        <v>257</v>
      </c>
      <c r="C97" s="8">
        <v>6</v>
      </c>
      <c r="D97" s="9">
        <v>2</v>
      </c>
      <c r="E97" s="9">
        <v>4</v>
      </c>
      <c r="F97" s="9">
        <v>2</v>
      </c>
      <c r="G97" s="40" t="str">
        <f t="shared" si="7"/>
        <v>N,6,2,4,2</v>
      </c>
      <c r="H97" s="9">
        <f>IF(F97=1,'Indirect Model Parameters'!$G$27,'Indirect Model Parameters'!$G$28)</f>
        <v>0.8</v>
      </c>
      <c r="I97" s="9">
        <f>IF(AND(C97&lt;3,D97=1),1,IF(AND(C97&lt;3,D97=2),0,IF(AND(C97&gt;2,D97=1,E97 = 1),1-Model_Matched_Parameters!$K$4,IF(AND(C97&gt;2,D97=1,E97 = 2),Model_Matched_Parameters!$K$5,IF(AND(C97&gt;2, D97 = 2, E97 = 1),Model_Matched_Parameters!$K$4,Model_Matched_Parameters!$K$5)))))</f>
        <v>0.05</v>
      </c>
      <c r="J97" s="9">
        <f>IF(SUMIFS('Indirect Model Parameters'!$G$11:$G$16,'Indirect Model Parameters'!$D$11:$D$16,Pop_Init!E97,'Indirect Model Parameters'!$E$11:$E$16,Pop_Init!F97) = 0,'Indirect Model Parameters'!$G$17,'Indirect Model Parameters'!$G$18*SUMIFS('Indirect Model Parameters'!$G$11:$G$16,'Indirect Model Parameters'!$D$11:$D$16,Pop_Init!E97,'Indirect Model Parameters'!$E$11:$E$16,Pop_Init!F97))</f>
        <v>8.1000000000000003E-2</v>
      </c>
      <c r="L97" s="9">
        <f t="shared" si="8"/>
        <v>3.2400000000000007E-3</v>
      </c>
      <c r="M97" s="9">
        <f t="shared" si="9"/>
        <v>6.5853658536585338E-4</v>
      </c>
      <c r="N97" s="38">
        <f>M97*'Indirect Model Parameters'!$G$10</f>
        <v>65.853658536585343</v>
      </c>
    </row>
    <row r="98" spans="1:14" ht="32">
      <c r="A98" s="1" t="str">
        <f t="shared" ref="A98:A129" si="10">CONCATENATE("Population in TB compartment ",VLOOKUP(C98,TB_SET,2), " with ", VLOOKUP(D98,R_SET,2), " in HIV compartment ", VLOOKUP(E98,HIV_SET,2), " and ", VLOOKUP(F98, G_SET,2))</f>
        <v>Population in TB compartment  Recovered/Treated with Drug-susceptible (DS) in HIV compartment  HIV-negative and Male</v>
      </c>
      <c r="B98" s="8" t="s">
        <v>257</v>
      </c>
      <c r="C98" s="8">
        <v>7</v>
      </c>
      <c r="D98" s="9">
        <v>1</v>
      </c>
      <c r="E98" s="9">
        <v>1</v>
      </c>
      <c r="F98" s="9">
        <v>1</v>
      </c>
      <c r="G98" s="40" t="str">
        <f t="shared" ref="G98:G129" si="11">CONCATENATE( B98, IF(B98&lt;&gt;"",",",""), C98, IF(C98&lt;&gt;"",",",""),  D98, IF(D98&lt;&gt;"",",",""),  E98, IF(F98&lt;&gt;"",",",""), F98,)</f>
        <v>N,7,1,1,1</v>
      </c>
      <c r="H98" s="9">
        <v>0</v>
      </c>
      <c r="I98" s="9">
        <f>IF(AND(C98&lt;3,D98=1),1,IF(AND(C98&lt;3,D98=2),0,IF(AND(C98&gt;2,D98=1,E98 = 1),1-Model_Matched_Parameters!$K$4,IF(AND(C98&gt;2,D98=1,E98 = 2),Model_Matched_Parameters!$K$5,IF(AND(C98&gt;2, D98 = 2, E98 = 1),Model_Matched_Parameters!$K$4,Model_Matched_Parameters!$K$5)))))</f>
        <v>0.95</v>
      </c>
      <c r="J98" s="9">
        <f>IF(SUMIFS('Indirect Model Parameters'!$G$11:$G$16,'Indirect Model Parameters'!$D$11:$D$16,Pop_Init!E98,'Indirect Model Parameters'!$E$11:$E$16,Pop_Init!F98) = 0,'Indirect Model Parameters'!$G$17,'Indirect Model Parameters'!$G$18*SUMIFS('Indirect Model Parameters'!$G$11:$G$16,'Indirect Model Parameters'!$D$11:$D$16,Pop_Init!E98,'Indirect Model Parameters'!$E$11:$E$16,Pop_Init!F98))</f>
        <v>0.7</v>
      </c>
      <c r="L98" s="9">
        <f t="shared" si="8"/>
        <v>0</v>
      </c>
      <c r="M98" s="9">
        <f t="shared" si="9"/>
        <v>0</v>
      </c>
      <c r="N98" s="38">
        <f>M98*'Indirect Model Parameters'!$G$10</f>
        <v>0</v>
      </c>
    </row>
    <row r="99" spans="1:14" ht="48">
      <c r="A99" s="1" t="str">
        <f t="shared" si="10"/>
        <v>Population in TB compartment  Recovered/Treated with  Multidrug-resistant (MDR-TB) in HIV compartment  HIV-negative and Male</v>
      </c>
      <c r="B99" s="8" t="s">
        <v>257</v>
      </c>
      <c r="C99" s="8">
        <v>7</v>
      </c>
      <c r="D99" s="9">
        <v>2</v>
      </c>
      <c r="E99" s="9">
        <v>1</v>
      </c>
      <c r="F99" s="9">
        <v>1</v>
      </c>
      <c r="G99" s="40" t="str">
        <f t="shared" si="11"/>
        <v>N,7,2,1,1</v>
      </c>
      <c r="H99" s="9">
        <v>0</v>
      </c>
      <c r="I99" s="9">
        <f>IF(AND(C99&lt;3,D99=1),1,IF(AND(C99&lt;3,D99=2),0,IF(AND(C99&gt;2,D99=1,E99 = 1),1-Model_Matched_Parameters!$K$4,IF(AND(C99&gt;2,D99=1,E99 = 2),Model_Matched_Parameters!$K$5,IF(AND(C99&gt;2, D99 = 2, E99 = 1),Model_Matched_Parameters!$K$4,Model_Matched_Parameters!$K$5)))))</f>
        <v>0.05</v>
      </c>
      <c r="J99" s="9">
        <f>IF(SUMIFS('Indirect Model Parameters'!$G$11:$G$16,'Indirect Model Parameters'!$D$11:$D$16,Pop_Init!E99,'Indirect Model Parameters'!$E$11:$E$16,Pop_Init!F99) = 0,'Indirect Model Parameters'!$G$17,'Indirect Model Parameters'!$G$18*SUMIFS('Indirect Model Parameters'!$G$11:$G$16,'Indirect Model Parameters'!$D$11:$D$16,Pop_Init!E99,'Indirect Model Parameters'!$E$11:$E$16,Pop_Init!F99))</f>
        <v>0.7</v>
      </c>
      <c r="L99" s="9">
        <f t="shared" si="8"/>
        <v>0</v>
      </c>
      <c r="M99" s="9">
        <f t="shared" si="9"/>
        <v>0</v>
      </c>
      <c r="N99" s="38">
        <f>M99*'Indirect Model Parameters'!$G$10</f>
        <v>0</v>
      </c>
    </row>
    <row r="100" spans="1:14" ht="32">
      <c r="A100" s="1" t="str">
        <f t="shared" si="10"/>
        <v>Population in TB compartment  Recovered/Treated with Drug-susceptible (DS) in HIV compartment  HIV-negative and Female</v>
      </c>
      <c r="B100" s="8" t="s">
        <v>257</v>
      </c>
      <c r="C100" s="8">
        <v>7</v>
      </c>
      <c r="D100" s="9">
        <v>1</v>
      </c>
      <c r="E100" s="9">
        <v>1</v>
      </c>
      <c r="F100" s="9">
        <v>2</v>
      </c>
      <c r="G100" s="40" t="str">
        <f t="shared" si="11"/>
        <v>N,7,1,1,2</v>
      </c>
      <c r="H100" s="9">
        <v>0</v>
      </c>
      <c r="I100" s="9">
        <f>IF(AND(C100&lt;3,D100=1),1,IF(AND(C100&lt;3,D100=2),0,IF(AND(C100&gt;2,D100=1,E100 = 1),1-Model_Matched_Parameters!$K$4,IF(AND(C100&gt;2,D100=1,E100 = 2),Model_Matched_Parameters!$K$5,IF(AND(C100&gt;2, D100 = 2, E100 = 1),Model_Matched_Parameters!$K$4,Model_Matched_Parameters!$K$5)))))</f>
        <v>0.95</v>
      </c>
      <c r="J100" s="9">
        <f>IF(SUMIFS('Indirect Model Parameters'!$G$11:$G$16,'Indirect Model Parameters'!$D$11:$D$16,Pop_Init!E100,'Indirect Model Parameters'!$E$11:$E$16,Pop_Init!F100) = 0,'Indirect Model Parameters'!$G$17,'Indirect Model Parameters'!$G$18*SUMIFS('Indirect Model Parameters'!$G$11:$G$16,'Indirect Model Parameters'!$D$11:$D$16,Pop_Init!E100,'Indirect Model Parameters'!$E$11:$E$16,Pop_Init!F100))</f>
        <v>0.7</v>
      </c>
      <c r="L100" s="9">
        <f t="shared" si="8"/>
        <v>0</v>
      </c>
      <c r="M100" s="9">
        <f t="shared" si="9"/>
        <v>0</v>
      </c>
      <c r="N100" s="38">
        <f>M100*'Indirect Model Parameters'!$G$10</f>
        <v>0</v>
      </c>
    </row>
    <row r="101" spans="1:14" ht="48">
      <c r="A101" s="1" t="str">
        <f t="shared" si="10"/>
        <v>Population in TB compartment  Recovered/Treated with  Multidrug-resistant (MDR-TB) in HIV compartment  HIV-negative and Female</v>
      </c>
      <c r="B101" s="8" t="s">
        <v>257</v>
      </c>
      <c r="C101" s="8">
        <v>7</v>
      </c>
      <c r="D101" s="9">
        <v>2</v>
      </c>
      <c r="E101" s="9">
        <v>1</v>
      </c>
      <c r="F101" s="9">
        <v>2</v>
      </c>
      <c r="G101" s="40" t="str">
        <f t="shared" si="11"/>
        <v>N,7,2,1,2</v>
      </c>
      <c r="H101" s="9">
        <v>0</v>
      </c>
      <c r="I101" s="9">
        <f>IF(AND(C101&lt;3,D101=1),1,IF(AND(C101&lt;3,D101=2),0,IF(AND(C101&gt;2,D101=1,E101 = 1),1-Model_Matched_Parameters!$K$4,IF(AND(C101&gt;2,D101=1,E101 = 2),Model_Matched_Parameters!$K$5,IF(AND(C101&gt;2, D101 = 2, E101 = 1),Model_Matched_Parameters!$K$4,Model_Matched_Parameters!$K$5)))))</f>
        <v>0.05</v>
      </c>
      <c r="J101" s="9">
        <f>IF(SUMIFS('Indirect Model Parameters'!$G$11:$G$16,'Indirect Model Parameters'!$D$11:$D$16,Pop_Init!E101,'Indirect Model Parameters'!$E$11:$E$16,Pop_Init!F101) = 0,'Indirect Model Parameters'!$G$17,'Indirect Model Parameters'!$G$18*SUMIFS('Indirect Model Parameters'!$G$11:$G$16,'Indirect Model Parameters'!$D$11:$D$16,Pop_Init!E101,'Indirect Model Parameters'!$E$11:$E$16,Pop_Init!F101))</f>
        <v>0.7</v>
      </c>
      <c r="L101" s="9">
        <f t="shared" si="8"/>
        <v>0</v>
      </c>
      <c r="M101" s="9">
        <f t="shared" si="9"/>
        <v>0</v>
      </c>
      <c r="N101" s="38">
        <f>M101*'Indirect Model Parameters'!$G$10</f>
        <v>0</v>
      </c>
    </row>
    <row r="102" spans="1:14" ht="48">
      <c r="A102" s="1" t="str">
        <f t="shared" si="10"/>
        <v>Population in TB compartment  Recovered/Treated with Drug-susceptible (DS) in HIV compartment  PLHIV not on ART, CD4&gt;200 and Male</v>
      </c>
      <c r="B102" s="8" t="s">
        <v>257</v>
      </c>
      <c r="C102" s="8">
        <v>7</v>
      </c>
      <c r="D102" s="9">
        <v>1</v>
      </c>
      <c r="E102" s="9">
        <v>2</v>
      </c>
      <c r="F102" s="9">
        <v>1</v>
      </c>
      <c r="G102" s="40" t="str">
        <f t="shared" si="11"/>
        <v>N,7,1,2,1</v>
      </c>
      <c r="H102" s="9">
        <v>0</v>
      </c>
      <c r="I102" s="9">
        <f>IF(AND(C102&lt;3,D102=1),1,IF(AND(C102&lt;3,D102=2),0,IF(AND(C102&gt;2,D102=1,E102 = 1),1-Model_Matched_Parameters!$K$4,IF(AND(C102&gt;2,D102=1,E102 = 2),Model_Matched_Parameters!$K$5,IF(AND(C102&gt;2, D102 = 2, E102 = 1),Model_Matched_Parameters!$K$4,Model_Matched_Parameters!$K$5)))))</f>
        <v>0.05</v>
      </c>
      <c r="J102" s="9">
        <f>IF(SUMIFS('Indirect Model Parameters'!$G$11:$G$16,'Indirect Model Parameters'!$D$11:$D$16,Pop_Init!E102,'Indirect Model Parameters'!$E$11:$E$16,Pop_Init!F102) = 0,'Indirect Model Parameters'!$G$17,'Indirect Model Parameters'!$G$18*SUMIFS('Indirect Model Parameters'!$G$11:$G$16,'Indirect Model Parameters'!$D$11:$D$16,Pop_Init!E102,'Indirect Model Parameters'!$E$11:$E$16,Pop_Init!F102))</f>
        <v>0.16500000000000001</v>
      </c>
      <c r="L102" s="9">
        <f t="shared" si="8"/>
        <v>0</v>
      </c>
      <c r="M102" s="9">
        <f t="shared" si="9"/>
        <v>0</v>
      </c>
      <c r="N102" s="38">
        <f>M102*'Indirect Model Parameters'!$G$10</f>
        <v>0</v>
      </c>
    </row>
    <row r="103" spans="1:14" ht="48">
      <c r="A103" s="1" t="str">
        <f t="shared" si="10"/>
        <v>Population in TB compartment  Recovered/Treated with  Multidrug-resistant (MDR-TB) in HIV compartment  PLHIV not on ART, CD4&gt;200 and Male</v>
      </c>
      <c r="B103" s="8" t="s">
        <v>257</v>
      </c>
      <c r="C103" s="8">
        <v>7</v>
      </c>
      <c r="D103" s="9">
        <v>2</v>
      </c>
      <c r="E103" s="9">
        <v>2</v>
      </c>
      <c r="F103" s="9">
        <v>1</v>
      </c>
      <c r="G103" s="40" t="str">
        <f t="shared" si="11"/>
        <v>N,7,2,2,1</v>
      </c>
      <c r="H103" s="9">
        <v>0</v>
      </c>
      <c r="I103" s="9">
        <f>IF(AND(C103&lt;3,D103=1),1,IF(AND(C103&lt;3,D103=2),0,IF(AND(C103&gt;2,D103=1,E103 = 1),1-Model_Matched_Parameters!$K$4,IF(AND(C103&gt;2,D103=1,E103 = 2),Model_Matched_Parameters!$K$5,IF(AND(C103&gt;2, D103 = 2, E103 = 1),Model_Matched_Parameters!$K$4,Model_Matched_Parameters!$K$5)))))</f>
        <v>0.05</v>
      </c>
      <c r="J103" s="9">
        <f>IF(SUMIFS('Indirect Model Parameters'!$G$11:$G$16,'Indirect Model Parameters'!$D$11:$D$16,Pop_Init!E103,'Indirect Model Parameters'!$E$11:$E$16,Pop_Init!F103) = 0,'Indirect Model Parameters'!$G$17,'Indirect Model Parameters'!$G$18*SUMIFS('Indirect Model Parameters'!$G$11:$G$16,'Indirect Model Parameters'!$D$11:$D$16,Pop_Init!E103,'Indirect Model Parameters'!$E$11:$E$16,Pop_Init!F103))</f>
        <v>0.16500000000000001</v>
      </c>
      <c r="L103" s="9">
        <f t="shared" si="8"/>
        <v>0</v>
      </c>
      <c r="M103" s="9">
        <f t="shared" si="9"/>
        <v>0</v>
      </c>
      <c r="N103" s="38">
        <f>M103*'Indirect Model Parameters'!$G$10</f>
        <v>0</v>
      </c>
    </row>
    <row r="104" spans="1:14" ht="48">
      <c r="A104" s="1" t="str">
        <f t="shared" si="10"/>
        <v>Population in TB compartment  Recovered/Treated with Drug-susceptible (DS) in HIV compartment  PLHIV not on ART, CD4&gt;200 and Female</v>
      </c>
      <c r="B104" s="8" t="s">
        <v>257</v>
      </c>
      <c r="C104" s="8">
        <v>7</v>
      </c>
      <c r="D104" s="9">
        <v>1</v>
      </c>
      <c r="E104" s="9">
        <v>2</v>
      </c>
      <c r="F104" s="9">
        <v>2</v>
      </c>
      <c r="G104" s="40" t="str">
        <f t="shared" si="11"/>
        <v>N,7,1,2,2</v>
      </c>
      <c r="H104" s="9">
        <v>0</v>
      </c>
      <c r="I104" s="9">
        <f>IF(AND(C104&lt;3,D104=1),1,IF(AND(C104&lt;3,D104=2),0,IF(AND(C104&gt;2,D104=1,E104 = 1),1-Model_Matched_Parameters!$K$4,IF(AND(C104&gt;2,D104=1,E104 = 2),Model_Matched_Parameters!$K$5,IF(AND(C104&gt;2, D104 = 2, E104 = 1),Model_Matched_Parameters!$K$4,Model_Matched_Parameters!$K$5)))))</f>
        <v>0.05</v>
      </c>
      <c r="J104" s="9">
        <f>IF(SUMIFS('Indirect Model Parameters'!$G$11:$G$16,'Indirect Model Parameters'!$D$11:$D$16,Pop_Init!E104,'Indirect Model Parameters'!$E$11:$E$16,Pop_Init!F104) = 0,'Indirect Model Parameters'!$G$17,'Indirect Model Parameters'!$G$18*SUMIFS('Indirect Model Parameters'!$G$11:$G$16,'Indirect Model Parameters'!$D$11:$D$16,Pop_Init!E104,'Indirect Model Parameters'!$E$11:$E$16,Pop_Init!F104))</f>
        <v>0.16500000000000001</v>
      </c>
      <c r="L104" s="9">
        <f t="shared" si="8"/>
        <v>0</v>
      </c>
      <c r="M104" s="9">
        <f t="shared" si="9"/>
        <v>0</v>
      </c>
      <c r="N104" s="38">
        <f>M104*'Indirect Model Parameters'!$G$10</f>
        <v>0</v>
      </c>
    </row>
    <row r="105" spans="1:14" ht="48">
      <c r="A105" s="1" t="str">
        <f t="shared" si="10"/>
        <v>Population in TB compartment  Recovered/Treated with  Multidrug-resistant (MDR-TB) in HIV compartment  PLHIV not on ART, CD4&gt;200 and Female</v>
      </c>
      <c r="B105" s="8" t="s">
        <v>257</v>
      </c>
      <c r="C105" s="8">
        <v>7</v>
      </c>
      <c r="D105" s="9">
        <v>2</v>
      </c>
      <c r="E105" s="9">
        <v>2</v>
      </c>
      <c r="F105" s="9">
        <v>2</v>
      </c>
      <c r="G105" s="40" t="str">
        <f t="shared" si="11"/>
        <v>N,7,2,2,2</v>
      </c>
      <c r="H105" s="9">
        <v>0</v>
      </c>
      <c r="I105" s="9">
        <f>IF(AND(C105&lt;3,D105=1),1,IF(AND(C105&lt;3,D105=2),0,IF(AND(C105&gt;2,D105=1,E105 = 1),1-Model_Matched_Parameters!$K$4,IF(AND(C105&gt;2,D105=1,E105 = 2),Model_Matched_Parameters!$K$5,IF(AND(C105&gt;2, D105 = 2, E105 = 1),Model_Matched_Parameters!$K$4,Model_Matched_Parameters!$K$5)))))</f>
        <v>0.05</v>
      </c>
      <c r="J105" s="9">
        <f>IF(SUMIFS('Indirect Model Parameters'!$G$11:$G$16,'Indirect Model Parameters'!$D$11:$D$16,Pop_Init!E105,'Indirect Model Parameters'!$E$11:$E$16,Pop_Init!F105) = 0,'Indirect Model Parameters'!$G$17,'Indirect Model Parameters'!$G$18*SUMIFS('Indirect Model Parameters'!$G$11:$G$16,'Indirect Model Parameters'!$D$11:$D$16,Pop_Init!E105,'Indirect Model Parameters'!$E$11:$E$16,Pop_Init!F105))</f>
        <v>0.16500000000000001</v>
      </c>
      <c r="L105" s="9">
        <f t="shared" si="8"/>
        <v>0</v>
      </c>
      <c r="M105" s="9">
        <f t="shared" si="9"/>
        <v>0</v>
      </c>
      <c r="N105" s="38">
        <f>M105*'Indirect Model Parameters'!$G$10</f>
        <v>0</v>
      </c>
    </row>
    <row r="106" spans="1:14" ht="48">
      <c r="A106" s="1" t="str">
        <f t="shared" si="10"/>
        <v>Population in TB compartment  Recovered/Treated with Drug-susceptible (DS) in HIV compartment  PLHIV not on ART, CD4≤200 and Male</v>
      </c>
      <c r="B106" s="8" t="s">
        <v>257</v>
      </c>
      <c r="C106" s="8">
        <v>7</v>
      </c>
      <c r="D106" s="9">
        <v>1</v>
      </c>
      <c r="E106" s="9">
        <v>3</v>
      </c>
      <c r="F106" s="9">
        <v>1</v>
      </c>
      <c r="G106" s="40" t="str">
        <f t="shared" si="11"/>
        <v>N,7,1,3,1</v>
      </c>
      <c r="H106" s="9">
        <v>0</v>
      </c>
      <c r="I106" s="9">
        <f>IF(AND(C106&lt;3,D106=1),1,IF(AND(C106&lt;3,D106=2),0,IF(AND(C106&gt;2,D106=1,E106 = 1),1-Model_Matched_Parameters!$K$4,IF(AND(C106&gt;2,D106=1,E106 = 2),Model_Matched_Parameters!$K$5,IF(AND(C106&gt;2, D106 = 2, E106 = 1),Model_Matched_Parameters!$K$4,Model_Matched_Parameters!$K$5)))))</f>
        <v>0.05</v>
      </c>
      <c r="J106" s="9">
        <f>IF(SUMIFS('Indirect Model Parameters'!$G$11:$G$16,'Indirect Model Parameters'!$D$11:$D$16,Pop_Init!E106,'Indirect Model Parameters'!$E$11:$E$16,Pop_Init!F106) = 0,'Indirect Model Parameters'!$G$17,'Indirect Model Parameters'!$G$18*SUMIFS('Indirect Model Parameters'!$G$11:$G$16,'Indirect Model Parameters'!$D$11:$D$16,Pop_Init!E106,'Indirect Model Parameters'!$E$11:$E$16,Pop_Init!F106))</f>
        <v>5.3999999999999979E-2</v>
      </c>
      <c r="L106" s="9">
        <f t="shared" si="8"/>
        <v>0</v>
      </c>
      <c r="M106" s="9">
        <f t="shared" si="9"/>
        <v>0</v>
      </c>
      <c r="N106" s="38">
        <f>M106*'Indirect Model Parameters'!$G$10</f>
        <v>0</v>
      </c>
    </row>
    <row r="107" spans="1:14" ht="48">
      <c r="A107" s="1" t="str">
        <f t="shared" si="10"/>
        <v>Population in TB compartment  Recovered/Treated with  Multidrug-resistant (MDR-TB) in HIV compartment  PLHIV not on ART, CD4≤200 and Male</v>
      </c>
      <c r="B107" s="8" t="s">
        <v>257</v>
      </c>
      <c r="C107" s="8">
        <v>7</v>
      </c>
      <c r="D107" s="9">
        <v>2</v>
      </c>
      <c r="E107" s="9">
        <v>3</v>
      </c>
      <c r="F107" s="9">
        <v>1</v>
      </c>
      <c r="G107" s="40" t="str">
        <f t="shared" si="11"/>
        <v>N,7,2,3,1</v>
      </c>
      <c r="H107" s="9">
        <v>0</v>
      </c>
      <c r="I107" s="9">
        <f>IF(AND(C107&lt;3,D107=1),1,IF(AND(C107&lt;3,D107=2),0,IF(AND(C107&gt;2,D107=1,E107 = 1),1-Model_Matched_Parameters!$K$4,IF(AND(C107&gt;2,D107=1,E107 = 2),Model_Matched_Parameters!$K$5,IF(AND(C107&gt;2, D107 = 2, E107 = 1),Model_Matched_Parameters!$K$4,Model_Matched_Parameters!$K$5)))))</f>
        <v>0.05</v>
      </c>
      <c r="J107" s="9">
        <f>IF(SUMIFS('Indirect Model Parameters'!$G$11:$G$16,'Indirect Model Parameters'!$D$11:$D$16,Pop_Init!E107,'Indirect Model Parameters'!$E$11:$E$16,Pop_Init!F107) = 0,'Indirect Model Parameters'!$G$17,'Indirect Model Parameters'!$G$18*SUMIFS('Indirect Model Parameters'!$G$11:$G$16,'Indirect Model Parameters'!$D$11:$D$16,Pop_Init!E107,'Indirect Model Parameters'!$E$11:$E$16,Pop_Init!F107))</f>
        <v>5.3999999999999979E-2</v>
      </c>
      <c r="L107" s="9">
        <f t="shared" si="8"/>
        <v>0</v>
      </c>
      <c r="M107" s="9">
        <f t="shared" si="9"/>
        <v>0</v>
      </c>
      <c r="N107" s="38">
        <f>M107*'Indirect Model Parameters'!$G$10</f>
        <v>0</v>
      </c>
    </row>
    <row r="108" spans="1:14" ht="48">
      <c r="A108" s="1" t="str">
        <f t="shared" si="10"/>
        <v>Population in TB compartment  Recovered/Treated with Drug-susceptible (DS) in HIV compartment  PLHIV not on ART, CD4≤200 and Female</v>
      </c>
      <c r="B108" s="8" t="s">
        <v>257</v>
      </c>
      <c r="C108" s="8">
        <v>7</v>
      </c>
      <c r="D108" s="9">
        <v>1</v>
      </c>
      <c r="E108" s="9">
        <v>3</v>
      </c>
      <c r="F108" s="9">
        <v>2</v>
      </c>
      <c r="G108" s="40" t="str">
        <f t="shared" si="11"/>
        <v>N,7,1,3,2</v>
      </c>
      <c r="H108" s="9">
        <v>0</v>
      </c>
      <c r="I108" s="9">
        <f>IF(AND(C108&lt;3,D108=1),1,IF(AND(C108&lt;3,D108=2),0,IF(AND(C108&gt;2,D108=1,E108 = 1),1-Model_Matched_Parameters!$K$4,IF(AND(C108&gt;2,D108=1,E108 = 2),Model_Matched_Parameters!$K$5,IF(AND(C108&gt;2, D108 = 2, E108 = 1),Model_Matched_Parameters!$K$4,Model_Matched_Parameters!$K$5)))))</f>
        <v>0.05</v>
      </c>
      <c r="J108" s="9">
        <f>IF(SUMIFS('Indirect Model Parameters'!$G$11:$G$16,'Indirect Model Parameters'!$D$11:$D$16,Pop_Init!E108,'Indirect Model Parameters'!$E$11:$E$16,Pop_Init!F108) = 0,'Indirect Model Parameters'!$G$17,'Indirect Model Parameters'!$G$18*SUMIFS('Indirect Model Parameters'!$G$11:$G$16,'Indirect Model Parameters'!$D$11:$D$16,Pop_Init!E108,'Indirect Model Parameters'!$E$11:$E$16,Pop_Init!F108))</f>
        <v>5.3999999999999979E-2</v>
      </c>
      <c r="L108" s="9">
        <f t="shared" si="8"/>
        <v>0</v>
      </c>
      <c r="M108" s="9">
        <f t="shared" si="9"/>
        <v>0</v>
      </c>
      <c r="N108" s="38">
        <f>M108*'Indirect Model Parameters'!$G$10</f>
        <v>0</v>
      </c>
    </row>
    <row r="109" spans="1:14" ht="48">
      <c r="A109" s="1" t="str">
        <f t="shared" si="10"/>
        <v>Population in TB compartment  Recovered/Treated with  Multidrug-resistant (MDR-TB) in HIV compartment  PLHIV not on ART, CD4≤200 and Female</v>
      </c>
      <c r="B109" s="8" t="s">
        <v>257</v>
      </c>
      <c r="C109" s="8">
        <v>7</v>
      </c>
      <c r="D109" s="9">
        <v>2</v>
      </c>
      <c r="E109" s="9">
        <v>3</v>
      </c>
      <c r="F109" s="9">
        <v>2</v>
      </c>
      <c r="G109" s="40" t="str">
        <f t="shared" si="11"/>
        <v>N,7,2,3,2</v>
      </c>
      <c r="H109" s="9">
        <v>0</v>
      </c>
      <c r="I109" s="9">
        <f>IF(AND(C109&lt;3,D109=1),1,IF(AND(C109&lt;3,D109=2),0,IF(AND(C109&gt;2,D109=1,E109 = 1),1-Model_Matched_Parameters!$K$4,IF(AND(C109&gt;2,D109=1,E109 = 2),Model_Matched_Parameters!$K$5,IF(AND(C109&gt;2, D109 = 2, E109 = 1),Model_Matched_Parameters!$K$4,Model_Matched_Parameters!$K$5)))))</f>
        <v>0.05</v>
      </c>
      <c r="J109" s="9">
        <f>IF(SUMIFS('Indirect Model Parameters'!$G$11:$G$16,'Indirect Model Parameters'!$D$11:$D$16,Pop_Init!E109,'Indirect Model Parameters'!$E$11:$E$16,Pop_Init!F109) = 0,'Indirect Model Parameters'!$G$17,'Indirect Model Parameters'!$G$18*SUMIFS('Indirect Model Parameters'!$G$11:$G$16,'Indirect Model Parameters'!$D$11:$D$16,Pop_Init!E109,'Indirect Model Parameters'!$E$11:$E$16,Pop_Init!F109))</f>
        <v>5.3999999999999979E-2</v>
      </c>
      <c r="L109" s="9">
        <f t="shared" si="8"/>
        <v>0</v>
      </c>
      <c r="M109" s="9">
        <f t="shared" si="9"/>
        <v>0</v>
      </c>
      <c r="N109" s="38">
        <f>M109*'Indirect Model Parameters'!$G$10</f>
        <v>0</v>
      </c>
    </row>
    <row r="110" spans="1:14" ht="32">
      <c r="A110" s="1" t="str">
        <f t="shared" si="10"/>
        <v>Population in TB compartment  Recovered/Treated with Drug-susceptible (DS) in HIV compartment  PLHIV and on ART and Male</v>
      </c>
      <c r="B110" s="8" t="s">
        <v>257</v>
      </c>
      <c r="C110" s="8">
        <v>7</v>
      </c>
      <c r="D110" s="9">
        <v>1</v>
      </c>
      <c r="E110" s="9">
        <v>4</v>
      </c>
      <c r="F110" s="9">
        <v>1</v>
      </c>
      <c r="G110" s="40" t="str">
        <f t="shared" si="11"/>
        <v>N,7,1,4,1</v>
      </c>
      <c r="H110" s="9">
        <v>0</v>
      </c>
      <c r="I110" s="9">
        <f>IF(AND(C110&lt;3,D110=1),1,IF(AND(C110&lt;3,D110=2),0,IF(AND(C110&gt;2,D110=1,E110 = 1),1-Model_Matched_Parameters!$K$4,IF(AND(C110&gt;2,D110=1,E110 = 2),Model_Matched_Parameters!$K$5,IF(AND(C110&gt;2, D110 = 2, E110 = 1),Model_Matched_Parameters!$K$4,Model_Matched_Parameters!$K$5)))))</f>
        <v>0.05</v>
      </c>
      <c r="J110" s="9">
        <f>IF(SUMIFS('Indirect Model Parameters'!$G$11:$G$16,'Indirect Model Parameters'!$D$11:$D$16,Pop_Init!E110,'Indirect Model Parameters'!$E$11:$E$16,Pop_Init!F110) = 0,'Indirect Model Parameters'!$G$17,'Indirect Model Parameters'!$G$18*SUMIFS('Indirect Model Parameters'!$G$11:$G$16,'Indirect Model Parameters'!$D$11:$D$16,Pop_Init!E110,'Indirect Model Parameters'!$E$11:$E$16,Pop_Init!F110))</f>
        <v>8.1000000000000003E-2</v>
      </c>
      <c r="L110" s="9">
        <f t="shared" si="8"/>
        <v>0</v>
      </c>
      <c r="M110" s="9">
        <f t="shared" si="9"/>
        <v>0</v>
      </c>
      <c r="N110" s="38">
        <f>M110*'Indirect Model Parameters'!$G$10</f>
        <v>0</v>
      </c>
    </row>
    <row r="111" spans="1:14" ht="48">
      <c r="A111" s="1" t="str">
        <f t="shared" si="10"/>
        <v>Population in TB compartment  Recovered/Treated with  Multidrug-resistant (MDR-TB) in HIV compartment  PLHIV and on ART and Male</v>
      </c>
      <c r="B111" s="8" t="s">
        <v>257</v>
      </c>
      <c r="C111" s="8">
        <v>7</v>
      </c>
      <c r="D111" s="9">
        <v>2</v>
      </c>
      <c r="E111" s="9">
        <v>4</v>
      </c>
      <c r="F111" s="9">
        <v>1</v>
      </c>
      <c r="G111" s="40" t="str">
        <f t="shared" si="11"/>
        <v>N,7,2,4,1</v>
      </c>
      <c r="H111" s="9">
        <v>0</v>
      </c>
      <c r="I111" s="9">
        <f>IF(AND(C111&lt;3,D111=1),1,IF(AND(C111&lt;3,D111=2),0,IF(AND(C111&gt;2,D111=1,E111 = 1),1-Model_Matched_Parameters!$K$4,IF(AND(C111&gt;2,D111=1,E111 = 2),Model_Matched_Parameters!$K$5,IF(AND(C111&gt;2, D111 = 2, E111 = 1),Model_Matched_Parameters!$K$4,Model_Matched_Parameters!$K$5)))))</f>
        <v>0.05</v>
      </c>
      <c r="J111" s="9">
        <f>IF(SUMIFS('Indirect Model Parameters'!$G$11:$G$16,'Indirect Model Parameters'!$D$11:$D$16,Pop_Init!E111,'Indirect Model Parameters'!$E$11:$E$16,Pop_Init!F111) = 0,'Indirect Model Parameters'!$G$17,'Indirect Model Parameters'!$G$18*SUMIFS('Indirect Model Parameters'!$G$11:$G$16,'Indirect Model Parameters'!$D$11:$D$16,Pop_Init!E111,'Indirect Model Parameters'!$E$11:$E$16,Pop_Init!F111))</f>
        <v>8.1000000000000003E-2</v>
      </c>
      <c r="L111" s="9">
        <f t="shared" si="8"/>
        <v>0</v>
      </c>
      <c r="M111" s="9">
        <f t="shared" si="9"/>
        <v>0</v>
      </c>
      <c r="N111" s="38">
        <f>M111*'Indirect Model Parameters'!$G$10</f>
        <v>0</v>
      </c>
    </row>
    <row r="112" spans="1:14" ht="48">
      <c r="A112" s="1" t="str">
        <f t="shared" si="10"/>
        <v>Population in TB compartment  Recovered/Treated with Drug-susceptible (DS) in HIV compartment  PLHIV and on ART and Female</v>
      </c>
      <c r="B112" s="8" t="s">
        <v>257</v>
      </c>
      <c r="C112" s="8">
        <v>7</v>
      </c>
      <c r="D112" s="9">
        <v>1</v>
      </c>
      <c r="E112" s="9">
        <v>4</v>
      </c>
      <c r="F112" s="9">
        <v>2</v>
      </c>
      <c r="G112" s="40" t="str">
        <f t="shared" si="11"/>
        <v>N,7,1,4,2</v>
      </c>
      <c r="H112" s="9">
        <v>0</v>
      </c>
      <c r="I112" s="9">
        <f>IF(AND(C112&lt;3,D112=1),1,IF(AND(C112&lt;3,D112=2),0,IF(AND(C112&gt;2,D112=1,E112 = 1),1-Model_Matched_Parameters!$K$4,IF(AND(C112&gt;2,D112=1,E112 = 2),Model_Matched_Parameters!$K$5,IF(AND(C112&gt;2, D112 = 2, E112 = 1),Model_Matched_Parameters!$K$4,Model_Matched_Parameters!$K$5)))))</f>
        <v>0.05</v>
      </c>
      <c r="J112" s="9">
        <f>IF(SUMIFS('Indirect Model Parameters'!$G$11:$G$16,'Indirect Model Parameters'!$D$11:$D$16,Pop_Init!E112,'Indirect Model Parameters'!$E$11:$E$16,Pop_Init!F112) = 0,'Indirect Model Parameters'!$G$17,'Indirect Model Parameters'!$G$18*SUMIFS('Indirect Model Parameters'!$G$11:$G$16,'Indirect Model Parameters'!$D$11:$D$16,Pop_Init!E112,'Indirect Model Parameters'!$E$11:$E$16,Pop_Init!F112))</f>
        <v>8.1000000000000003E-2</v>
      </c>
      <c r="L112" s="9">
        <f t="shared" si="8"/>
        <v>0</v>
      </c>
      <c r="M112" s="9">
        <f t="shared" si="9"/>
        <v>0</v>
      </c>
      <c r="N112" s="38">
        <f>M112*'Indirect Model Parameters'!$G$10</f>
        <v>0</v>
      </c>
    </row>
    <row r="113" spans="1:14" ht="48">
      <c r="A113" s="1" t="str">
        <f t="shared" si="10"/>
        <v>Population in TB compartment  Recovered/Treated with  Multidrug-resistant (MDR-TB) in HIV compartment  PLHIV and on ART and Female</v>
      </c>
      <c r="B113" s="8" t="s">
        <v>257</v>
      </c>
      <c r="C113" s="8">
        <v>7</v>
      </c>
      <c r="D113" s="9">
        <v>2</v>
      </c>
      <c r="E113" s="9">
        <v>4</v>
      </c>
      <c r="F113" s="9">
        <v>2</v>
      </c>
      <c r="G113" s="40" t="str">
        <f t="shared" si="11"/>
        <v>N,7,2,4,2</v>
      </c>
      <c r="H113" s="9">
        <v>0</v>
      </c>
      <c r="I113" s="9">
        <f>IF(AND(C113&lt;3,D113=1),1,IF(AND(C113&lt;3,D113=2),0,IF(AND(C113&gt;2,D113=1,E113 = 1),1-Model_Matched_Parameters!$K$4,IF(AND(C113&gt;2,D113=1,E113 = 2),Model_Matched_Parameters!$K$5,IF(AND(C113&gt;2, D113 = 2, E113 = 1),Model_Matched_Parameters!$K$4,Model_Matched_Parameters!$K$5)))))</f>
        <v>0.05</v>
      </c>
      <c r="J113" s="9">
        <f>IF(SUMIFS('Indirect Model Parameters'!$G$11:$G$16,'Indirect Model Parameters'!$D$11:$D$16,Pop_Init!E113,'Indirect Model Parameters'!$E$11:$E$16,Pop_Init!F113) = 0,'Indirect Model Parameters'!$G$17,'Indirect Model Parameters'!$G$18*SUMIFS('Indirect Model Parameters'!$G$11:$G$16,'Indirect Model Parameters'!$D$11:$D$16,Pop_Init!E113,'Indirect Model Parameters'!$E$11:$E$16,Pop_Init!F113))</f>
        <v>8.1000000000000003E-2</v>
      </c>
      <c r="L113" s="9">
        <f t="shared" si="8"/>
        <v>0</v>
      </c>
      <c r="M113" s="9">
        <f t="shared" si="9"/>
        <v>0</v>
      </c>
      <c r="N113" s="38">
        <f>M113*'Indirect Model Parameters'!$G$10</f>
        <v>0</v>
      </c>
    </row>
    <row r="114" spans="1:14" ht="32">
      <c r="A114" s="1" t="str">
        <f t="shared" si="10"/>
        <v>Population in TB compartment  LTBI, after IPT with Drug-susceptible (DS) in HIV compartment  HIV-negative and Male</v>
      </c>
      <c r="B114" s="8" t="s">
        <v>257</v>
      </c>
      <c r="C114" s="8">
        <v>8</v>
      </c>
      <c r="D114" s="9">
        <v>1</v>
      </c>
      <c r="E114" s="9">
        <v>1</v>
      </c>
      <c r="F114" s="9">
        <v>1</v>
      </c>
      <c r="G114" s="40" t="str">
        <f t="shared" si="11"/>
        <v>N,8,1,1,1</v>
      </c>
      <c r="H114" s="9">
        <f>IF(F114=1,'Indirect Model Parameters'!$G$21,'Indirect Model Parameters'!$G$22)</f>
        <v>0.49</v>
      </c>
      <c r="I114" s="9">
        <f>IF(AND(C114&lt;3,D114=1),1,IF(AND(C114&lt;3,D114=2),0,IF(AND(C114&gt;2,D114=1,E114 = 1),1-Model_Matched_Parameters!$K$4,IF(AND(C114&gt;2,D114=1,E114 = 2),Model_Matched_Parameters!$K$5,IF(AND(C114&gt;2, D114 = 2, E114 = 1),Model_Matched_Parameters!$K$4,Model_Matched_Parameters!$K$5)))))</f>
        <v>0.95</v>
      </c>
      <c r="J114" s="9">
        <f>IF(SUMIFS('Indirect Model Parameters'!$G$11:$G$16,'Indirect Model Parameters'!$D$11:$D$16,Pop_Init!E114,'Indirect Model Parameters'!$E$11:$E$16,Pop_Init!F114) = 0,'Indirect Model Parameters'!$G$17,'Indirect Model Parameters'!$G$18*SUMIFS('Indirect Model Parameters'!$G$11:$G$16,'Indirect Model Parameters'!$D$11:$D$16,Pop_Init!E114,'Indirect Model Parameters'!$E$11:$E$16,Pop_Init!F114))</f>
        <v>0.7</v>
      </c>
      <c r="L114" s="9">
        <f t="shared" si="8"/>
        <v>0.32584999999999997</v>
      </c>
      <c r="M114" s="9">
        <f t="shared" si="9"/>
        <v>6.622967479674792E-2</v>
      </c>
      <c r="N114" s="38">
        <f>M114*'Indirect Model Parameters'!$G$10</f>
        <v>6622.9674796747922</v>
      </c>
    </row>
    <row r="115" spans="1:14" ht="32">
      <c r="A115" s="1" t="str">
        <f t="shared" si="10"/>
        <v>Population in TB compartment  LTBI, after IPT with  Multidrug-resistant (MDR-TB) in HIV compartment  HIV-negative and Male</v>
      </c>
      <c r="B115" s="8" t="s">
        <v>257</v>
      </c>
      <c r="C115" s="8">
        <v>8</v>
      </c>
      <c r="D115" s="9">
        <v>2</v>
      </c>
      <c r="E115" s="9">
        <v>1</v>
      </c>
      <c r="F115" s="9">
        <v>1</v>
      </c>
      <c r="G115" s="40" t="str">
        <f t="shared" si="11"/>
        <v>N,8,2,1,1</v>
      </c>
      <c r="H115" s="9">
        <f>IF(F115=1,'Indirect Model Parameters'!$G$21,'Indirect Model Parameters'!$G$22)</f>
        <v>0.49</v>
      </c>
      <c r="I115" s="9">
        <f>IF(AND(C115&lt;3,D115=1),1,IF(AND(C115&lt;3,D115=2),0,IF(AND(C115&gt;2,D115=1,E115 = 1),1-Model_Matched_Parameters!$K$4,IF(AND(C115&gt;2,D115=1,E115 = 2),Model_Matched_Parameters!$K$5,IF(AND(C115&gt;2, D115 = 2, E115 = 1),Model_Matched_Parameters!$K$4,Model_Matched_Parameters!$K$5)))))</f>
        <v>0.05</v>
      </c>
      <c r="J115" s="9">
        <f>IF(SUMIFS('Indirect Model Parameters'!$G$11:$G$16,'Indirect Model Parameters'!$D$11:$D$16,Pop_Init!E115,'Indirect Model Parameters'!$E$11:$E$16,Pop_Init!F115) = 0,'Indirect Model Parameters'!$G$17,'Indirect Model Parameters'!$G$18*SUMIFS('Indirect Model Parameters'!$G$11:$G$16,'Indirect Model Parameters'!$D$11:$D$16,Pop_Init!E115,'Indirect Model Parameters'!$E$11:$E$16,Pop_Init!F115))</f>
        <v>0.7</v>
      </c>
      <c r="L115" s="9">
        <f t="shared" si="8"/>
        <v>1.7149999999999999E-2</v>
      </c>
      <c r="M115" s="9">
        <f t="shared" si="9"/>
        <v>3.4857723577235745E-3</v>
      </c>
      <c r="N115" s="38">
        <f>M115*'Indirect Model Parameters'!$G$10</f>
        <v>348.57723577235748</v>
      </c>
    </row>
    <row r="116" spans="1:14" ht="32">
      <c r="A116" s="1" t="str">
        <f t="shared" si="10"/>
        <v>Population in TB compartment  LTBI, after IPT with Drug-susceptible (DS) in HIV compartment  HIV-negative and Female</v>
      </c>
      <c r="B116" s="8" t="s">
        <v>257</v>
      </c>
      <c r="C116" s="8">
        <v>8</v>
      </c>
      <c r="D116" s="9">
        <v>1</v>
      </c>
      <c r="E116" s="9">
        <v>1</v>
      </c>
      <c r="F116" s="9">
        <v>2</v>
      </c>
      <c r="G116" s="40" t="str">
        <f t="shared" si="11"/>
        <v>N,8,1,1,2</v>
      </c>
      <c r="H116" s="9">
        <f>IF(F116=1,'Indirect Model Parameters'!$G$21,'Indirect Model Parameters'!$G$22)</f>
        <v>0.49</v>
      </c>
      <c r="I116" s="9">
        <f>IF(AND(C116&lt;3,D116=1),1,IF(AND(C116&lt;3,D116=2),0,IF(AND(C116&gt;2,D116=1,E116 = 1),1-Model_Matched_Parameters!$K$4,IF(AND(C116&gt;2,D116=1,E116 = 2),Model_Matched_Parameters!$K$5,IF(AND(C116&gt;2, D116 = 2, E116 = 1),Model_Matched_Parameters!$K$4,Model_Matched_Parameters!$K$5)))))</f>
        <v>0.95</v>
      </c>
      <c r="J116" s="9">
        <f>IF(SUMIFS('Indirect Model Parameters'!$G$11:$G$16,'Indirect Model Parameters'!$D$11:$D$16,Pop_Init!E116,'Indirect Model Parameters'!$E$11:$E$16,Pop_Init!F116) = 0,'Indirect Model Parameters'!$G$17,'Indirect Model Parameters'!$G$18*SUMIFS('Indirect Model Parameters'!$G$11:$G$16,'Indirect Model Parameters'!$D$11:$D$16,Pop_Init!E116,'Indirect Model Parameters'!$E$11:$E$16,Pop_Init!F116))</f>
        <v>0.7</v>
      </c>
      <c r="L116" s="9">
        <f t="shared" si="8"/>
        <v>0.32584999999999997</v>
      </c>
      <c r="M116" s="9">
        <f t="shared" si="9"/>
        <v>6.622967479674792E-2</v>
      </c>
      <c r="N116" s="38">
        <f>M116*'Indirect Model Parameters'!$G$10</f>
        <v>6622.9674796747922</v>
      </c>
    </row>
    <row r="117" spans="1:14" ht="32">
      <c r="A117" s="1" t="str">
        <f t="shared" si="10"/>
        <v>Population in TB compartment  LTBI, after IPT with  Multidrug-resistant (MDR-TB) in HIV compartment  HIV-negative and Female</v>
      </c>
      <c r="B117" s="8" t="s">
        <v>257</v>
      </c>
      <c r="C117" s="8">
        <v>8</v>
      </c>
      <c r="D117" s="9">
        <v>2</v>
      </c>
      <c r="E117" s="9">
        <v>1</v>
      </c>
      <c r="F117" s="9">
        <v>2</v>
      </c>
      <c r="G117" s="40" t="str">
        <f t="shared" si="11"/>
        <v>N,8,2,1,2</v>
      </c>
      <c r="H117" s="9">
        <f>IF(F117=1,'Indirect Model Parameters'!$G$21,'Indirect Model Parameters'!$G$22)</f>
        <v>0.49</v>
      </c>
      <c r="I117" s="9">
        <f>IF(AND(C117&lt;3,D117=1),1,IF(AND(C117&lt;3,D117=2),0,IF(AND(C117&gt;2,D117=1,E117 = 1),1-Model_Matched_Parameters!$K$4,IF(AND(C117&gt;2,D117=1,E117 = 2),Model_Matched_Parameters!$K$5,IF(AND(C117&gt;2, D117 = 2, E117 = 1),Model_Matched_Parameters!$K$4,Model_Matched_Parameters!$K$5)))))</f>
        <v>0.05</v>
      </c>
      <c r="J117" s="9">
        <f>IF(SUMIFS('Indirect Model Parameters'!$G$11:$G$16,'Indirect Model Parameters'!$D$11:$D$16,Pop_Init!E117,'Indirect Model Parameters'!$E$11:$E$16,Pop_Init!F117) = 0,'Indirect Model Parameters'!$G$17,'Indirect Model Parameters'!$G$18*SUMIFS('Indirect Model Parameters'!$G$11:$G$16,'Indirect Model Parameters'!$D$11:$D$16,Pop_Init!E117,'Indirect Model Parameters'!$E$11:$E$16,Pop_Init!F117))</f>
        <v>0.7</v>
      </c>
      <c r="L117" s="9">
        <f t="shared" si="8"/>
        <v>1.7149999999999999E-2</v>
      </c>
      <c r="M117" s="9">
        <f t="shared" si="9"/>
        <v>3.4857723577235745E-3</v>
      </c>
      <c r="N117" s="38">
        <f>M117*'Indirect Model Parameters'!$G$10</f>
        <v>348.57723577235748</v>
      </c>
    </row>
    <row r="118" spans="1:14" ht="48">
      <c r="A118" s="1" t="str">
        <f t="shared" si="10"/>
        <v>Population in TB compartment  LTBI, after IPT with Drug-susceptible (DS) in HIV compartment  PLHIV not on ART, CD4&gt;200 and Male</v>
      </c>
      <c r="B118" s="8" t="s">
        <v>257</v>
      </c>
      <c r="C118" s="8">
        <v>8</v>
      </c>
      <c r="D118" s="9">
        <v>1</v>
      </c>
      <c r="E118" s="9">
        <v>2</v>
      </c>
      <c r="F118" s="9">
        <v>1</v>
      </c>
      <c r="G118" s="40" t="str">
        <f t="shared" si="11"/>
        <v>N,8,1,2,1</v>
      </c>
      <c r="H118" s="9">
        <f>IF(F118=1,'Indirect Model Parameters'!$G$23,'Indirect Model Parameters'!$G$24)</f>
        <v>0.5</v>
      </c>
      <c r="I118" s="9">
        <f>IF(AND(C118&lt;3,D118=1),1,IF(AND(C118&lt;3,D118=2),0,IF(AND(C118&gt;2,D118=1,E118 = 1),1-Model_Matched_Parameters!$K$4,IF(AND(C118&gt;2,D118=1,E118 = 2),Model_Matched_Parameters!$K$5,IF(AND(C118&gt;2, D118 = 2, E118 = 1),Model_Matched_Parameters!$K$4,Model_Matched_Parameters!$K$5)))))</f>
        <v>0.05</v>
      </c>
      <c r="J118" s="9">
        <f>IF(SUMIFS('Indirect Model Parameters'!$G$11:$G$16,'Indirect Model Parameters'!$D$11:$D$16,Pop_Init!E118,'Indirect Model Parameters'!$E$11:$E$16,Pop_Init!F118) = 0,'Indirect Model Parameters'!$G$17,'Indirect Model Parameters'!$G$18*SUMIFS('Indirect Model Parameters'!$G$11:$G$16,'Indirect Model Parameters'!$D$11:$D$16,Pop_Init!E118,'Indirect Model Parameters'!$E$11:$E$16,Pop_Init!F118))</f>
        <v>0.16500000000000001</v>
      </c>
      <c r="L118" s="9">
        <f t="shared" si="8"/>
        <v>4.1250000000000002E-3</v>
      </c>
      <c r="M118" s="9">
        <f t="shared" si="9"/>
        <v>8.3841463414634091E-4</v>
      </c>
      <c r="N118" s="38">
        <f>M118*'Indirect Model Parameters'!$G$10</f>
        <v>83.841463414634092</v>
      </c>
    </row>
    <row r="119" spans="1:14" ht="48">
      <c r="A119" s="1" t="str">
        <f t="shared" si="10"/>
        <v>Population in TB compartment  LTBI, after IPT with  Multidrug-resistant (MDR-TB) in HIV compartment  PLHIV not on ART, CD4&gt;200 and Male</v>
      </c>
      <c r="B119" s="8" t="s">
        <v>257</v>
      </c>
      <c r="C119" s="8">
        <v>8</v>
      </c>
      <c r="D119" s="9">
        <v>2</v>
      </c>
      <c r="E119" s="9">
        <v>2</v>
      </c>
      <c r="F119" s="9">
        <v>1</v>
      </c>
      <c r="G119" s="40" t="str">
        <f t="shared" si="11"/>
        <v>N,8,2,2,1</v>
      </c>
      <c r="H119" s="9">
        <f>IF(F119=1,'Indirect Model Parameters'!$G$23,'Indirect Model Parameters'!$G$24)</f>
        <v>0.5</v>
      </c>
      <c r="I119" s="9">
        <f>IF(AND(C119&lt;3,D119=1),1,IF(AND(C119&lt;3,D119=2),0,IF(AND(C119&gt;2,D119=1,E119 = 1),1-Model_Matched_Parameters!$K$4,IF(AND(C119&gt;2,D119=1,E119 = 2),Model_Matched_Parameters!$K$5,IF(AND(C119&gt;2, D119 = 2, E119 = 1),Model_Matched_Parameters!$K$4,Model_Matched_Parameters!$K$5)))))</f>
        <v>0.05</v>
      </c>
      <c r="J119" s="9">
        <f>IF(SUMIFS('Indirect Model Parameters'!$G$11:$G$16,'Indirect Model Parameters'!$D$11:$D$16,Pop_Init!E119,'Indirect Model Parameters'!$E$11:$E$16,Pop_Init!F119) = 0,'Indirect Model Parameters'!$G$17,'Indirect Model Parameters'!$G$18*SUMIFS('Indirect Model Parameters'!$G$11:$G$16,'Indirect Model Parameters'!$D$11:$D$16,Pop_Init!E119,'Indirect Model Parameters'!$E$11:$E$16,Pop_Init!F119))</f>
        <v>0.16500000000000001</v>
      </c>
      <c r="L119" s="9">
        <f t="shared" si="8"/>
        <v>4.1250000000000002E-3</v>
      </c>
      <c r="M119" s="9">
        <f t="shared" si="9"/>
        <v>8.3841463414634091E-4</v>
      </c>
      <c r="N119" s="38">
        <f>M119*'Indirect Model Parameters'!$G$10</f>
        <v>83.841463414634092</v>
      </c>
    </row>
    <row r="120" spans="1:14" ht="48">
      <c r="A120" s="1" t="str">
        <f t="shared" si="10"/>
        <v>Population in TB compartment  LTBI, after IPT with Drug-susceptible (DS) in HIV compartment  PLHIV not on ART, CD4&gt;200 and Female</v>
      </c>
      <c r="B120" s="8" t="s">
        <v>257</v>
      </c>
      <c r="C120" s="8">
        <v>8</v>
      </c>
      <c r="D120" s="9">
        <v>1</v>
      </c>
      <c r="E120" s="9">
        <v>2</v>
      </c>
      <c r="F120" s="9">
        <v>2</v>
      </c>
      <c r="G120" s="40" t="str">
        <f t="shared" si="11"/>
        <v>N,8,1,2,2</v>
      </c>
      <c r="H120" s="9">
        <f>IF(F120=1,'Indirect Model Parameters'!$G$23,'Indirect Model Parameters'!$G$24)</f>
        <v>0.5</v>
      </c>
      <c r="I120" s="9">
        <f>IF(AND(C120&lt;3,D120=1),1,IF(AND(C120&lt;3,D120=2),0,IF(AND(C120&gt;2,D120=1,E120 = 1),1-Model_Matched_Parameters!$K$4,IF(AND(C120&gt;2,D120=1,E120 = 2),Model_Matched_Parameters!$K$5,IF(AND(C120&gt;2, D120 = 2, E120 = 1),Model_Matched_Parameters!$K$4,Model_Matched_Parameters!$K$5)))))</f>
        <v>0.05</v>
      </c>
      <c r="J120" s="9">
        <f>IF(SUMIFS('Indirect Model Parameters'!$G$11:$G$16,'Indirect Model Parameters'!$D$11:$D$16,Pop_Init!E120,'Indirect Model Parameters'!$E$11:$E$16,Pop_Init!F120) = 0,'Indirect Model Parameters'!$G$17,'Indirect Model Parameters'!$G$18*SUMIFS('Indirect Model Parameters'!$G$11:$G$16,'Indirect Model Parameters'!$D$11:$D$16,Pop_Init!E120,'Indirect Model Parameters'!$E$11:$E$16,Pop_Init!F120))</f>
        <v>0.16500000000000001</v>
      </c>
      <c r="L120" s="9">
        <f t="shared" si="8"/>
        <v>4.1250000000000002E-3</v>
      </c>
      <c r="M120" s="9">
        <f t="shared" si="9"/>
        <v>8.3841463414634091E-4</v>
      </c>
      <c r="N120" s="38">
        <f>M120*'Indirect Model Parameters'!$G$10</f>
        <v>83.841463414634092</v>
      </c>
    </row>
    <row r="121" spans="1:14" ht="48">
      <c r="A121" s="1" t="str">
        <f t="shared" si="10"/>
        <v>Population in TB compartment  LTBI, after IPT with  Multidrug-resistant (MDR-TB) in HIV compartment  PLHIV not on ART, CD4&gt;200 and Female</v>
      </c>
      <c r="B121" s="8" t="s">
        <v>257</v>
      </c>
      <c r="C121" s="8">
        <v>8</v>
      </c>
      <c r="D121" s="9">
        <v>2</v>
      </c>
      <c r="E121" s="9">
        <v>2</v>
      </c>
      <c r="F121" s="9">
        <v>2</v>
      </c>
      <c r="G121" s="40" t="str">
        <f t="shared" si="11"/>
        <v>N,8,2,2,2</v>
      </c>
      <c r="H121" s="9">
        <f>IF(F121=1,'Indirect Model Parameters'!$G$23,'Indirect Model Parameters'!$G$24)</f>
        <v>0.5</v>
      </c>
      <c r="I121" s="9">
        <f>IF(AND(C121&lt;3,D121=1),1,IF(AND(C121&lt;3,D121=2),0,IF(AND(C121&gt;2,D121=1,E121 = 1),1-Model_Matched_Parameters!$K$4,IF(AND(C121&gt;2,D121=1,E121 = 2),Model_Matched_Parameters!$K$5,IF(AND(C121&gt;2, D121 = 2, E121 = 1),Model_Matched_Parameters!$K$4,Model_Matched_Parameters!$K$5)))))</f>
        <v>0.05</v>
      </c>
      <c r="J121" s="9">
        <f>IF(SUMIFS('Indirect Model Parameters'!$G$11:$G$16,'Indirect Model Parameters'!$D$11:$D$16,Pop_Init!E121,'Indirect Model Parameters'!$E$11:$E$16,Pop_Init!F121) = 0,'Indirect Model Parameters'!$G$17,'Indirect Model Parameters'!$G$18*SUMIFS('Indirect Model Parameters'!$G$11:$G$16,'Indirect Model Parameters'!$D$11:$D$16,Pop_Init!E121,'Indirect Model Parameters'!$E$11:$E$16,Pop_Init!F121))</f>
        <v>0.16500000000000001</v>
      </c>
      <c r="L121" s="9">
        <f t="shared" si="8"/>
        <v>4.1250000000000002E-3</v>
      </c>
      <c r="M121" s="9">
        <f t="shared" si="9"/>
        <v>8.3841463414634091E-4</v>
      </c>
      <c r="N121" s="38">
        <f>M121*'Indirect Model Parameters'!$G$10</f>
        <v>83.841463414634092</v>
      </c>
    </row>
    <row r="122" spans="1:14" ht="48">
      <c r="A122" s="1" t="str">
        <f t="shared" si="10"/>
        <v>Population in TB compartment  LTBI, after IPT with Drug-susceptible (DS) in HIV compartment  PLHIV not on ART, CD4≤200 and Male</v>
      </c>
      <c r="B122" s="8" t="s">
        <v>257</v>
      </c>
      <c r="C122" s="8">
        <v>8</v>
      </c>
      <c r="D122" s="9">
        <v>1</v>
      </c>
      <c r="E122" s="9">
        <v>3</v>
      </c>
      <c r="F122" s="9">
        <v>1</v>
      </c>
      <c r="G122" s="40" t="str">
        <f t="shared" si="11"/>
        <v>N,8,1,3,1</v>
      </c>
      <c r="H122" s="9">
        <f>IF(F122=1,'Indirect Model Parameters'!$G$23,'Indirect Model Parameters'!$G$24)</f>
        <v>0.5</v>
      </c>
      <c r="I122" s="9">
        <f>IF(AND(C122&lt;3,D122=1),1,IF(AND(C122&lt;3,D122=2),0,IF(AND(C122&gt;2,D122=1,E122 = 1),1-Model_Matched_Parameters!$K$4,IF(AND(C122&gt;2,D122=1,E122 = 2),Model_Matched_Parameters!$K$5,IF(AND(C122&gt;2, D122 = 2, E122 = 1),Model_Matched_Parameters!$K$4,Model_Matched_Parameters!$K$5)))))</f>
        <v>0.05</v>
      </c>
      <c r="J122" s="9">
        <f>IF(SUMIFS('Indirect Model Parameters'!$G$11:$G$16,'Indirect Model Parameters'!$D$11:$D$16,Pop_Init!E122,'Indirect Model Parameters'!$E$11:$E$16,Pop_Init!F122) = 0,'Indirect Model Parameters'!$G$17,'Indirect Model Parameters'!$G$18*SUMIFS('Indirect Model Parameters'!$G$11:$G$16,'Indirect Model Parameters'!$D$11:$D$16,Pop_Init!E122,'Indirect Model Parameters'!$E$11:$E$16,Pop_Init!F122))</f>
        <v>5.3999999999999979E-2</v>
      </c>
      <c r="L122" s="9">
        <f t="shared" si="8"/>
        <v>1.3499999999999996E-3</v>
      </c>
      <c r="M122" s="9">
        <f t="shared" si="9"/>
        <v>2.7439024390243878E-4</v>
      </c>
      <c r="N122" s="38">
        <f>M122*'Indirect Model Parameters'!$G$10</f>
        <v>27.43902439024388</v>
      </c>
    </row>
    <row r="123" spans="1:14" ht="48">
      <c r="A123" s="1" t="str">
        <f t="shared" si="10"/>
        <v>Population in TB compartment  LTBI, after IPT with  Multidrug-resistant (MDR-TB) in HIV compartment  PLHIV not on ART, CD4≤200 and Male</v>
      </c>
      <c r="B123" s="8" t="s">
        <v>257</v>
      </c>
      <c r="C123" s="8">
        <v>8</v>
      </c>
      <c r="D123" s="9">
        <v>2</v>
      </c>
      <c r="E123" s="9">
        <v>3</v>
      </c>
      <c r="F123" s="9">
        <v>1</v>
      </c>
      <c r="G123" s="40" t="str">
        <f t="shared" si="11"/>
        <v>N,8,2,3,1</v>
      </c>
      <c r="H123" s="9">
        <f>IF(F123=1,'Indirect Model Parameters'!$G$23,'Indirect Model Parameters'!$G$24)</f>
        <v>0.5</v>
      </c>
      <c r="I123" s="9">
        <f>IF(AND(C123&lt;3,D123=1),1,IF(AND(C123&lt;3,D123=2),0,IF(AND(C123&gt;2,D123=1,E123 = 1),1-Model_Matched_Parameters!$K$4,IF(AND(C123&gt;2,D123=1,E123 = 2),Model_Matched_Parameters!$K$5,IF(AND(C123&gt;2, D123 = 2, E123 = 1),Model_Matched_Parameters!$K$4,Model_Matched_Parameters!$K$5)))))</f>
        <v>0.05</v>
      </c>
      <c r="J123" s="9">
        <f>IF(SUMIFS('Indirect Model Parameters'!$G$11:$G$16,'Indirect Model Parameters'!$D$11:$D$16,Pop_Init!E123,'Indirect Model Parameters'!$E$11:$E$16,Pop_Init!F123) = 0,'Indirect Model Parameters'!$G$17,'Indirect Model Parameters'!$G$18*SUMIFS('Indirect Model Parameters'!$G$11:$G$16,'Indirect Model Parameters'!$D$11:$D$16,Pop_Init!E123,'Indirect Model Parameters'!$E$11:$E$16,Pop_Init!F123))</f>
        <v>5.3999999999999979E-2</v>
      </c>
      <c r="L123" s="9">
        <f t="shared" si="8"/>
        <v>1.3499999999999996E-3</v>
      </c>
      <c r="M123" s="9">
        <f t="shared" si="9"/>
        <v>2.7439024390243878E-4</v>
      </c>
      <c r="N123" s="38">
        <f>M123*'Indirect Model Parameters'!$G$10</f>
        <v>27.43902439024388</v>
      </c>
    </row>
    <row r="124" spans="1:14" ht="48">
      <c r="A124" s="1" t="str">
        <f t="shared" si="10"/>
        <v>Population in TB compartment  LTBI, after IPT with Drug-susceptible (DS) in HIV compartment  PLHIV not on ART, CD4≤200 and Female</v>
      </c>
      <c r="B124" s="8" t="s">
        <v>257</v>
      </c>
      <c r="C124" s="8">
        <v>8</v>
      </c>
      <c r="D124" s="9">
        <v>1</v>
      </c>
      <c r="E124" s="9">
        <v>3</v>
      </c>
      <c r="F124" s="9">
        <v>2</v>
      </c>
      <c r="G124" s="40" t="str">
        <f t="shared" si="11"/>
        <v>N,8,1,3,2</v>
      </c>
      <c r="H124" s="9">
        <f>IF(F124=1,'Indirect Model Parameters'!$G$23,'Indirect Model Parameters'!$G$24)</f>
        <v>0.5</v>
      </c>
      <c r="I124" s="9">
        <f>IF(AND(C124&lt;3,D124=1),1,IF(AND(C124&lt;3,D124=2),0,IF(AND(C124&gt;2,D124=1,E124 = 1),1-Model_Matched_Parameters!$K$4,IF(AND(C124&gt;2,D124=1,E124 = 2),Model_Matched_Parameters!$K$5,IF(AND(C124&gt;2, D124 = 2, E124 = 1),Model_Matched_Parameters!$K$4,Model_Matched_Parameters!$K$5)))))</f>
        <v>0.05</v>
      </c>
      <c r="J124" s="9">
        <f>IF(SUMIFS('Indirect Model Parameters'!$G$11:$G$16,'Indirect Model Parameters'!$D$11:$D$16,Pop_Init!E124,'Indirect Model Parameters'!$E$11:$E$16,Pop_Init!F124) = 0,'Indirect Model Parameters'!$G$17,'Indirect Model Parameters'!$G$18*SUMIFS('Indirect Model Parameters'!$G$11:$G$16,'Indirect Model Parameters'!$D$11:$D$16,Pop_Init!E124,'Indirect Model Parameters'!$E$11:$E$16,Pop_Init!F124))</f>
        <v>5.3999999999999979E-2</v>
      </c>
      <c r="L124" s="9">
        <f t="shared" si="8"/>
        <v>1.3499999999999996E-3</v>
      </c>
      <c r="M124" s="9">
        <f t="shared" si="9"/>
        <v>2.7439024390243878E-4</v>
      </c>
      <c r="N124" s="38">
        <f>M124*'Indirect Model Parameters'!$G$10</f>
        <v>27.43902439024388</v>
      </c>
    </row>
    <row r="125" spans="1:14" ht="48">
      <c r="A125" s="1" t="str">
        <f t="shared" si="10"/>
        <v>Population in TB compartment  LTBI, after IPT with  Multidrug-resistant (MDR-TB) in HIV compartment  PLHIV not on ART, CD4≤200 and Female</v>
      </c>
      <c r="B125" s="8" t="s">
        <v>257</v>
      </c>
      <c r="C125" s="8">
        <v>8</v>
      </c>
      <c r="D125" s="9">
        <v>2</v>
      </c>
      <c r="E125" s="9">
        <v>3</v>
      </c>
      <c r="F125" s="9">
        <v>2</v>
      </c>
      <c r="G125" s="40" t="str">
        <f t="shared" si="11"/>
        <v>N,8,2,3,2</v>
      </c>
      <c r="H125" s="9">
        <f>IF(F125=1,'Indirect Model Parameters'!$G$23,'Indirect Model Parameters'!$G$24)</f>
        <v>0.5</v>
      </c>
      <c r="I125" s="9">
        <f>IF(AND(C125&lt;3,D125=1),1,IF(AND(C125&lt;3,D125=2),0,IF(AND(C125&gt;2,D125=1,E125 = 1),1-Model_Matched_Parameters!$K$4,IF(AND(C125&gt;2,D125=1,E125 = 2),Model_Matched_Parameters!$K$5,IF(AND(C125&gt;2, D125 = 2, E125 = 1),Model_Matched_Parameters!$K$4,Model_Matched_Parameters!$K$5)))))</f>
        <v>0.05</v>
      </c>
      <c r="J125" s="9">
        <f>IF(SUMIFS('Indirect Model Parameters'!$G$11:$G$16,'Indirect Model Parameters'!$D$11:$D$16,Pop_Init!E125,'Indirect Model Parameters'!$E$11:$E$16,Pop_Init!F125) = 0,'Indirect Model Parameters'!$G$17,'Indirect Model Parameters'!$G$18*SUMIFS('Indirect Model Parameters'!$G$11:$G$16,'Indirect Model Parameters'!$D$11:$D$16,Pop_Init!E125,'Indirect Model Parameters'!$E$11:$E$16,Pop_Init!F125))</f>
        <v>5.3999999999999979E-2</v>
      </c>
      <c r="L125" s="9">
        <f t="shared" si="8"/>
        <v>1.3499999999999996E-3</v>
      </c>
      <c r="M125" s="9">
        <f t="shared" si="9"/>
        <v>2.7439024390243878E-4</v>
      </c>
      <c r="N125" s="38">
        <f>M125*'Indirect Model Parameters'!$G$10</f>
        <v>27.43902439024388</v>
      </c>
    </row>
    <row r="126" spans="1:14" ht="32">
      <c r="A126" s="1" t="str">
        <f t="shared" si="10"/>
        <v>Population in TB compartment  LTBI, after IPT with Drug-susceptible (DS) in HIV compartment  PLHIV and on ART and Male</v>
      </c>
      <c r="B126" s="8" t="s">
        <v>257</v>
      </c>
      <c r="C126" s="8">
        <v>8</v>
      </c>
      <c r="D126" s="9">
        <v>1</v>
      </c>
      <c r="E126" s="9">
        <v>4</v>
      </c>
      <c r="F126" s="9">
        <v>1</v>
      </c>
      <c r="G126" s="40" t="str">
        <f t="shared" si="11"/>
        <v>N,8,1,4,1</v>
      </c>
      <c r="H126" s="9">
        <f>IF(F126=1,'Indirect Model Parameters'!$G$23,'Indirect Model Parameters'!$G$24)</f>
        <v>0.5</v>
      </c>
      <c r="I126" s="9">
        <f>IF(AND(C126&lt;3,D126=1),1,IF(AND(C126&lt;3,D126=2),0,IF(AND(C126&gt;2,D126=1,E126 = 1),1-Model_Matched_Parameters!$K$4,IF(AND(C126&gt;2,D126=1,E126 = 2),Model_Matched_Parameters!$K$5,IF(AND(C126&gt;2, D126 = 2, E126 = 1),Model_Matched_Parameters!$K$4,Model_Matched_Parameters!$K$5)))))</f>
        <v>0.05</v>
      </c>
      <c r="J126" s="9">
        <f>IF(SUMIFS('Indirect Model Parameters'!$G$11:$G$16,'Indirect Model Parameters'!$D$11:$D$16,Pop_Init!E126,'Indirect Model Parameters'!$E$11:$E$16,Pop_Init!F126) = 0,'Indirect Model Parameters'!$G$17,'Indirect Model Parameters'!$G$18*SUMIFS('Indirect Model Parameters'!$G$11:$G$16,'Indirect Model Parameters'!$D$11:$D$16,Pop_Init!E126,'Indirect Model Parameters'!$E$11:$E$16,Pop_Init!F126))</f>
        <v>8.1000000000000003E-2</v>
      </c>
      <c r="L126" s="9">
        <f t="shared" si="8"/>
        <v>2.0250000000000003E-3</v>
      </c>
      <c r="M126" s="9">
        <f t="shared" si="9"/>
        <v>4.1158536585365831E-4</v>
      </c>
      <c r="N126" s="38">
        <f>M126*'Indirect Model Parameters'!$G$10</f>
        <v>41.15853658536583</v>
      </c>
    </row>
    <row r="127" spans="1:14" ht="48">
      <c r="A127" s="1" t="str">
        <f t="shared" si="10"/>
        <v>Population in TB compartment  LTBI, after IPT with  Multidrug-resistant (MDR-TB) in HIV compartment  PLHIV and on ART and Male</v>
      </c>
      <c r="B127" s="8" t="s">
        <v>257</v>
      </c>
      <c r="C127" s="8">
        <v>8</v>
      </c>
      <c r="D127" s="9">
        <v>2</v>
      </c>
      <c r="E127" s="9">
        <v>4</v>
      </c>
      <c r="F127" s="9">
        <v>1</v>
      </c>
      <c r="G127" s="40" t="str">
        <f t="shared" si="11"/>
        <v>N,8,2,4,1</v>
      </c>
      <c r="H127" s="9">
        <f>IF(F127=1,'Indirect Model Parameters'!$G$23,'Indirect Model Parameters'!$G$24)</f>
        <v>0.5</v>
      </c>
      <c r="I127" s="9">
        <f>IF(AND(C127&lt;3,D127=1),1,IF(AND(C127&lt;3,D127=2),0,IF(AND(C127&gt;2,D127=1,E127 = 1),1-Model_Matched_Parameters!$K$4,IF(AND(C127&gt;2,D127=1,E127 = 2),Model_Matched_Parameters!$K$5,IF(AND(C127&gt;2, D127 = 2, E127 = 1),Model_Matched_Parameters!$K$4,Model_Matched_Parameters!$K$5)))))</f>
        <v>0.05</v>
      </c>
      <c r="J127" s="9">
        <f>IF(SUMIFS('Indirect Model Parameters'!$G$11:$G$16,'Indirect Model Parameters'!$D$11:$D$16,Pop_Init!E127,'Indirect Model Parameters'!$E$11:$E$16,Pop_Init!F127) = 0,'Indirect Model Parameters'!$G$17,'Indirect Model Parameters'!$G$18*SUMIFS('Indirect Model Parameters'!$G$11:$G$16,'Indirect Model Parameters'!$D$11:$D$16,Pop_Init!E127,'Indirect Model Parameters'!$E$11:$E$16,Pop_Init!F127))</f>
        <v>8.1000000000000003E-2</v>
      </c>
      <c r="L127" s="9">
        <f t="shared" si="8"/>
        <v>2.0250000000000003E-3</v>
      </c>
      <c r="M127" s="9">
        <f t="shared" si="9"/>
        <v>4.1158536585365831E-4</v>
      </c>
      <c r="N127" s="38">
        <f>M127*'Indirect Model Parameters'!$G$10</f>
        <v>41.15853658536583</v>
      </c>
    </row>
    <row r="128" spans="1:14" ht="48">
      <c r="A128" s="1" t="str">
        <f t="shared" si="10"/>
        <v>Population in TB compartment  LTBI, after IPT with Drug-susceptible (DS) in HIV compartment  PLHIV and on ART and Female</v>
      </c>
      <c r="B128" s="8" t="s">
        <v>257</v>
      </c>
      <c r="C128" s="8">
        <v>8</v>
      </c>
      <c r="D128" s="9">
        <v>1</v>
      </c>
      <c r="E128" s="9">
        <v>4</v>
      </c>
      <c r="F128" s="9">
        <v>2</v>
      </c>
      <c r="G128" s="40" t="str">
        <f t="shared" si="11"/>
        <v>N,8,1,4,2</v>
      </c>
      <c r="H128" s="9">
        <f>IF(F128=1,'Indirect Model Parameters'!$G$23,'Indirect Model Parameters'!$G$24)</f>
        <v>0.5</v>
      </c>
      <c r="I128" s="9">
        <f>IF(AND(C128&lt;3,D128=1),1,IF(AND(C128&lt;3,D128=2),0,IF(AND(C128&gt;2,D128=1,E128 = 1),1-Model_Matched_Parameters!$K$4,IF(AND(C128&gt;2,D128=1,E128 = 2),Model_Matched_Parameters!$K$5,IF(AND(C128&gt;2, D128 = 2, E128 = 1),Model_Matched_Parameters!$K$4,Model_Matched_Parameters!$K$5)))))</f>
        <v>0.05</v>
      </c>
      <c r="J128" s="9">
        <f>IF(SUMIFS('Indirect Model Parameters'!$G$11:$G$16,'Indirect Model Parameters'!$D$11:$D$16,Pop_Init!E128,'Indirect Model Parameters'!$E$11:$E$16,Pop_Init!F128) = 0,'Indirect Model Parameters'!$G$17,'Indirect Model Parameters'!$G$18*SUMIFS('Indirect Model Parameters'!$G$11:$G$16,'Indirect Model Parameters'!$D$11:$D$16,Pop_Init!E128,'Indirect Model Parameters'!$E$11:$E$16,Pop_Init!F128))</f>
        <v>8.1000000000000003E-2</v>
      </c>
      <c r="L128" s="9">
        <f t="shared" si="8"/>
        <v>2.0250000000000003E-3</v>
      </c>
      <c r="M128" s="9">
        <f t="shared" si="9"/>
        <v>4.1158536585365831E-4</v>
      </c>
      <c r="N128" s="38">
        <f>M128*'Indirect Model Parameters'!$G$10</f>
        <v>41.15853658536583</v>
      </c>
    </row>
    <row r="129" spans="1:14" ht="48">
      <c r="A129" s="1" t="str">
        <f t="shared" si="10"/>
        <v>Population in TB compartment  LTBI, after IPT with  Multidrug-resistant (MDR-TB) in HIV compartment  PLHIV and on ART and Female</v>
      </c>
      <c r="B129" s="8" t="s">
        <v>257</v>
      </c>
      <c r="C129" s="8">
        <v>8</v>
      </c>
      <c r="D129" s="9">
        <v>2</v>
      </c>
      <c r="E129" s="9">
        <v>4</v>
      </c>
      <c r="F129" s="9">
        <v>2</v>
      </c>
      <c r="G129" s="40" t="str">
        <f t="shared" si="11"/>
        <v>N,8,2,4,2</v>
      </c>
      <c r="H129" s="9">
        <f>IF(F129=1,'Indirect Model Parameters'!$G$23,'Indirect Model Parameters'!$G$24)</f>
        <v>0.5</v>
      </c>
      <c r="I129" s="9">
        <f>IF(AND(C129&lt;3,D129=1),1,IF(AND(C129&lt;3,D129=2),0,IF(AND(C129&gt;2,D129=1,E129 = 1),1-Model_Matched_Parameters!$K$4,IF(AND(C129&gt;2,D129=1,E129 = 2),Model_Matched_Parameters!$K$5,IF(AND(C129&gt;2, D129 = 2, E129 = 1),Model_Matched_Parameters!$K$4,Model_Matched_Parameters!$K$5)))))</f>
        <v>0.05</v>
      </c>
      <c r="J129" s="9">
        <f>IF(SUMIFS('Indirect Model Parameters'!$G$11:$G$16,'Indirect Model Parameters'!$D$11:$D$16,Pop_Init!E129,'Indirect Model Parameters'!$E$11:$E$16,Pop_Init!F129) = 0,'Indirect Model Parameters'!$G$17,'Indirect Model Parameters'!$G$18*SUMIFS('Indirect Model Parameters'!$G$11:$G$16,'Indirect Model Parameters'!$D$11:$D$16,Pop_Init!E129,'Indirect Model Parameters'!$E$11:$E$16,Pop_Init!F129))</f>
        <v>8.1000000000000003E-2</v>
      </c>
      <c r="L129" s="9">
        <f t="shared" si="8"/>
        <v>2.0250000000000003E-3</v>
      </c>
      <c r="M129" s="9">
        <f t="shared" si="9"/>
        <v>4.1158536585365831E-4</v>
      </c>
      <c r="N129" s="38">
        <f>M129*'Indirect Model Parameters'!$G$10</f>
        <v>41.15853658536583</v>
      </c>
    </row>
    <row r="130" spans="1:14">
      <c r="B130" s="8"/>
      <c r="C130" s="8"/>
    </row>
    <row r="131" spans="1:14">
      <c r="B131" s="8"/>
      <c r="C131" s="8"/>
    </row>
    <row r="132" spans="1:14">
      <c r="B132" s="8"/>
      <c r="C132" s="8"/>
    </row>
    <row r="133" spans="1:14">
      <c r="B133" s="8"/>
      <c r="C133" s="8"/>
    </row>
    <row r="134" spans="1:14">
      <c r="B134" s="8"/>
      <c r="C134" s="8"/>
    </row>
    <row r="135" spans="1:14">
      <c r="B135" s="8"/>
      <c r="C135" s="8"/>
    </row>
    <row r="136" spans="1:14">
      <c r="B136" s="8"/>
      <c r="C136" s="8"/>
    </row>
    <row r="137" spans="1:14">
      <c r="B137" s="8"/>
      <c r="C137" s="8"/>
    </row>
    <row r="138" spans="1:14">
      <c r="B138" s="8"/>
      <c r="C138" s="8"/>
    </row>
    <row r="139" spans="1:14">
      <c r="B139" s="8"/>
      <c r="C139" s="8"/>
    </row>
    <row r="140" spans="1:14">
      <c r="B140" s="8"/>
      <c r="C140" s="8"/>
    </row>
    <row r="141" spans="1:14">
      <c r="B141" s="8"/>
      <c r="C141" s="8"/>
    </row>
    <row r="142" spans="1:14">
      <c r="B142" s="8"/>
      <c r="C142" s="8"/>
    </row>
    <row r="143" spans="1:14">
      <c r="B143" s="8"/>
      <c r="C143" s="8"/>
    </row>
    <row r="144" spans="1:14">
      <c r="B144" s="8"/>
      <c r="C144" s="8"/>
    </row>
    <row r="145" spans="2:3">
      <c r="B145" s="8"/>
      <c r="C145" s="8"/>
    </row>
    <row r="146" spans="2:3">
      <c r="B146" s="8"/>
      <c r="C146" s="8"/>
    </row>
    <row r="147" spans="2:3">
      <c r="B147" s="8"/>
      <c r="C147" s="8"/>
    </row>
    <row r="148" spans="2:3">
      <c r="B148" s="8"/>
      <c r="C148" s="8"/>
    </row>
    <row r="149" spans="2:3">
      <c r="B149" s="8"/>
      <c r="C149" s="8"/>
    </row>
    <row r="150" spans="2:3">
      <c r="B150" s="8"/>
      <c r="C150" s="8"/>
    </row>
    <row r="151" spans="2:3">
      <c r="B151" s="8"/>
      <c r="C151" s="8"/>
    </row>
    <row r="152" spans="2:3">
      <c r="B152" s="8"/>
      <c r="C152" s="8"/>
    </row>
    <row r="153" spans="2:3">
      <c r="B153" s="8"/>
      <c r="C153" s="8"/>
    </row>
    <row r="154" spans="2:3">
      <c r="B154" s="8"/>
      <c r="C154" s="8"/>
    </row>
    <row r="155" spans="2:3">
      <c r="B155" s="8"/>
      <c r="C155" s="8"/>
    </row>
    <row r="156" spans="2:3">
      <c r="B156" s="8"/>
      <c r="C156" s="8"/>
    </row>
    <row r="157" spans="2:3">
      <c r="B157" s="8"/>
      <c r="C157" s="8"/>
    </row>
    <row r="158" spans="2:3">
      <c r="B158" s="8"/>
      <c r="C158" s="8"/>
    </row>
    <row r="159" spans="2:3">
      <c r="B159" s="8"/>
      <c r="C159" s="8"/>
    </row>
    <row r="160" spans="2:3">
      <c r="B160" s="8"/>
      <c r="C160" s="8"/>
    </row>
    <row r="161" spans="2:3">
      <c r="B161" s="8"/>
      <c r="C161" s="8"/>
    </row>
    <row r="162" spans="2:3">
      <c r="B162" s="8"/>
      <c r="C162" s="8"/>
    </row>
    <row r="163" spans="2:3">
      <c r="B163" s="8"/>
      <c r="C163" s="8"/>
    </row>
    <row r="164" spans="2:3">
      <c r="B164" s="8"/>
      <c r="C164" s="8"/>
    </row>
    <row r="165" spans="2:3">
      <c r="B165" s="8"/>
      <c r="C165" s="8"/>
    </row>
    <row r="166" spans="2:3">
      <c r="B166" s="8"/>
      <c r="C166" s="8"/>
    </row>
    <row r="167" spans="2:3">
      <c r="B167" s="8"/>
      <c r="C167" s="8"/>
    </row>
    <row r="168" spans="2:3">
      <c r="B168" s="8"/>
      <c r="C168" s="8"/>
    </row>
    <row r="169" spans="2:3">
      <c r="B169" s="8"/>
      <c r="C169" s="8"/>
    </row>
    <row r="170" spans="2:3">
      <c r="B170" s="8"/>
      <c r="C170" s="8"/>
    </row>
    <row r="171" spans="2:3">
      <c r="B171" s="8"/>
      <c r="C171" s="8"/>
    </row>
    <row r="172" spans="2:3">
      <c r="B172" s="8"/>
      <c r="C172" s="8"/>
    </row>
    <row r="173" spans="2:3">
      <c r="B173" s="8"/>
      <c r="C173" s="8"/>
    </row>
    <row r="174" spans="2:3">
      <c r="B174" s="8"/>
      <c r="C174" s="8"/>
    </row>
    <row r="175" spans="2:3">
      <c r="B175" s="8"/>
      <c r="C175" s="8"/>
    </row>
    <row r="176" spans="2:3">
      <c r="B176" s="8"/>
      <c r="C176" s="8"/>
    </row>
    <row r="177" spans="2:3">
      <c r="B177" s="8"/>
      <c r="C177" s="8"/>
    </row>
    <row r="178" spans="2:3">
      <c r="B178" s="8"/>
      <c r="C178" s="8"/>
    </row>
    <row r="179" spans="2:3">
      <c r="B179" s="8"/>
      <c r="C179" s="8"/>
    </row>
    <row r="180" spans="2:3">
      <c r="B180" s="8"/>
      <c r="C180" s="8"/>
    </row>
    <row r="181" spans="2:3">
      <c r="B181" s="8"/>
      <c r="C181" s="8"/>
    </row>
    <row r="182" spans="2:3">
      <c r="B182" s="8"/>
      <c r="C182" s="8"/>
    </row>
    <row r="183" spans="2:3">
      <c r="B183" s="8"/>
      <c r="C183" s="8"/>
    </row>
    <row r="184" spans="2:3">
      <c r="B184" s="8"/>
      <c r="C184" s="8"/>
    </row>
    <row r="185" spans="2:3">
      <c r="B185" s="8"/>
      <c r="C185" s="8"/>
    </row>
    <row r="187" spans="2:3">
      <c r="B187" s="8"/>
      <c r="C187" s="8"/>
    </row>
    <row r="188" spans="2:3">
      <c r="B188" s="8"/>
      <c r="C188" s="8"/>
    </row>
    <row r="189" spans="2:3">
      <c r="B189" s="8"/>
      <c r="C189" s="8"/>
    </row>
    <row r="190" spans="2:3">
      <c r="B190" s="8"/>
      <c r="C190" s="8"/>
    </row>
    <row r="191" spans="2:3">
      <c r="B191" s="8"/>
      <c r="C191" s="8"/>
    </row>
    <row r="192" spans="2:3">
      <c r="B192" s="8"/>
      <c r="C192" s="8"/>
    </row>
    <row r="193" spans="2:3">
      <c r="B193" s="8"/>
      <c r="C193" s="8"/>
    </row>
    <row r="194" spans="2:3">
      <c r="B194" s="8"/>
      <c r="C194" s="8"/>
    </row>
  </sheetData>
  <sortState ref="A2:Q129">
    <sortCondition ref="C2:C129"/>
    <sortCondition ref="E2:E129"/>
    <sortCondition ref="F2:F1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E9" sqref="E9"/>
    </sheetView>
  </sheetViews>
  <sheetFormatPr baseColWidth="10" defaultColWidth="11.5" defaultRowHeight="15"/>
  <sheetData>
    <row r="1" spans="1:2">
      <c r="A1" t="s">
        <v>232</v>
      </c>
    </row>
    <row r="2" spans="1:2">
      <c r="A2">
        <v>1</v>
      </c>
      <c r="B2" t="s">
        <v>233</v>
      </c>
    </row>
    <row r="3" spans="1:2">
      <c r="A3">
        <v>2</v>
      </c>
      <c r="B3" t="s">
        <v>234</v>
      </c>
    </row>
    <row r="4" spans="1:2">
      <c r="A4">
        <v>3</v>
      </c>
      <c r="B4" t="s">
        <v>235</v>
      </c>
    </row>
    <row r="5" spans="1:2">
      <c r="A5">
        <v>4</v>
      </c>
      <c r="B5" t="s">
        <v>236</v>
      </c>
    </row>
    <row r="6" spans="1:2">
      <c r="A6">
        <v>5</v>
      </c>
      <c r="B6" t="s">
        <v>237</v>
      </c>
    </row>
    <row r="7" spans="1:2">
      <c r="A7">
        <v>6</v>
      </c>
      <c r="B7" t="s">
        <v>238</v>
      </c>
    </row>
    <row r="8" spans="1:2">
      <c r="A8">
        <v>7</v>
      </c>
      <c r="B8" t="s">
        <v>239</v>
      </c>
    </row>
    <row r="9" spans="1:2">
      <c r="A9">
        <v>8</v>
      </c>
      <c r="B9" t="s">
        <v>240</v>
      </c>
    </row>
    <row r="11" spans="1:2">
      <c r="A11" t="s">
        <v>241</v>
      </c>
    </row>
    <row r="12" spans="1:2">
      <c r="A12">
        <v>1</v>
      </c>
      <c r="B12" t="s">
        <v>242</v>
      </c>
    </row>
    <row r="13" spans="1:2">
      <c r="A13">
        <v>2</v>
      </c>
      <c r="B13" t="s">
        <v>243</v>
      </c>
    </row>
    <row r="15" spans="1:2">
      <c r="A15" t="s">
        <v>244</v>
      </c>
    </row>
    <row r="16" spans="1:2">
      <c r="A16">
        <v>1</v>
      </c>
      <c r="B16" t="s">
        <v>245</v>
      </c>
    </row>
    <row r="17" spans="1:2">
      <c r="A17">
        <v>2</v>
      </c>
      <c r="B17" t="s">
        <v>246</v>
      </c>
    </row>
    <row r="18" spans="1:2">
      <c r="A18">
        <v>3</v>
      </c>
      <c r="B18" t="s">
        <v>247</v>
      </c>
    </row>
    <row r="19" spans="1:2">
      <c r="A19">
        <v>4</v>
      </c>
      <c r="B19" t="s">
        <v>248</v>
      </c>
    </row>
    <row r="21" spans="1:2">
      <c r="A21" t="s">
        <v>249</v>
      </c>
    </row>
    <row r="22" spans="1:2">
      <c r="A22">
        <v>1</v>
      </c>
      <c r="B22" t="s">
        <v>250</v>
      </c>
    </row>
    <row r="23" spans="1:2">
      <c r="A23">
        <v>2</v>
      </c>
      <c r="B23" t="s">
        <v>251</v>
      </c>
    </row>
    <row r="25" spans="1:2">
      <c r="A25" t="s">
        <v>252</v>
      </c>
    </row>
    <row r="26" spans="1:2">
      <c r="A26">
        <v>1</v>
      </c>
      <c r="B26" t="s">
        <v>253</v>
      </c>
    </row>
    <row r="27" spans="1:2">
      <c r="A27">
        <v>2</v>
      </c>
      <c r="B27" t="s">
        <v>254</v>
      </c>
    </row>
    <row r="28" spans="1:2">
      <c r="A28">
        <v>3</v>
      </c>
      <c r="B28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Model_Matched_Parameters</vt:lpstr>
      <vt:lpstr>Indirect Model Parameters</vt:lpstr>
      <vt:lpstr>Pop_Init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Chelsea Greene</cp:lastModifiedBy>
  <cp:revision/>
  <dcterms:created xsi:type="dcterms:W3CDTF">2019-10-18T19:15:57Z</dcterms:created>
  <dcterms:modified xsi:type="dcterms:W3CDTF">2020-08-18T16:43:48Z</dcterms:modified>
  <cp:category/>
  <cp:contentStatus/>
</cp:coreProperties>
</file>