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chelseagreene/ws/github/ws.epi_model_HIV_TB/epi_model_HIV_TB/param_files/"/>
    </mc:Choice>
  </mc:AlternateContent>
  <xr:revisionPtr revIDLastSave="0" documentId="13_ncr:1_{781ECD7B-4E3D-EA49-9FEF-CC7F31C19278}" xr6:coauthVersionLast="36" xr6:coauthVersionMax="45" xr10:uidLastSave="{00000000-0000-0000-0000-000000000000}"/>
  <bookViews>
    <workbookView xWindow="0" yWindow="900" windowWidth="26960" windowHeight="14180" xr2:uid="{00000000-000D-0000-FFFF-FFFF00000000}"/>
  </bookViews>
  <sheets>
    <sheet name="Model_Matched_Parameters" sheetId="1" r:id="rId1"/>
    <sheet name="Indirect Model Parameters" sheetId="4" r:id="rId2"/>
    <sheet name="Pop_Init" sheetId="6" r:id="rId3"/>
    <sheet name="Set Ref" sheetId="5" r:id="rId4"/>
  </sheets>
  <definedNames>
    <definedName name="_xlnm._FilterDatabase" localSheetId="0" hidden="1">Model_Matched_Parameters!$A$1:$O$189</definedName>
    <definedName name="_xlnm._FilterDatabase" localSheetId="2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0" i="1" l="1"/>
  <c r="J191" i="1"/>
  <c r="B191" i="1"/>
  <c r="B190" i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L65" i="6" s="1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L110" i="6" s="1"/>
  <c r="I111" i="6"/>
  <c r="L111" i="6" s="1"/>
  <c r="I112" i="6"/>
  <c r="L112" i="6" s="1"/>
  <c r="I113" i="6"/>
  <c r="L113" i="6" s="1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L126" i="6" s="1"/>
  <c r="I127" i="6"/>
  <c r="I128" i="6"/>
  <c r="I129" i="6"/>
  <c r="I2" i="6"/>
  <c r="H116" i="6"/>
  <c r="H117" i="6"/>
  <c r="H115" i="6"/>
  <c r="H114" i="6"/>
  <c r="H118" i="6"/>
  <c r="H119" i="6"/>
  <c r="H120" i="6"/>
  <c r="H121" i="6"/>
  <c r="H122" i="6"/>
  <c r="H123" i="6"/>
  <c r="H124" i="6"/>
  <c r="H125" i="6"/>
  <c r="H126" i="6"/>
  <c r="H127" i="6"/>
  <c r="H128" i="6"/>
  <c r="L128" i="6" s="1"/>
  <c r="H129" i="6"/>
  <c r="L129" i="6" s="1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2" i="6"/>
  <c r="H3" i="6"/>
  <c r="H4" i="6"/>
  <c r="J46" i="6"/>
  <c r="J47" i="6"/>
  <c r="J62" i="6"/>
  <c r="J63" i="6"/>
  <c r="J110" i="6"/>
  <c r="J111" i="6"/>
  <c r="J126" i="6"/>
  <c r="J127" i="6"/>
  <c r="J48" i="6"/>
  <c r="J49" i="6"/>
  <c r="J64" i="6"/>
  <c r="J65" i="6"/>
  <c r="J112" i="6"/>
  <c r="J113" i="6"/>
  <c r="J128" i="6"/>
  <c r="J129" i="6"/>
  <c r="L49" i="6" l="1"/>
  <c r="L62" i="6"/>
  <c r="L63" i="6"/>
  <c r="L127" i="6"/>
  <c r="L47" i="6"/>
  <c r="L46" i="6"/>
  <c r="L64" i="6"/>
  <c r="L48" i="6"/>
  <c r="G23" i="4"/>
  <c r="H36" i="6" l="1"/>
  <c r="H52" i="6"/>
  <c r="H68" i="6"/>
  <c r="H37" i="6"/>
  <c r="H69" i="6"/>
  <c r="H53" i="6"/>
  <c r="G22" i="4"/>
  <c r="G12" i="4"/>
  <c r="H66" i="6" l="1"/>
  <c r="H50" i="6"/>
  <c r="H35" i="6"/>
  <c r="H67" i="6"/>
  <c r="H51" i="6"/>
  <c r="H34" i="6"/>
  <c r="J97" i="6"/>
  <c r="L97" i="6" s="1"/>
  <c r="J94" i="6"/>
  <c r="L94" i="6" s="1"/>
  <c r="J96" i="6"/>
  <c r="L96" i="6" s="1"/>
  <c r="J95" i="6"/>
  <c r="L95" i="6" s="1"/>
  <c r="G18" i="4"/>
  <c r="J28" i="6" s="1"/>
  <c r="L28" i="6" s="1"/>
  <c r="J40" i="6"/>
  <c r="L40" i="6" s="1"/>
  <c r="J104" i="6"/>
  <c r="L104" i="6" s="1"/>
  <c r="J88" i="6"/>
  <c r="L88" i="6" s="1"/>
  <c r="J31" i="6"/>
  <c r="L31" i="6" s="1"/>
  <c r="J89" i="6"/>
  <c r="L89" i="6" s="1"/>
  <c r="J41" i="6"/>
  <c r="L41" i="6" s="1"/>
  <c r="J105" i="6"/>
  <c r="L105" i="6" s="1"/>
  <c r="J56" i="6"/>
  <c r="L56" i="6" s="1"/>
  <c r="J120" i="6"/>
  <c r="L120" i="6" s="1"/>
  <c r="J57" i="6"/>
  <c r="L57" i="6" s="1"/>
  <c r="J121" i="6"/>
  <c r="L121" i="6" s="1"/>
  <c r="J116" i="6"/>
  <c r="L116" i="6" s="1"/>
  <c r="G11" i="4"/>
  <c r="J72" i="6" s="1"/>
  <c r="L72" i="6" s="1"/>
  <c r="J44" i="6"/>
  <c r="L44" i="6" s="1"/>
  <c r="J108" i="6"/>
  <c r="L108" i="6" s="1"/>
  <c r="J61" i="6"/>
  <c r="L61" i="6" s="1"/>
  <c r="J125" i="6"/>
  <c r="L125" i="6" s="1"/>
  <c r="J45" i="6"/>
  <c r="L45" i="6" s="1"/>
  <c r="J109" i="6"/>
  <c r="L109" i="6" s="1"/>
  <c r="J93" i="6"/>
  <c r="L93" i="6" s="1"/>
  <c r="J60" i="6"/>
  <c r="L60" i="6" s="1"/>
  <c r="J92" i="6"/>
  <c r="L92" i="6" s="1"/>
  <c r="J124" i="6"/>
  <c r="L124" i="6" s="1"/>
  <c r="K166" i="1"/>
  <c r="K158" i="1"/>
  <c r="K157" i="1"/>
  <c r="K156" i="1"/>
  <c r="K154" i="1"/>
  <c r="K150" i="1"/>
  <c r="K152" i="1"/>
  <c r="K142" i="1"/>
  <c r="K134" i="1"/>
  <c r="K114" i="1"/>
  <c r="K130" i="1" s="1"/>
  <c r="K126" i="1"/>
  <c r="K118" i="1"/>
  <c r="K116" i="1"/>
  <c r="K172" i="1" s="1"/>
  <c r="K112" i="1"/>
  <c r="K168" i="1" s="1"/>
  <c r="K111" i="1"/>
  <c r="K115" i="1" s="1"/>
  <c r="K120" i="1" l="1"/>
  <c r="K128" i="1"/>
  <c r="K143" i="1"/>
  <c r="J24" i="6"/>
  <c r="L24" i="6" s="1"/>
  <c r="J76" i="6"/>
  <c r="L76" i="6" s="1"/>
  <c r="J73" i="6"/>
  <c r="L73" i="6" s="1"/>
  <c r="J23" i="6"/>
  <c r="L23" i="6" s="1"/>
  <c r="J78" i="6"/>
  <c r="L78" i="6" s="1"/>
  <c r="J80" i="6"/>
  <c r="L80" i="6" s="1"/>
  <c r="J79" i="6"/>
  <c r="L79" i="6" s="1"/>
  <c r="J81" i="6"/>
  <c r="L81" i="6" s="1"/>
  <c r="J77" i="6"/>
  <c r="L77" i="6" s="1"/>
  <c r="J8" i="6"/>
  <c r="L8" i="6" s="1"/>
  <c r="J25" i="6"/>
  <c r="L25" i="6" s="1"/>
  <c r="J33" i="6"/>
  <c r="L33" i="6" s="1"/>
  <c r="J30" i="6"/>
  <c r="L30" i="6" s="1"/>
  <c r="J32" i="6"/>
  <c r="L32" i="6" s="1"/>
  <c r="J16" i="6"/>
  <c r="L16" i="6" s="1"/>
  <c r="J20" i="6"/>
  <c r="L20" i="6" s="1"/>
  <c r="J100" i="6"/>
  <c r="L100" i="6" s="1"/>
  <c r="J52" i="6"/>
  <c r="L52" i="6" s="1"/>
  <c r="J68" i="6"/>
  <c r="L68" i="6" s="1"/>
  <c r="J84" i="6"/>
  <c r="L84" i="6" s="1"/>
  <c r="J117" i="6"/>
  <c r="L117" i="6" s="1"/>
  <c r="J69" i="6"/>
  <c r="L69" i="6" s="1"/>
  <c r="J36" i="6"/>
  <c r="L36" i="6" s="1"/>
  <c r="J101" i="6"/>
  <c r="L101" i="6" s="1"/>
  <c r="J85" i="6"/>
  <c r="L85" i="6" s="1"/>
  <c r="J37" i="6"/>
  <c r="L37" i="6" s="1"/>
  <c r="J53" i="6"/>
  <c r="L53" i="6" s="1"/>
  <c r="J38" i="6"/>
  <c r="L38" i="6" s="1"/>
  <c r="J70" i="6"/>
  <c r="L70" i="6" s="1"/>
  <c r="J102" i="6"/>
  <c r="L102" i="6" s="1"/>
  <c r="J22" i="6"/>
  <c r="L22" i="6" s="1"/>
  <c r="J86" i="6"/>
  <c r="L86" i="6" s="1"/>
  <c r="J14" i="6"/>
  <c r="L14" i="6" s="1"/>
  <c r="J87" i="6"/>
  <c r="L87" i="6" s="1"/>
  <c r="J39" i="6"/>
  <c r="L39" i="6" s="1"/>
  <c r="J71" i="6"/>
  <c r="L71" i="6" s="1"/>
  <c r="J103" i="6"/>
  <c r="L103" i="6" s="1"/>
  <c r="J54" i="6"/>
  <c r="L54" i="6" s="1"/>
  <c r="J118" i="6"/>
  <c r="L118" i="6" s="1"/>
  <c r="J55" i="6"/>
  <c r="L55" i="6" s="1"/>
  <c r="J119" i="6"/>
  <c r="L119" i="6" s="1"/>
  <c r="G17" i="4"/>
  <c r="J11" i="6"/>
  <c r="L11" i="6" s="1"/>
  <c r="J42" i="6"/>
  <c r="L42" i="6" s="1"/>
  <c r="J74" i="6"/>
  <c r="L74" i="6" s="1"/>
  <c r="J106" i="6"/>
  <c r="L106" i="6" s="1"/>
  <c r="J10" i="6"/>
  <c r="L10" i="6" s="1"/>
  <c r="J43" i="6"/>
  <c r="L43" i="6" s="1"/>
  <c r="J75" i="6"/>
  <c r="L75" i="6" s="1"/>
  <c r="J107" i="6"/>
  <c r="L107" i="6" s="1"/>
  <c r="J27" i="6"/>
  <c r="L27" i="6" s="1"/>
  <c r="J59" i="6"/>
  <c r="L59" i="6" s="1"/>
  <c r="J123" i="6"/>
  <c r="L123" i="6" s="1"/>
  <c r="J26" i="6"/>
  <c r="L26" i="6" s="1"/>
  <c r="J58" i="6"/>
  <c r="L58" i="6" s="1"/>
  <c r="J90" i="6"/>
  <c r="L90" i="6" s="1"/>
  <c r="J122" i="6"/>
  <c r="L122" i="6" s="1"/>
  <c r="J91" i="6"/>
  <c r="L91" i="6" s="1"/>
  <c r="K127" i="1"/>
  <c r="K138" i="1"/>
  <c r="K159" i="1"/>
  <c r="K117" i="1"/>
  <c r="K153" i="1"/>
  <c r="K167" i="1"/>
  <c r="K135" i="1"/>
  <c r="K123" i="1"/>
  <c r="K139" i="1"/>
  <c r="K171" i="1"/>
  <c r="K163" i="1"/>
  <c r="K147" i="1"/>
  <c r="K131" i="1"/>
  <c r="K119" i="1"/>
  <c r="K136" i="1"/>
  <c r="K144" i="1"/>
  <c r="K151" i="1"/>
  <c r="K160" i="1"/>
  <c r="K170" i="1"/>
  <c r="K140" i="1"/>
  <c r="K146" i="1"/>
  <c r="K162" i="1"/>
  <c r="K113" i="1"/>
  <c r="K124" i="1"/>
  <c r="K155" i="1"/>
  <c r="K132" i="1"/>
  <c r="K148" i="1"/>
  <c r="K164" i="1"/>
  <c r="K122" i="1"/>
  <c r="K183" i="1"/>
  <c r="K184" i="1"/>
  <c r="K185" i="1"/>
  <c r="K182" i="1"/>
  <c r="K179" i="1"/>
  <c r="K187" i="1" s="1"/>
  <c r="K180" i="1"/>
  <c r="K188" i="1" s="1"/>
  <c r="K181" i="1"/>
  <c r="K189" i="1" s="1"/>
  <c r="K178" i="1"/>
  <c r="K186" i="1" s="1"/>
  <c r="J6" i="6" l="1"/>
  <c r="L6" i="6" s="1"/>
  <c r="J15" i="6"/>
  <c r="L15" i="6" s="1"/>
  <c r="J17" i="6"/>
  <c r="L17" i="6" s="1"/>
  <c r="J9" i="6"/>
  <c r="L9" i="6" s="1"/>
  <c r="J21" i="6"/>
  <c r="L21" i="6" s="1"/>
  <c r="J13" i="6"/>
  <c r="L13" i="6" s="1"/>
  <c r="J4" i="6"/>
  <c r="L4" i="6" s="1"/>
  <c r="J12" i="6"/>
  <c r="L12" i="6" s="1"/>
  <c r="J29" i="6"/>
  <c r="L29" i="6" s="1"/>
  <c r="J7" i="6"/>
  <c r="L7" i="6" s="1"/>
  <c r="J5" i="6"/>
  <c r="L5" i="6" s="1"/>
  <c r="J34" i="6"/>
  <c r="L34" i="6" s="1"/>
  <c r="J66" i="6"/>
  <c r="L66" i="6" s="1"/>
  <c r="J98" i="6"/>
  <c r="L98" i="6" s="1"/>
  <c r="J2" i="6"/>
  <c r="L2" i="6" s="1"/>
  <c r="J83" i="6"/>
  <c r="L83" i="6" s="1"/>
  <c r="J3" i="6"/>
  <c r="L3" i="6" s="1"/>
  <c r="J35" i="6"/>
  <c r="L35" i="6" s="1"/>
  <c r="J67" i="6"/>
  <c r="L67" i="6" s="1"/>
  <c r="J99" i="6"/>
  <c r="L99" i="6" s="1"/>
  <c r="J19" i="6"/>
  <c r="L19" i="6" s="1"/>
  <c r="J115" i="6"/>
  <c r="L115" i="6" s="1"/>
  <c r="J18" i="6"/>
  <c r="L18" i="6" s="1"/>
  <c r="J50" i="6"/>
  <c r="L50" i="6" s="1"/>
  <c r="J82" i="6"/>
  <c r="L82" i="6" s="1"/>
  <c r="J114" i="6"/>
  <c r="L114" i="6" s="1"/>
  <c r="J51" i="6"/>
  <c r="L51" i="6" s="1"/>
  <c r="K125" i="1"/>
  <c r="K173" i="1"/>
  <c r="K133" i="1"/>
  <c r="K165" i="1"/>
  <c r="K149" i="1"/>
  <c r="K141" i="1"/>
  <c r="K161" i="1"/>
  <c r="K145" i="1"/>
  <c r="K137" i="1"/>
  <c r="K121" i="1"/>
  <c r="K169" i="1"/>
  <c r="K12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15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89" i="1"/>
  <c r="B189" i="1"/>
  <c r="J188" i="1"/>
  <c r="B188" i="1"/>
  <c r="J187" i="1"/>
  <c r="B187" i="1"/>
  <c r="J186" i="1"/>
  <c r="B186" i="1"/>
  <c r="J185" i="1"/>
  <c r="B185" i="1"/>
  <c r="J184" i="1"/>
  <c r="B184" i="1"/>
  <c r="J183" i="1"/>
  <c r="B183" i="1"/>
  <c r="J182" i="1"/>
  <c r="B182" i="1"/>
  <c r="J97" i="1"/>
  <c r="K101" i="1" l="1"/>
  <c r="K100" i="1"/>
  <c r="K105" i="1"/>
  <c r="K104" i="1"/>
  <c r="K10" i="1"/>
  <c r="K11" i="1"/>
  <c r="K9" i="1"/>
  <c r="B111" i="1" l="1"/>
  <c r="B118" i="1"/>
  <c r="B119" i="1"/>
  <c r="B126" i="1"/>
  <c r="B127" i="1"/>
  <c r="B134" i="1"/>
  <c r="B135" i="1"/>
  <c r="B142" i="1"/>
  <c r="B143" i="1"/>
  <c r="B150" i="1"/>
  <c r="B151" i="1"/>
  <c r="B158" i="1"/>
  <c r="B159" i="1"/>
  <c r="B166" i="1"/>
  <c r="B167" i="1"/>
  <c r="B110" i="1"/>
  <c r="B175" i="1"/>
  <c r="B176" i="1"/>
  <c r="B177" i="1"/>
  <c r="B178" i="1"/>
  <c r="B179" i="1"/>
  <c r="B180" i="1"/>
  <c r="B181" i="1"/>
  <c r="B174" i="1"/>
  <c r="B109" i="1"/>
  <c r="B108" i="1"/>
  <c r="B107" i="1"/>
  <c r="B106" i="1"/>
  <c r="B94" i="1"/>
  <c r="B95" i="1"/>
  <c r="B96" i="1"/>
  <c r="B93" i="1"/>
  <c r="B38" i="1"/>
  <c r="B14" i="1"/>
  <c r="B70" i="1"/>
  <c r="B46" i="1"/>
  <c r="B22" i="1"/>
  <c r="B78" i="1"/>
  <c r="B54" i="1"/>
  <c r="B30" i="1"/>
  <c r="B62" i="1"/>
  <c r="B169" i="1"/>
  <c r="B161" i="1"/>
  <c r="B157" i="1"/>
  <c r="B152" i="1"/>
  <c r="B149" i="1"/>
  <c r="B144" i="1"/>
  <c r="B141" i="1"/>
  <c r="B136" i="1"/>
  <c r="B133" i="1"/>
  <c r="B125" i="1"/>
  <c r="B120" i="1"/>
  <c r="J113" i="1"/>
  <c r="B112" i="1"/>
  <c r="B103" i="1"/>
  <c r="B100" i="1"/>
  <c r="B105" i="1"/>
  <c r="B98" i="1"/>
  <c r="B31" i="1"/>
  <c r="B55" i="1"/>
  <c r="B79" i="1"/>
  <c r="B23" i="1"/>
  <c r="B47" i="1"/>
  <c r="B71" i="1"/>
  <c r="B39" i="1"/>
  <c r="B63" i="1"/>
  <c r="J88" i="1"/>
  <c r="J89" i="1"/>
  <c r="J90" i="1"/>
  <c r="J91" i="1"/>
  <c r="J92" i="1"/>
  <c r="J93" i="1"/>
  <c r="J94" i="1"/>
  <c r="J95" i="1"/>
  <c r="J96" i="1"/>
  <c r="J86" i="1"/>
  <c r="J87" i="1"/>
  <c r="J106" i="1"/>
  <c r="J107" i="1"/>
  <c r="J108" i="1"/>
  <c r="J109" i="1"/>
  <c r="J174" i="1"/>
  <c r="J175" i="1"/>
  <c r="J176" i="1"/>
  <c r="J177" i="1"/>
  <c r="J178" i="1"/>
  <c r="J179" i="1"/>
  <c r="J180" i="1"/>
  <c r="J181" i="1"/>
  <c r="J110" i="1"/>
  <c r="J111" i="1"/>
  <c r="B80" i="1"/>
  <c r="J105" i="1" l="1"/>
  <c r="B101" i="1"/>
  <c r="B156" i="1"/>
  <c r="B148" i="1"/>
  <c r="J116" i="1"/>
  <c r="B124" i="1"/>
  <c r="B173" i="1"/>
  <c r="J103" i="1"/>
  <c r="J112" i="1"/>
  <c r="B165" i="1"/>
  <c r="B172" i="1"/>
  <c r="B170" i="1"/>
  <c r="B164" i="1"/>
  <c r="B162" i="1"/>
  <c r="B77" i="1"/>
  <c r="J43" i="1"/>
  <c r="B68" i="1"/>
  <c r="B64" i="1"/>
  <c r="B132" i="1"/>
  <c r="B130" i="1"/>
  <c r="B154" i="1"/>
  <c r="B153" i="1"/>
  <c r="B145" i="1"/>
  <c r="B137" i="1"/>
  <c r="B129" i="1"/>
  <c r="B121" i="1"/>
  <c r="B113" i="1"/>
  <c r="B83" i="1"/>
  <c r="B104" i="1"/>
  <c r="B168" i="1"/>
  <c r="B160" i="1"/>
  <c r="B128" i="1"/>
  <c r="B102" i="1"/>
  <c r="B82" i="1"/>
  <c r="J102" i="1"/>
  <c r="B115" i="1"/>
  <c r="B155" i="1"/>
  <c r="B147" i="1"/>
  <c r="B139" i="1"/>
  <c r="B131" i="1"/>
  <c r="B123" i="1"/>
  <c r="J100" i="1"/>
  <c r="J74" i="1"/>
  <c r="B72" i="1"/>
  <c r="B32" i="1"/>
  <c r="J59" i="1"/>
  <c r="B57" i="1"/>
  <c r="J104" i="1"/>
  <c r="J98" i="1"/>
  <c r="J67" i="1"/>
  <c r="B65" i="1"/>
  <c r="B33" i="1"/>
  <c r="B75" i="1"/>
  <c r="J114" i="1"/>
  <c r="B81" i="1"/>
  <c r="B56" i="1"/>
  <c r="B73" i="1"/>
  <c r="J118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2" i="1" l="1"/>
  <c r="B116" i="1"/>
  <c r="J101" i="1"/>
  <c r="J41" i="1"/>
  <c r="J66" i="1"/>
  <c r="B66" i="1"/>
  <c r="J68" i="1"/>
  <c r="B171" i="1"/>
  <c r="B49" i="1"/>
  <c r="B41" i="1"/>
  <c r="B146" i="1"/>
  <c r="J82" i="1"/>
  <c r="B163" i="1"/>
  <c r="B114" i="1"/>
  <c r="B48" i="1"/>
  <c r="B117" i="1"/>
  <c r="J83" i="1"/>
  <c r="B99" i="1"/>
  <c r="J99" i="1"/>
  <c r="J115" i="1"/>
  <c r="B140" i="1"/>
  <c r="B138" i="1"/>
  <c r="B43" i="1"/>
  <c r="B59" i="1"/>
  <c r="J85" i="1"/>
  <c r="B67" i="1"/>
  <c r="J42" i="1"/>
  <c r="B74" i="1"/>
  <c r="J120" i="1"/>
  <c r="J119" i="1"/>
  <c r="B85" i="1" l="1"/>
  <c r="J117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1" i="1"/>
  <c r="J122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4" i="1"/>
  <c r="J123" i="1"/>
  <c r="J53" i="1" l="1"/>
  <c r="B53" i="1"/>
  <c r="J52" i="1"/>
  <c r="B52" i="1"/>
  <c r="B24" i="1"/>
  <c r="J24" i="1"/>
  <c r="B29" i="1"/>
  <c r="J29" i="1"/>
  <c r="J35" i="1"/>
  <c r="B35" i="1"/>
  <c r="B19" i="1"/>
  <c r="J19" i="1"/>
  <c r="J125" i="1"/>
  <c r="J126" i="1"/>
  <c r="B26" i="1" l="1"/>
  <c r="J26" i="1"/>
  <c r="B21" i="1"/>
  <c r="J21" i="1"/>
  <c r="B37" i="1"/>
  <c r="J37" i="1"/>
  <c r="J127" i="1"/>
  <c r="J128" i="1"/>
  <c r="J28" i="1" l="1"/>
  <c r="B28" i="1"/>
  <c r="J130" i="1"/>
  <c r="J129" i="1"/>
  <c r="J131" i="1" l="1"/>
  <c r="J132" i="1"/>
  <c r="J134" i="1" l="1"/>
  <c r="J133" i="1"/>
  <c r="J136" i="1" l="1"/>
  <c r="J135" i="1"/>
  <c r="J137" i="1" l="1"/>
  <c r="J138" i="1"/>
  <c r="J140" i="1" l="1"/>
  <c r="J139" i="1"/>
  <c r="J142" i="1" l="1"/>
  <c r="J141" i="1"/>
  <c r="J144" i="1" l="1"/>
  <c r="J143" i="1"/>
  <c r="J145" i="1" l="1"/>
  <c r="J146" i="1"/>
  <c r="J148" i="1" l="1"/>
  <c r="J147" i="1"/>
  <c r="J149" i="1" l="1"/>
  <c r="J150" i="1"/>
  <c r="J152" i="1" l="1"/>
  <c r="J151" i="1"/>
  <c r="J153" i="1" l="1"/>
  <c r="J154" i="1"/>
  <c r="J155" i="1" l="1"/>
  <c r="J156" i="1"/>
  <c r="J158" i="1" l="1"/>
  <c r="J157" i="1"/>
  <c r="J159" i="1" l="1"/>
  <c r="J160" i="1"/>
  <c r="J162" i="1" l="1"/>
  <c r="J161" i="1"/>
  <c r="J163" i="1" l="1"/>
  <c r="J164" i="1"/>
  <c r="J166" i="1" l="1"/>
  <c r="J165" i="1"/>
  <c r="J167" i="1" l="1"/>
  <c r="J168" i="1"/>
  <c r="J169" i="1" l="1"/>
  <c r="J172" i="1"/>
  <c r="J170" i="1"/>
  <c r="J173" i="1" l="1"/>
  <c r="J1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97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K190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<sst xmlns="http://schemas.openxmlformats.org/spreadsheetml/2006/main" count="1114" uniqueCount="366">
  <si>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</si>
  <si>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</si>
  <si>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</si>
  <si>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</si>
  <si>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</si>
  <si>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</si>
  <si>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</si>
  <si>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</si>
  <si>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</si>
  <si>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</si>
  <si>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</si>
  <si>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</si>
  <si>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</si>
  <si>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</si>
  <si>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</si>
  <si>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</si>
  <si>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</si>
  <si>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</si>
  <si>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</si>
  <si>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</si>
  <si>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</si>
  <si>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</si>
  <si>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</si>
  <si>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</si>
  <si>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</si>
  <si>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</si>
  <si>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</si>
  <si>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</si>
  <si>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</si>
  <si>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</si>
  <si>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</si>
  <si>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</si>
  <si>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</si>
  <si>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</si>
  <si>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</si>
  <si>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</si>
  <si>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</si>
  <si>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</si>
  <si>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</si>
  <si>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</si>
  <si>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</si>
  <si>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</si>
  <si>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</si>
  <si>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</si>
  <si>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</si>
  <si>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</si>
  <si>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</si>
  <si>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</si>
  <si>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</si>
  <si>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</si>
  <si>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</si>
  <si>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</si>
  <si>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</si>
  <si>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</si>
  <si>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</si>
  <si>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</si>
  <si>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</si>
  <si>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</si>
  <si>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</si>
  <si>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</si>
  <si>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</si>
  <si>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</si>
  <si>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</si>
  <si>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</si>
  <si>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</si>
  <si>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</si>
  <si>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</si>
  <si>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</si>
  <si>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</si>
  <si>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</si>
  <si>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</si>
  <si>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</si>
  <si>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</si>
  <si>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</si>
  <si>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</si>
  <si>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</si>
  <si>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</si>
  <si>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</si>
  <si>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</si>
  <si>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</si>
  <si>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</si>
  <si>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</si>
  <si>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</si>
  <si>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</si>
  <si>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</si>
  <si>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</si>
  <si>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</si>
  <si>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</si>
  <si>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</si>
  <si>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</si>
  <si>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</si>
  <si>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</si>
  <si>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</si>
  <si>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</si>
  <si>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</si>
  <si>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</si>
  <si>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</si>
  <si>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</si>
  <si>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</si>
  <si>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</si>
  <si>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</si>
  <si>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</si>
  <si>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</si>
  <si>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</si>
  <si>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</si>
  <si>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</si>
  <si>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</si>
  <si>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</si>
  <si>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</si>
  <si>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</si>
  <si>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</si>
  <si>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</si>
  <si>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</si>
  <si>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</si>
  <si>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</si>
  <si>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</si>
  <si>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</si>
  <si>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</si>
  <si>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</si>
  <si>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</si>
  <si>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</si>
  <si>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</si>
  <si>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</si>
  <si>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</si>
  <si>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</si>
  <si>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</si>
  <si>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</si>
  <si>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</si>
  <si>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</si>
  <si>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</si>
  <si>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</si>
  <si>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</si>
  <si>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</si>
  <si>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</si>
  <si>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</si>
  <si>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</si>
  <si>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</si>
  <si>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</si>
  <si>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</si>
  <si>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</si>
  <si>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</si>
  <si>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</si>
  <si>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</si>
  <si>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</si>
  <si>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</si>
  <si>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</si>
  <si>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</si>
  <si>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</si>
  <si>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</si>
  <si>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</si>
  <si>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</si>
  <si>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</si>
  <si>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</si>
  <si>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</si>
  <si>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</si>
  <si>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</si>
  <si>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</si>
  <si>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</si>
  <si>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</si>
  <si>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</si>
  <si>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</si>
  <si>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</si>
  <si>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</si>
  <si>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</si>
  <si>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</si>
  <si>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</si>
  <si>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</si>
  <si>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</si>
  <si>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</si>
  <si>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</si>
  <si>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</si>
  <si>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</si>
  <si>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</si>
  <si>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</si>
  <si>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</si>
  <si>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</si>
  <si>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</si>
  <si>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</si>
  <si>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</si>
  <si>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</si>
  <si>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</si>
  <si>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</si>
  <si>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</si>
  <si>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</si>
  <si>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</si>
  <si>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</si>
  <si>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</si>
  <si>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</si>
  <si>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</si>
  <si>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</si>
  <si>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</si>
  <si>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</si>
  <si>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</si>
  <si>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</si>
  <si>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</si>
  <si>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</si>
  <si>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</si>
  <si>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</si>
  <si>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</si>
  <si>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</si>
  <si>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</si>
  <si>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</si>
  <si>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</si>
  <si>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</si>
  <si>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</si>
  <si>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</si>
  <si>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</si>
  <si>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</si>
  <si>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</si>
  <si>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</si>
  <si>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</si>
  <si>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</si>
  <si>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</si>
  <si>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</si>
  <si>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</si>
  <si>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</si>
  <si>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</si>
  <si>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</si>
  <si>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</si>
  <si>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</si>
  <si>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</si>
  <si>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</si>
  <si>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</si>
  <si>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</si>
  <si>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</si>
  <si>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</si>
  <si>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</si>
  <si>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</si>
  <si>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</si>
  <si>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</si>
  <si>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</si>
  <si>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</si>
  <si>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</si>
  <si>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</si>
  <si>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</si>
  <si>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</si>
  <si>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</si>
  <si>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</si>
  <si>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</si>
  <si>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</si>
  <si>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</si>
  <si>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</si>
  <si>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</si>
  <si>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</si>
  <si>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</si>
  <si>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</si>
  <si>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</si>
  <si>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</si>
  <si>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</si>
  <si>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</si>
  <si>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</si>
  <si>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</si>
  <si>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</si>
  <si>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</si>
  <si>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</si>
  <si>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</si>
  <si>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</si>
  <si>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</si>
  <si>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</si>
  <si>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</si>
  <si>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</si>
  <si>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</si>
  <si>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</si>
  <si>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</si>
  <si>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</si>
  <si>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</si>
  <si>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</si>
  <si>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</si>
  <si>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</si>
  <si>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</si>
  <si>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</si>
  <si>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</si>
  <si>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</si>
  <si>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</si>
  <si>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</si>
  <si>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</si>
  <si>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</si>
  <si>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</si>
  <si>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</si>
  <si>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</si>
  <si>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</si>
  <si>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</si>
  <si>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</si>
  <si>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</si>
  <si>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</si>
  <si>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</si>
  <si>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</si>
  <si>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</si>
  <si>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</si>
  <si>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</si>
  <si>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</si>
  <si>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</si>
  <si>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</si>
  <si>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</si>
  <si>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</si>
  <si>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</si>
  <si>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</si>
  <si>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</si>
  <si>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</si>
  <si>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</si>
  <si>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</si>
  <si>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</si>
  <si>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</si>
  <si>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</si>
  <si>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</si>
  <si>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</si>
  <si>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</si>
  <si>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</si>
  <si>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</si>
  <si>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</si>
  <si>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</si>
  <si>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</si>
  <si>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</si>
  <si>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</si>
  <si>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</si>
  <si>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</si>
  <si>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</si>
  <si>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</si>
  <si>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</si>
  <si>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</si>
  <si>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</si>
  <si>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</si>
  <si>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</si>
  <si>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</si>
  <si>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</si>
  <si>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</si>
  <si>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</si>
  <si>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</si>
  <si>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</si>
  <si>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</si>
  <si>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</si>
  <si>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</si>
  <si>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</si>
  <si>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</si>
  <si>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</si>
  <si>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</si>
  <si>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</si>
  <si>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</si>
  <si>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</si>
  <si>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</si>
  <si>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</si>
  <si>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</si>
  <si>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</si>
  <si>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</si>
  <si>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</si>
  <si>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</si>
  <si>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</si>
  <si>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</si>
  <si>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</si>
  <si>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</si>
  <si>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</si>
  <si>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</si>
  <si>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</si>
  <si>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</si>
  <si>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</si>
  <si>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</si>
  <si>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</si>
  <si>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</si>
  <si>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Percentage HIV - pop female</t>
  </si>
  <si>
    <t>Percentage HIV - pop male</t>
  </si>
  <si>
    <t>POS</t>
  </si>
  <si>
    <t xml:space="preserve">Percentage pop HIV + </t>
  </si>
  <si>
    <t>Rate of moving off of IPT</t>
  </si>
  <si>
    <t>varpi</t>
  </si>
  <si>
    <t>Adherence rate for gender compartment Male, per year</t>
  </si>
  <si>
    <t>Adherence rate for gender compartment Female,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</si>
</sst>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9" fillId="2" borderId="0" xfId="0" applyFont="1" applyFill="1" applyAlignment="1">
      <alignment wrapText="1"/>
    </xf>
    <xf numFmtId="0" fontId="9" fillId="0" borderId="0" xfId="0" applyFont="1" applyFill="1"/>
    <xf numFmtId="0" fontId="0" fillId="0" borderId="0" xfId="0" applyFill="1"/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9" fillId="5" borderId="0" xfId="0" applyFont="1" applyFill="1"/>
    <xf numFmtId="0" fontId="9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9" fillId="2" borderId="0" xfId="0" applyFont="1" applyFill="1"/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1" fontId="0" fillId="6" borderId="0" xfId="0" applyNumberFormat="1" applyFill="1" applyAlignment="1">
      <alignment wrapText="1"/>
    </xf>
    <xf numFmtId="0" fontId="12" fillId="0" borderId="0" xfId="0" applyFont="1" applyAlignment="1">
      <alignment vertical="center" wrapText="1"/>
    </xf>
    <xf numFmtId="0" fontId="0" fillId="6" borderId="0" xfId="0" applyFill="1"/>
    <xf numFmtId="0" fontId="4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3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zoomScaleNormal="100" workbookViewId="0">
      <pane xSplit="10" ySplit="1" topLeftCell="K186" activePane="bottomRight" state="frozen"/>
      <selection pane="topRight" activeCell="I1" sqref="I1"/>
      <selection pane="bottomLeft" activeCell="A2" sqref="A2"/>
      <selection pane="bottomRight" activeCell="K189" sqref="K189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" style="10" customWidth="1"/>
    <col min="16" max="16384" width="8.83203125" style="10"/>
  </cols>
  <sheetData>
    <row r="1" spans="1:15" s="7" customFormat="1" ht="5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64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64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32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2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Parameters'!G2</f>
        <v>0.7</v>
      </c>
      <c r="N9" s="9" t="s">
        <v>30</v>
      </c>
      <c r="O9" s="10" t="s">
        <v>31</v>
      </c>
    </row>
    <row r="10" spans="1:15" ht="34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Parameters'!G3</f>
        <v>0.77</v>
      </c>
      <c r="N10" s="9" t="s">
        <v>30</v>
      </c>
      <c r="O10" s="10" t="s">
        <v>31</v>
      </c>
    </row>
    <row r="11" spans="1:15" ht="32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Parameters'!G4</f>
        <v>0.7</v>
      </c>
      <c r="N11" s="9" t="s">
        <v>30</v>
      </c>
      <c r="O11" s="10" t="s">
        <v>31</v>
      </c>
    </row>
    <row r="12" spans="1:15" ht="64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29">
        <v>0</v>
      </c>
      <c r="O14" s="10" t="s">
        <v>44</v>
      </c>
    </row>
    <row r="15" spans="1:15" ht="51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29">
        <v>0</v>
      </c>
      <c r="O15" s="10" t="s">
        <v>44</v>
      </c>
    </row>
    <row r="16" spans="1:15" ht="51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2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17">
      <c r="A88" s="35" t="s">
        <v>362</v>
      </c>
      <c r="C88" s="8" t="s">
        <v>124</v>
      </c>
      <c r="D88" s="8" t="s">
        <v>43</v>
      </c>
      <c r="E88" s="8"/>
      <c r="J88" s="9" t="str">
        <f t="shared" si="4"/>
        <v>omega_</v>
      </c>
      <c r="K88" s="9">
        <v>2</v>
      </c>
      <c r="O88" s="10" t="s">
        <v>125</v>
      </c>
    </row>
    <row r="89" spans="1:15" ht="17">
      <c r="A89" s="20" t="s">
        <v>126</v>
      </c>
      <c r="B89" s="9" t="s">
        <v>127</v>
      </c>
      <c r="C89" s="8" t="s">
        <v>128</v>
      </c>
      <c r="D89" s="8" t="s">
        <v>43</v>
      </c>
      <c r="E89" s="8">
        <v>34</v>
      </c>
      <c r="J89" s="9" t="str">
        <f t="shared" si="4"/>
        <v>pi_34,</v>
      </c>
      <c r="K89" s="9">
        <v>0.5</v>
      </c>
      <c r="O89" s="10" t="s">
        <v>129</v>
      </c>
    </row>
    <row r="90" spans="1:15" ht="17">
      <c r="A90" s="20" t="s">
        <v>130</v>
      </c>
      <c r="B90" s="9" t="s">
        <v>130</v>
      </c>
      <c r="C90" s="8" t="s">
        <v>128</v>
      </c>
      <c r="D90" s="8" t="s">
        <v>43</v>
      </c>
      <c r="E90" s="8">
        <v>36</v>
      </c>
      <c r="J90" s="9" t="str">
        <f t="shared" si="4"/>
        <v>pi_36,</v>
      </c>
      <c r="K90" s="9">
        <v>0.15</v>
      </c>
    </row>
    <row r="91" spans="1:15" ht="17">
      <c r="A91" s="20" t="s">
        <v>131</v>
      </c>
      <c r="B91" s="9" t="s">
        <v>130</v>
      </c>
      <c r="C91" s="8" t="s">
        <v>128</v>
      </c>
      <c r="D91" s="8" t="s">
        <v>43</v>
      </c>
      <c r="E91" s="8">
        <v>46</v>
      </c>
      <c r="J91" s="9" t="str">
        <f t="shared" si="4"/>
        <v>pi_46,</v>
      </c>
      <c r="K91" s="9">
        <v>0.05</v>
      </c>
    </row>
    <row r="92" spans="1:15" ht="17">
      <c r="A92" s="20" t="s">
        <v>132</v>
      </c>
      <c r="B92" s="9" t="s">
        <v>132</v>
      </c>
      <c r="C92" s="8" t="s">
        <v>128</v>
      </c>
      <c r="D92" s="8" t="s">
        <v>43</v>
      </c>
      <c r="E92" s="8">
        <v>56</v>
      </c>
      <c r="J92" s="9" t="str">
        <f t="shared" si="4"/>
        <v>pi_56,</v>
      </c>
      <c r="K92" s="9">
        <v>0.02</v>
      </c>
    </row>
    <row r="93" spans="1:15" ht="34">
      <c r="A93" s="20" t="s">
        <v>133</v>
      </c>
      <c r="B93" s="9" t="str">
        <f>CONCATENATE("Relative risk for TB progression from LTBI to active for HIV compartment ", VLOOKUP(G93, HIV_SET, 2))</f>
        <v>Relative risk for TB progression from LTBI to active for HIV compartment  HIV-negative</v>
      </c>
      <c r="C93" s="8" t="s">
        <v>134</v>
      </c>
      <c r="D93" s="8" t="s">
        <v>43</v>
      </c>
      <c r="E93" s="8"/>
      <c r="G93" s="9">
        <v>1</v>
      </c>
      <c r="J93" s="9" t="str">
        <f t="shared" ref="J93:J124" si="6">CONCATENATE(C93, "_", E93, IF(E93&lt;&gt;"",",",""), F93, IF(F93&lt;&gt;"",",",""),  G93, IF(G93&lt;&gt;"",",",""),  H93, IF(I93&lt;&gt;"","(",""), I93, IF(I93&lt;&gt;"",")",""))</f>
        <v>theta_1,</v>
      </c>
      <c r="K93" s="9">
        <v>1</v>
      </c>
    </row>
    <row r="94" spans="1:15" ht="34">
      <c r="A94" s="20" t="s">
        <v>135</v>
      </c>
      <c r="B94" s="9" t="str">
        <f>CONCATENATE("Relative risk for TB progression from LTBI to active for HIV compartment ", VLOOKUP(G94, HIV_SET, 2))</f>
        <v>Relative risk for TB progression from LTBI to active for HIV compartment  PLHIV not on ART, CD4&gt;200</v>
      </c>
      <c r="C94" s="8" t="s">
        <v>134</v>
      </c>
      <c r="D94" s="8" t="s">
        <v>43</v>
      </c>
      <c r="E94" s="8"/>
      <c r="G94" s="9">
        <v>2</v>
      </c>
      <c r="J94" s="9" t="str">
        <f t="shared" si="6"/>
        <v>theta_2,</v>
      </c>
      <c r="K94" s="9">
        <v>1.2</v>
      </c>
    </row>
    <row r="95" spans="1:15" ht="34">
      <c r="A95" s="20" t="s">
        <v>136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CD4≤200</v>
      </c>
      <c r="C95" s="8" t="s">
        <v>134</v>
      </c>
      <c r="D95" s="8" t="s">
        <v>43</v>
      </c>
      <c r="E95" s="8"/>
      <c r="G95" s="9">
        <v>3</v>
      </c>
      <c r="J95" s="9" t="str">
        <f t="shared" si="6"/>
        <v>theta_3,</v>
      </c>
      <c r="K95" s="9">
        <v>1.5</v>
      </c>
    </row>
    <row r="96" spans="1:15" ht="34">
      <c r="A96" s="20" t="s">
        <v>137</v>
      </c>
      <c r="B96" s="9" t="str">
        <f>CONCATENATE("Relative risk for TB progression from LTBI to active for HIV compartment ", VLOOKUP(G96, HIV_SET, 2))</f>
        <v>Relative risk for TB progression from LTBI to active for HIV compartment  PLHIV and on ART</v>
      </c>
      <c r="C96" s="8" t="s">
        <v>134</v>
      </c>
      <c r="D96" s="8" t="s">
        <v>43</v>
      </c>
      <c r="E96" s="8"/>
      <c r="G96" s="9">
        <v>4</v>
      </c>
      <c r="J96" s="9" t="str">
        <f t="shared" si="6"/>
        <v>theta_4,</v>
      </c>
      <c r="K96" s="9">
        <v>1.1000000000000001</v>
      </c>
    </row>
    <row r="97" spans="1:15" ht="34">
      <c r="A97" s="22" t="s">
        <v>268</v>
      </c>
      <c r="B97" s="22" t="s">
        <v>268</v>
      </c>
      <c r="C97" s="9" t="s">
        <v>128</v>
      </c>
      <c r="D97" s="9" t="s">
        <v>43</v>
      </c>
      <c r="E97" s="9">
        <v>67</v>
      </c>
      <c r="J97" s="9" t="str">
        <f t="shared" si="6"/>
        <v>pi_67,</v>
      </c>
      <c r="K97" s="23">
        <v>2</v>
      </c>
    </row>
    <row r="98" spans="1:15" ht="34">
      <c r="A98" s="20" t="s">
        <v>138</v>
      </c>
      <c r="B98" s="9" t="str">
        <f>CONCATENATE("Rate of populations moving from HIV negative to HIVPL CD4 &gt; 200 under policy ", VLOOKUP(I98, P_SET, 2))</f>
        <v>Rate of populations moving from HIV negative to HIVPL CD4 &gt; 200 under policy Community ART + IPT</v>
      </c>
      <c r="C98" s="8" t="s">
        <v>139</v>
      </c>
      <c r="D98" s="8" t="s">
        <v>140</v>
      </c>
      <c r="E98" s="8"/>
      <c r="G98" s="9">
        <v>12</v>
      </c>
      <c r="I98" s="9">
        <v>3</v>
      </c>
      <c r="J98" s="9" t="str">
        <f t="shared" si="6"/>
        <v>eta_12,(3)</v>
      </c>
      <c r="K98" s="9">
        <v>0.05</v>
      </c>
      <c r="O98" s="10" t="s">
        <v>141</v>
      </c>
    </row>
    <row r="99" spans="1:15" ht="34">
      <c r="A99" s="20" t="s">
        <v>142</v>
      </c>
      <c r="B99" s="9" t="str">
        <f>CONCATENATE("Rate of populations moving from HIVPL CD4 &gt; 200 to HIVPL &lt;= 200 under policy ", VLOOKUP(I99, P_SET, 2))</f>
        <v>Rate of populations moving from HIVPL CD4 &gt; 200 to HIVPL &lt;= 200 under policy Community ART + IPT</v>
      </c>
      <c r="C99" s="8" t="s">
        <v>139</v>
      </c>
      <c r="D99" s="8" t="s">
        <v>140</v>
      </c>
      <c r="E99" s="8"/>
      <c r="G99" s="9">
        <v>23</v>
      </c>
      <c r="I99" s="9">
        <v>3</v>
      </c>
      <c r="J99" s="9" t="str">
        <f t="shared" si="6"/>
        <v>eta_23,(3)</v>
      </c>
      <c r="K99" s="9">
        <v>0.2</v>
      </c>
      <c r="O99" s="10" t="s">
        <v>143</v>
      </c>
    </row>
    <row r="100" spans="1:15" ht="34">
      <c r="A100" s="20" t="s">
        <v>144</v>
      </c>
      <c r="B100" s="9" t="str">
        <f>CONCATENATE("Rate of populations moving from HIVPL CD4 &gt; 200  to HIVPL on ART under policy ", VLOOKUP(I100, P_SET, 2))</f>
        <v>Rate of populations moving from HIVPL CD4 &gt; 200  to HIVPL on ART under policy Community ART + IPT</v>
      </c>
      <c r="C100" s="8" t="s">
        <v>139</v>
      </c>
      <c r="D100" s="8" t="s">
        <v>140</v>
      </c>
      <c r="E100" s="8"/>
      <c r="G100" s="9">
        <v>34</v>
      </c>
      <c r="I100" s="9">
        <v>3</v>
      </c>
      <c r="J100" s="9" t="str">
        <f t="shared" si="6"/>
        <v>eta_34,(3)</v>
      </c>
      <c r="K100" s="9">
        <f>K108*'Indirect Model Parameters'!G7</f>
        <v>0.48</v>
      </c>
      <c r="O100" s="10" t="s">
        <v>145</v>
      </c>
    </row>
    <row r="101" spans="1:15" ht="34">
      <c r="A101" s="20" t="s">
        <v>146</v>
      </c>
      <c r="B101" s="9" t="str">
        <f>CONCATENATE("Rate of populations moving from HIVPL CD4 &lt;= 200  to HIVPL on ART under policy ", VLOOKUP(I101, P_SET, 2))</f>
        <v>Rate of populations moving from HIVPL CD4 &lt;= 200  to HIVPL on ART under policy Community ART + IPT</v>
      </c>
      <c r="C101" s="8" t="s">
        <v>139</v>
      </c>
      <c r="D101" s="8" t="s">
        <v>140</v>
      </c>
      <c r="E101" s="8"/>
      <c r="G101" s="9">
        <v>24</v>
      </c>
      <c r="I101" s="9">
        <v>3</v>
      </c>
      <c r="J101" s="9" t="str">
        <f t="shared" si="6"/>
        <v>eta_24,(3)</v>
      </c>
      <c r="K101" s="9">
        <f>K109*'Indirect Model Parameters'!G8</f>
        <v>0.48</v>
      </c>
      <c r="O101" s="10" t="s">
        <v>147</v>
      </c>
    </row>
    <row r="102" spans="1:15" ht="34">
      <c r="A102" s="20" t="s">
        <v>148</v>
      </c>
      <c r="B102" s="9" t="str">
        <f>CONCATENATE("Rate of populations moving from HIV negative to HIVPL CD4 &gt; 200 under policy ", VLOOKUP(I102, P_SET, 2))</f>
        <v>Rate of populations moving from HIV negative to HIVPL CD4 &gt; 200 under policy Community ART</v>
      </c>
      <c r="C102" s="8" t="s">
        <v>139</v>
      </c>
      <c r="D102" s="8" t="s">
        <v>140</v>
      </c>
      <c r="E102" s="8"/>
      <c r="G102" s="9">
        <v>12</v>
      </c>
      <c r="I102" s="9">
        <v>2</v>
      </c>
      <c r="J102" s="9" t="str">
        <f t="shared" si="6"/>
        <v>eta_12,(2)</v>
      </c>
      <c r="K102" s="9">
        <v>0.05</v>
      </c>
      <c r="O102" s="10" t="s">
        <v>149</v>
      </c>
    </row>
    <row r="103" spans="1:15" ht="34">
      <c r="A103" s="20" t="s">
        <v>150</v>
      </c>
      <c r="B103" s="9" t="str">
        <f>CONCATENATE("Rate of populations moving from HIVPL CD4 &gt; 200 to HIVPL &lt;= 200 under policy ", VLOOKUP(I103, P_SET, 2))</f>
        <v>Rate of populations moving from HIVPL CD4 &gt; 200 to HIVPL &lt;= 200 under policy Community ART</v>
      </c>
      <c r="C103" s="8" t="s">
        <v>139</v>
      </c>
      <c r="D103" s="8" t="s">
        <v>140</v>
      </c>
      <c r="E103" s="8"/>
      <c r="G103" s="9">
        <v>23</v>
      </c>
      <c r="I103" s="9">
        <v>2</v>
      </c>
      <c r="J103" s="9" t="str">
        <f t="shared" si="6"/>
        <v>eta_23,(2)</v>
      </c>
      <c r="K103" s="9">
        <v>0.2</v>
      </c>
    </row>
    <row r="104" spans="1:15" ht="34">
      <c r="A104" s="20" t="s">
        <v>151</v>
      </c>
      <c r="B104" s="9" t="str">
        <f>CONCATENATE("Rate of populations moving from HIVPL CD4 &gt; 200  to HIVPL on ART under policy ", VLOOKUP(I104, P_SET, 2))</f>
        <v>Rate of populations moving from HIVPL CD4 &gt; 200  to HIVPL on ART under policy Community ART</v>
      </c>
      <c r="C104" s="8" t="s">
        <v>139</v>
      </c>
      <c r="D104" s="8" t="s">
        <v>140</v>
      </c>
      <c r="E104" s="8"/>
      <c r="G104" s="9">
        <v>34</v>
      </c>
      <c r="I104" s="9">
        <v>2</v>
      </c>
      <c r="J104" s="9" t="str">
        <f t="shared" si="6"/>
        <v>eta_34,(2)</v>
      </c>
      <c r="K104" s="9">
        <f>$K$107*'Indirect Model Parameters'!G5</f>
        <v>0.22000000000000003</v>
      </c>
    </row>
    <row r="105" spans="1:15" ht="34">
      <c r="A105" s="20" t="s">
        <v>152</v>
      </c>
      <c r="B105" s="9" t="str">
        <f>CONCATENATE("Rate of populations moving from HIVPL CD4 &lt;= 200  to HIVPL on ART under policy ", VLOOKUP(I105, P_SET, 2))</f>
        <v>Rate of populations moving from HIVPL CD4 &lt;= 200  to HIVPL on ART under policy Community ART</v>
      </c>
      <c r="C105" s="8" t="s">
        <v>139</v>
      </c>
      <c r="D105" s="8" t="s">
        <v>140</v>
      </c>
      <c r="E105" s="8"/>
      <c r="G105" s="9">
        <v>24</v>
      </c>
      <c r="I105" s="9">
        <v>2</v>
      </c>
      <c r="J105" s="9" t="str">
        <f t="shared" si="6"/>
        <v>eta_24,(2)</v>
      </c>
      <c r="K105" s="9">
        <f>$K$108*'Indirect Model Parameters'!G6</f>
        <v>0.44000000000000006</v>
      </c>
    </row>
    <row r="106" spans="1:15" ht="34">
      <c r="A106" s="20" t="s">
        <v>153</v>
      </c>
      <c r="B106" s="9" t="str">
        <f>CONCATENATE("Rate of populations moving from HIV negative to HIVPL CD4 &gt; 200 under policy ", VLOOKUP(I106, P_SET, 2))</f>
        <v>Rate of populations moving from HIV negative to HIVPL CD4 &gt; 200 under policy Standard (baseline)</v>
      </c>
      <c r="C106" s="8" t="s">
        <v>139</v>
      </c>
      <c r="D106" s="8" t="s">
        <v>140</v>
      </c>
      <c r="E106" s="8"/>
      <c r="G106" s="9">
        <v>12</v>
      </c>
      <c r="I106" s="9">
        <v>1</v>
      </c>
      <c r="J106" s="9" t="str">
        <f t="shared" si="6"/>
        <v>eta_12,(1)</v>
      </c>
      <c r="K106" s="9">
        <v>0.05</v>
      </c>
    </row>
    <row r="107" spans="1:15" ht="34">
      <c r="A107" s="20" t="s">
        <v>154</v>
      </c>
      <c r="B107" s="9" t="str">
        <f>CONCATENATE("Rate of populations moving from HIVPL CD4 &gt; 200 to HIVPL &lt;= 200 under policy ", VLOOKUP(I107, P_SET, 2))</f>
        <v>Rate of populations moving from HIVPL CD4 &gt; 200 to HIVPL &lt;= 200 under policy Standard (baseline)</v>
      </c>
      <c r="C107" s="8" t="s">
        <v>139</v>
      </c>
      <c r="D107" s="8" t="s">
        <v>140</v>
      </c>
      <c r="E107" s="8"/>
      <c r="G107" s="9">
        <v>23</v>
      </c>
      <c r="I107" s="9">
        <v>1</v>
      </c>
      <c r="J107" s="9" t="str">
        <f t="shared" si="6"/>
        <v>eta_23,(1)</v>
      </c>
      <c r="K107" s="9">
        <v>0.2</v>
      </c>
    </row>
    <row r="108" spans="1:15" ht="34">
      <c r="A108" s="20" t="s">
        <v>155</v>
      </c>
      <c r="B108" s="9" t="str">
        <f>CONCATENATE("Rate of populations moving from HIVPL CD4 &gt; 200  to HIVPL on ART under policy ", VLOOKUP(I108, P_SET, 2))</f>
        <v>Rate of populations moving from HIVPL CD4 &gt; 200  to HIVPL on ART under policy Standard (baseline)</v>
      </c>
      <c r="C108" s="8" t="s">
        <v>139</v>
      </c>
      <c r="D108" s="8" t="s">
        <v>140</v>
      </c>
      <c r="E108" s="8"/>
      <c r="G108" s="9">
        <v>24</v>
      </c>
      <c r="I108" s="9">
        <v>1</v>
      </c>
      <c r="J108" s="9" t="str">
        <f t="shared" si="6"/>
        <v>eta_24,(1)</v>
      </c>
      <c r="K108" s="9">
        <v>0.4</v>
      </c>
    </row>
    <row r="109" spans="1:15" ht="34">
      <c r="A109" s="20" t="s">
        <v>156</v>
      </c>
      <c r="B109" s="9" t="str">
        <f>CONCATENATE("Rate of populations moving from HIVPL CD4 &lt;= 200  to HIVPL on ART under policy ", VLOOKUP(I109, P_SET, 2))</f>
        <v>Rate of populations moving from HIVPL CD4 &lt;= 200  to HIVPL on ART under policy Standard (baseline)</v>
      </c>
      <c r="C109" s="8" t="s">
        <v>139</v>
      </c>
      <c r="D109" s="8" t="s">
        <v>140</v>
      </c>
      <c r="E109" s="8"/>
      <c r="G109" s="9">
        <v>34</v>
      </c>
      <c r="I109" s="9">
        <v>1</v>
      </c>
      <c r="J109" s="9" t="str">
        <f t="shared" si="6"/>
        <v>eta_34,(1)</v>
      </c>
      <c r="K109" s="9">
        <v>0.4</v>
      </c>
    </row>
    <row r="110" spans="1:15" ht="48">
      <c r="A110" s="20" t="s">
        <v>157</v>
      </c>
      <c r="B110" s="9" t="str">
        <f t="shared" ref="B110:B141" si="7">CONCATENATE("Mortality rates from populations in TB compartment ",VLOOKUP(E110,TB_SET,2)," and HIV compartment ",VLOOKUP(G110,HIV_SET,2)," and gender compartment ",VLOOKUP(H110,G_SET,2)," per year")</f>
        <v>Mortality rates from populations in TB compartment  Uninfected, not on IPT and HIV compartment  HIV-negative and gender compartment Male per year</v>
      </c>
      <c r="C110" s="8" t="s">
        <v>158</v>
      </c>
      <c r="D110" s="8" t="s">
        <v>159</v>
      </c>
      <c r="E110" s="8">
        <v>1</v>
      </c>
      <c r="G110" s="9">
        <v>1</v>
      </c>
      <c r="H110" s="9">
        <v>1</v>
      </c>
      <c r="J110" s="9" t="str">
        <f t="shared" si="6"/>
        <v>mu_1,1,1</v>
      </c>
      <c r="K110" s="11">
        <v>3.3E-3</v>
      </c>
      <c r="O110" s="10" t="s">
        <v>319</v>
      </c>
    </row>
    <row r="111" spans="1:15" ht="48">
      <c r="A111" s="20" t="s">
        <v>160</v>
      </c>
      <c r="B111" s="9" t="str">
        <f t="shared" si="7"/>
        <v>Mortality rates from populations in TB compartment  Uninfected, not on IPT and HIV compartment  HIV-negative and gender compartment Female per year</v>
      </c>
      <c r="C111" s="8" t="s">
        <v>158</v>
      </c>
      <c r="D111" s="8" t="s">
        <v>159</v>
      </c>
      <c r="E111" s="8">
        <v>1</v>
      </c>
      <c r="G111" s="9">
        <v>1</v>
      </c>
      <c r="H111" s="9">
        <v>2</v>
      </c>
      <c r="J111" s="9" t="str">
        <f t="shared" si="6"/>
        <v>mu_1,1,2</v>
      </c>
      <c r="K111" s="11">
        <f>0.0019</f>
        <v>1.9E-3</v>
      </c>
      <c r="O111" s="10" t="s">
        <v>320</v>
      </c>
    </row>
    <row r="112" spans="1:15" ht="51">
      <c r="A112" s="20" t="s">
        <v>161</v>
      </c>
      <c r="B112" s="9" t="str">
        <f t="shared" si="7"/>
        <v>Mortality rates from populations in TB compartment  Uninfected, not on IPT and HIV compartment  PLHIV not on ART, CD4&gt;200 and gender compartment Male per year</v>
      </c>
      <c r="C112" s="8" t="s">
        <v>158</v>
      </c>
      <c r="D112" s="8" t="s">
        <v>159</v>
      </c>
      <c r="E112" s="8">
        <v>1</v>
      </c>
      <c r="G112" s="9">
        <v>2</v>
      </c>
      <c r="H112" s="9">
        <v>1</v>
      </c>
      <c r="J112" s="9" t="str">
        <f t="shared" si="6"/>
        <v>mu_1,2,1</v>
      </c>
      <c r="K112" s="11">
        <f>K110*5</f>
        <v>1.6500000000000001E-2</v>
      </c>
      <c r="O112" s="10" t="s">
        <v>313</v>
      </c>
    </row>
    <row r="113" spans="1:15" ht="51">
      <c r="A113" s="20" t="s">
        <v>162</v>
      </c>
      <c r="B113" s="9" t="str">
        <f t="shared" si="7"/>
        <v>Mortality rates from populations in TB compartment  Uninfected, not on IPT and HIV compartment  PLHIV not on ART, CD4&gt;200 and gender compartment Female per year</v>
      </c>
      <c r="C113" s="8" t="s">
        <v>158</v>
      </c>
      <c r="D113" s="8" t="s">
        <v>159</v>
      </c>
      <c r="E113" s="8">
        <v>1</v>
      </c>
      <c r="G113" s="9">
        <v>2</v>
      </c>
      <c r="H113" s="9">
        <v>2</v>
      </c>
      <c r="J113" s="9" t="str">
        <f t="shared" si="6"/>
        <v>mu_1,2,2</v>
      </c>
      <c r="K113" s="11">
        <f>K111*5</f>
        <v>9.4999999999999998E-3</v>
      </c>
      <c r="O113" s="10" t="s">
        <v>313</v>
      </c>
    </row>
    <row r="114" spans="1:15" ht="51">
      <c r="A114" s="20" t="s">
        <v>163</v>
      </c>
      <c r="B114" s="9" t="str">
        <f t="shared" si="7"/>
        <v>Mortality rates from populations in TB compartment  Uninfected, not on IPT and HIV compartment  PLHIV not on ART, CD4≤200 and gender compartment Male per year</v>
      </c>
      <c r="C114" s="8" t="s">
        <v>158</v>
      </c>
      <c r="D114" s="8" t="s">
        <v>159</v>
      </c>
      <c r="E114" s="8">
        <v>1</v>
      </c>
      <c r="G114" s="9">
        <v>3</v>
      </c>
      <c r="H114" s="9">
        <v>1</v>
      </c>
      <c r="J114" s="9" t="str">
        <f t="shared" si="6"/>
        <v>mu_1,3,1</v>
      </c>
      <c r="K114" s="11">
        <f>K110*10</f>
        <v>3.3000000000000002E-2</v>
      </c>
      <c r="O114" s="10" t="s">
        <v>315</v>
      </c>
    </row>
    <row r="115" spans="1:15" ht="51">
      <c r="A115" s="20" t="s">
        <v>164</v>
      </c>
      <c r="B115" s="9" t="str">
        <f t="shared" si="7"/>
        <v>Mortality rates from populations in TB compartment  Uninfected, not on IPT and HIV compartment  PLHIV not on ART, CD4≤200 and gender compartment Female per year</v>
      </c>
      <c r="C115" s="8" t="s">
        <v>158</v>
      </c>
      <c r="D115" s="8" t="s">
        <v>159</v>
      </c>
      <c r="E115" s="8">
        <v>1</v>
      </c>
      <c r="G115" s="9">
        <v>3</v>
      </c>
      <c r="H115" s="9">
        <v>2</v>
      </c>
      <c r="J115" s="9" t="str">
        <f t="shared" si="6"/>
        <v>mu_1,3,2</v>
      </c>
      <c r="K115" s="11">
        <f>K111*10</f>
        <v>1.9E-2</v>
      </c>
      <c r="O115" s="10" t="s">
        <v>315</v>
      </c>
    </row>
    <row r="116" spans="1:15" ht="48">
      <c r="A116" s="20" t="s">
        <v>165</v>
      </c>
      <c r="B116" s="9" t="str">
        <f t="shared" si="7"/>
        <v>Mortality rates from populations in TB compartment  Uninfected, not on IPT and HIV compartment  PLHIV and on ART and gender compartment Male per year</v>
      </c>
      <c r="C116" s="8" t="s">
        <v>158</v>
      </c>
      <c r="D116" s="8" t="s">
        <v>159</v>
      </c>
      <c r="E116" s="8">
        <v>1</v>
      </c>
      <c r="G116" s="9">
        <v>4</v>
      </c>
      <c r="H116" s="9">
        <v>1</v>
      </c>
      <c r="J116" s="9" t="str">
        <f t="shared" si="6"/>
        <v>mu_1,4,1</v>
      </c>
      <c r="K116" s="11">
        <f>K110*1.2</f>
        <v>3.96E-3</v>
      </c>
      <c r="O116" s="10" t="s">
        <v>314</v>
      </c>
    </row>
    <row r="117" spans="1:15" ht="48">
      <c r="A117" s="20" t="s">
        <v>166</v>
      </c>
      <c r="B117" s="9" t="str">
        <f t="shared" si="7"/>
        <v>Mortality rates from populations in TB compartment  Uninfected, not on IPT and HIV compartment  PLHIV and on ART and gender compartment Female per year</v>
      </c>
      <c r="C117" s="8" t="s">
        <v>158</v>
      </c>
      <c r="D117" s="8" t="s">
        <v>159</v>
      </c>
      <c r="E117" s="8">
        <v>1</v>
      </c>
      <c r="G117" s="9">
        <v>4</v>
      </c>
      <c r="H117" s="9">
        <v>2</v>
      </c>
      <c r="J117" s="9" t="str">
        <f t="shared" si="6"/>
        <v>mu_1,4,2</v>
      </c>
      <c r="K117" s="11">
        <f>K111*1.2</f>
        <v>2.2799999999999999E-3</v>
      </c>
      <c r="O117" s="10" t="s">
        <v>314</v>
      </c>
    </row>
    <row r="118" spans="1:15" ht="48">
      <c r="A118" s="20" t="s">
        <v>167</v>
      </c>
      <c r="B118" s="9" t="str">
        <f t="shared" si="7"/>
        <v>Mortality rates from populations in TB compartment  Uninfected, on IPT and HIV compartment  HIV-negative and gender compartment Male per year</v>
      </c>
      <c r="C118" s="8" t="s">
        <v>158</v>
      </c>
      <c r="D118" s="8" t="s">
        <v>159</v>
      </c>
      <c r="E118" s="8">
        <v>2</v>
      </c>
      <c r="G118" s="9">
        <v>1</v>
      </c>
      <c r="H118" s="9">
        <v>1</v>
      </c>
      <c r="J118" s="9" t="str">
        <f t="shared" si="6"/>
        <v>mu_2,1,1</v>
      </c>
      <c r="K118" s="11">
        <f t="shared" ref="K118:K125" si="8">K110</f>
        <v>3.3E-3</v>
      </c>
      <c r="O118" s="10" t="s">
        <v>312</v>
      </c>
    </row>
    <row r="119" spans="1:15" ht="48">
      <c r="A119" s="20" t="s">
        <v>168</v>
      </c>
      <c r="B119" s="9" t="str">
        <f t="shared" si="7"/>
        <v>Mortality rates from populations in TB compartment  Uninfected, on IPT and HIV compartment  HIV-negative and gender compartment Female per year</v>
      </c>
      <c r="C119" s="8" t="s">
        <v>158</v>
      </c>
      <c r="D119" s="8" t="s">
        <v>159</v>
      </c>
      <c r="E119" s="8">
        <v>2</v>
      </c>
      <c r="G119" s="9">
        <v>1</v>
      </c>
      <c r="H119" s="9">
        <v>2</v>
      </c>
      <c r="J119" s="9" t="str">
        <f t="shared" si="6"/>
        <v>mu_2,1,2</v>
      </c>
      <c r="K119" s="11">
        <f t="shared" si="8"/>
        <v>1.9E-3</v>
      </c>
      <c r="O119" s="10" t="s">
        <v>312</v>
      </c>
    </row>
    <row r="120" spans="1:15" ht="51">
      <c r="A120" s="20" t="s">
        <v>169</v>
      </c>
      <c r="B120" s="9" t="str">
        <f t="shared" si="7"/>
        <v>Mortality rates from populations in TB compartment  Uninfected, on IPT and HIV compartment  PLHIV not on ART, CD4&gt;200 and gender compartment Male per year</v>
      </c>
      <c r="C120" s="8" t="s">
        <v>158</v>
      </c>
      <c r="D120" s="8" t="s">
        <v>159</v>
      </c>
      <c r="E120" s="8">
        <v>2</v>
      </c>
      <c r="G120" s="9">
        <v>2</v>
      </c>
      <c r="H120" s="9">
        <v>1</v>
      </c>
      <c r="J120" s="9" t="str">
        <f t="shared" si="6"/>
        <v>mu_2,2,1</v>
      </c>
      <c r="K120" s="11">
        <f t="shared" si="8"/>
        <v>1.6500000000000001E-2</v>
      </c>
      <c r="O120" s="10" t="s">
        <v>316</v>
      </c>
    </row>
    <row r="121" spans="1:15" ht="51">
      <c r="A121" s="20" t="s">
        <v>170</v>
      </c>
      <c r="B121" s="9" t="str">
        <f t="shared" si="7"/>
        <v>Mortality rates from populations in TB compartment  Uninfected, on IPT and HIV compartment  PLHIV not on ART, CD4&gt;200 and gender compartment Female per year</v>
      </c>
      <c r="C121" s="8" t="s">
        <v>158</v>
      </c>
      <c r="D121" s="8" t="s">
        <v>159</v>
      </c>
      <c r="E121" s="8">
        <v>2</v>
      </c>
      <c r="G121" s="9">
        <v>2</v>
      </c>
      <c r="H121" s="9">
        <v>2</v>
      </c>
      <c r="J121" s="9" t="str">
        <f t="shared" si="6"/>
        <v>mu_2,2,2</v>
      </c>
      <c r="K121" s="11">
        <f t="shared" si="8"/>
        <v>9.4999999999999998E-3</v>
      </c>
      <c r="O121" s="10" t="s">
        <v>316</v>
      </c>
    </row>
    <row r="122" spans="1:15" ht="51">
      <c r="A122" s="20" t="s">
        <v>171</v>
      </c>
      <c r="B122" s="9" t="str">
        <f t="shared" si="7"/>
        <v>Mortality rates from populations in TB compartment  Uninfected, on IPT and HIV compartment  PLHIV not on ART, CD4≤200 and gender compartment Male per year</v>
      </c>
      <c r="C122" s="8" t="s">
        <v>158</v>
      </c>
      <c r="D122" s="8" t="s">
        <v>159</v>
      </c>
      <c r="E122" s="8">
        <v>2</v>
      </c>
      <c r="G122" s="9">
        <v>3</v>
      </c>
      <c r="H122" s="9">
        <v>1</v>
      </c>
      <c r="J122" s="9" t="str">
        <f t="shared" si="6"/>
        <v>mu_2,3,1</v>
      </c>
      <c r="K122" s="11">
        <f t="shared" si="8"/>
        <v>3.3000000000000002E-2</v>
      </c>
      <c r="O122" s="10" t="s">
        <v>317</v>
      </c>
    </row>
    <row r="123" spans="1:15" ht="51">
      <c r="A123" s="31" t="s">
        <v>172</v>
      </c>
      <c r="B123" s="9" t="str">
        <f t="shared" si="7"/>
        <v>Mortality rates from populations in TB compartment  Uninfected, on IPT and HIV compartment  PLHIV not on ART, CD4≤200 and gender compartment Female per year</v>
      </c>
      <c r="C123" s="8" t="s">
        <v>158</v>
      </c>
      <c r="D123" s="8" t="s">
        <v>159</v>
      </c>
      <c r="E123" s="8">
        <v>2</v>
      </c>
      <c r="G123" s="9">
        <v>3</v>
      </c>
      <c r="H123" s="9">
        <v>2</v>
      </c>
      <c r="J123" s="9" t="str">
        <f t="shared" si="6"/>
        <v>mu_2,3,2</v>
      </c>
      <c r="K123" s="11">
        <f t="shared" si="8"/>
        <v>1.9E-2</v>
      </c>
      <c r="O123" s="10" t="s">
        <v>317</v>
      </c>
    </row>
    <row r="124" spans="1:15" ht="48">
      <c r="A124" s="20" t="s">
        <v>173</v>
      </c>
      <c r="B124" s="9" t="str">
        <f t="shared" si="7"/>
        <v>Mortality rates from populations in TB compartment  Uninfected, on IPT and HIV compartment  PLHIV and on ART and gender compartment Male per year</v>
      </c>
      <c r="C124" s="8" t="s">
        <v>158</v>
      </c>
      <c r="D124" s="8" t="s">
        <v>159</v>
      </c>
      <c r="E124" s="8">
        <v>2</v>
      </c>
      <c r="G124" s="9">
        <v>4</v>
      </c>
      <c r="H124" s="9">
        <v>1</v>
      </c>
      <c r="J124" s="9" t="str">
        <f t="shared" si="6"/>
        <v>mu_2,4,1</v>
      </c>
      <c r="K124" s="11">
        <f t="shared" si="8"/>
        <v>3.96E-3</v>
      </c>
      <c r="O124" s="10" t="s">
        <v>318</v>
      </c>
    </row>
    <row r="125" spans="1:15" ht="48">
      <c r="A125" s="20" t="s">
        <v>174</v>
      </c>
      <c r="B125" s="9" t="str">
        <f t="shared" si="7"/>
        <v>Mortality rates from populations in TB compartment  Uninfected, on IPT and HIV compartment  PLHIV and on ART and gender compartment Female per year</v>
      </c>
      <c r="C125" s="8" t="s">
        <v>158</v>
      </c>
      <c r="D125" s="8" t="s">
        <v>159</v>
      </c>
      <c r="E125" s="8">
        <v>2</v>
      </c>
      <c r="G125" s="9">
        <v>4</v>
      </c>
      <c r="H125" s="9">
        <v>2</v>
      </c>
      <c r="J125" s="9" t="str">
        <f t="shared" ref="J125:J156" si="9">CONCATENATE(C125, "_", E125, IF(E125&lt;&gt;"",",",""), F125, IF(F125&lt;&gt;"",",",""),  G125, IF(G125&lt;&gt;"",",",""),  H125, IF(I125&lt;&gt;"","(",""), I125, IF(I125&lt;&gt;"",")",""))</f>
        <v>mu_2,4,2</v>
      </c>
      <c r="K125" s="11">
        <f t="shared" si="8"/>
        <v>2.2799999999999999E-3</v>
      </c>
      <c r="O125" s="10" t="s">
        <v>318</v>
      </c>
    </row>
    <row r="126" spans="1:15" ht="51">
      <c r="A126" s="20" t="s">
        <v>175</v>
      </c>
      <c r="B126" s="9" t="str">
        <f t="shared" si="7"/>
        <v>Mortality rates from populations in TB compartment  LTBI, infected recently (at risk for rapid progression) and HIV compartment  HIV-negative and gender compartment Male per year</v>
      </c>
      <c r="C126" s="8" t="s">
        <v>158</v>
      </c>
      <c r="D126" s="8" t="s">
        <v>159</v>
      </c>
      <c r="E126" s="8">
        <v>3</v>
      </c>
      <c r="G126" s="9">
        <v>1</v>
      </c>
      <c r="H126" s="9">
        <v>1</v>
      </c>
      <c r="J126" s="9" t="str">
        <f t="shared" si="9"/>
        <v>mu_3,1,1</v>
      </c>
      <c r="K126" s="11">
        <f t="shared" ref="K126:K133" si="10">K110</f>
        <v>3.3E-3</v>
      </c>
      <c r="O126" s="10" t="s">
        <v>312</v>
      </c>
    </row>
    <row r="127" spans="1:15" ht="51">
      <c r="A127" s="20" t="s">
        <v>176</v>
      </c>
      <c r="B127" s="9" t="str">
        <f t="shared" si="7"/>
        <v>Mortality rates from populations in TB compartment  LTBI, infected recently (at risk for rapid progression) and HIV compartment  HIV-negative and gender compartment Female per year</v>
      </c>
      <c r="C127" s="8" t="s">
        <v>158</v>
      </c>
      <c r="D127" s="8" t="s">
        <v>159</v>
      </c>
      <c r="E127" s="8">
        <v>3</v>
      </c>
      <c r="G127" s="9">
        <v>1</v>
      </c>
      <c r="H127" s="9">
        <v>2</v>
      </c>
      <c r="J127" s="9" t="str">
        <f t="shared" si="9"/>
        <v>mu_3,1,2</v>
      </c>
      <c r="K127" s="11">
        <f t="shared" si="10"/>
        <v>1.9E-3</v>
      </c>
      <c r="O127" s="10" t="s">
        <v>312</v>
      </c>
    </row>
    <row r="128" spans="1:15" ht="51">
      <c r="A128" s="20" t="s">
        <v>177</v>
      </c>
      <c r="B128" s="9" t="str">
        <f t="shared" si="7"/>
        <v>Mortality rates from populations in TB compartment  LTBI, infected recently (at risk for rapid progression) and HIV compartment  PLHIV not on ART, CD4&gt;200 and gender compartment Male per year</v>
      </c>
      <c r="C128" s="8" t="s">
        <v>158</v>
      </c>
      <c r="D128" s="8" t="s">
        <v>159</v>
      </c>
      <c r="E128" s="8">
        <v>3</v>
      </c>
      <c r="G128" s="9">
        <v>2</v>
      </c>
      <c r="H128" s="9">
        <v>1</v>
      </c>
      <c r="J128" s="9" t="str">
        <f t="shared" si="9"/>
        <v>mu_3,2,1</v>
      </c>
      <c r="K128" s="11">
        <f t="shared" si="10"/>
        <v>1.6500000000000001E-2</v>
      </c>
      <c r="O128" s="10" t="s">
        <v>316</v>
      </c>
    </row>
    <row r="129" spans="1:15" ht="51">
      <c r="A129" s="20" t="s">
        <v>178</v>
      </c>
      <c r="B129" s="9" t="str">
        <f t="shared" si="7"/>
        <v>Mortality rates from populations in TB compartment  LTBI, infected recently (at risk for rapid progression) and HIV compartment  PLHIV not on ART, CD4&gt;200 and gender compartment Female per year</v>
      </c>
      <c r="C129" s="8" t="s">
        <v>158</v>
      </c>
      <c r="D129" s="8" t="s">
        <v>159</v>
      </c>
      <c r="E129" s="8">
        <v>3</v>
      </c>
      <c r="G129" s="9">
        <v>2</v>
      </c>
      <c r="H129" s="9">
        <v>2</v>
      </c>
      <c r="J129" s="9" t="str">
        <f t="shared" si="9"/>
        <v>mu_3,2,2</v>
      </c>
      <c r="K129" s="11">
        <f t="shared" si="10"/>
        <v>9.4999999999999998E-3</v>
      </c>
      <c r="O129" s="10" t="s">
        <v>316</v>
      </c>
    </row>
    <row r="130" spans="1:15" ht="51">
      <c r="A130" s="20" t="s">
        <v>179</v>
      </c>
      <c r="B130" s="9" t="str">
        <f t="shared" si="7"/>
        <v>Mortality rates from populations in TB compartment  LTBI, infected recently (at risk for rapid progression) and HIV compartment  PLHIV not on ART, CD4≤200 and gender compartment Male per year</v>
      </c>
      <c r="C130" s="8" t="s">
        <v>158</v>
      </c>
      <c r="D130" s="8" t="s">
        <v>159</v>
      </c>
      <c r="E130" s="8">
        <v>3</v>
      </c>
      <c r="G130" s="9">
        <v>3</v>
      </c>
      <c r="H130" s="9">
        <v>1</v>
      </c>
      <c r="J130" s="9" t="str">
        <f t="shared" si="9"/>
        <v>mu_3,3,1</v>
      </c>
      <c r="K130" s="11">
        <f t="shared" si="10"/>
        <v>3.3000000000000002E-2</v>
      </c>
      <c r="O130" s="10" t="s">
        <v>317</v>
      </c>
    </row>
    <row r="131" spans="1:15" ht="51">
      <c r="A131" s="20" t="s">
        <v>180</v>
      </c>
      <c r="B131" s="9" t="str">
        <f t="shared" si="7"/>
        <v>Mortality rates from populations in TB compartment  LTBI, infected recently (at risk for rapid progression) and HIV compartment  PLHIV not on ART, CD4≤200 and gender compartment Female per year</v>
      </c>
      <c r="C131" s="8" t="s">
        <v>158</v>
      </c>
      <c r="D131" s="8" t="s">
        <v>159</v>
      </c>
      <c r="E131" s="8">
        <v>3</v>
      </c>
      <c r="G131" s="9">
        <v>3</v>
      </c>
      <c r="H131" s="9">
        <v>2</v>
      </c>
      <c r="J131" s="9" t="str">
        <f t="shared" si="9"/>
        <v>mu_3,3,2</v>
      </c>
      <c r="K131" s="11">
        <f t="shared" si="10"/>
        <v>1.9E-2</v>
      </c>
      <c r="O131" s="10" t="s">
        <v>317</v>
      </c>
    </row>
    <row r="132" spans="1:15" ht="51">
      <c r="A132" s="20" t="s">
        <v>181</v>
      </c>
      <c r="B132" s="9" t="str">
        <f t="shared" si="7"/>
        <v>Mortality rates from populations in TB compartment  LTBI, infected recently (at risk for rapid progression) and HIV compartment  PLHIV and on ART and gender compartment Male per year</v>
      </c>
      <c r="C132" s="8" t="s">
        <v>158</v>
      </c>
      <c r="D132" s="8" t="s">
        <v>159</v>
      </c>
      <c r="E132" s="8">
        <v>3</v>
      </c>
      <c r="G132" s="9">
        <v>4</v>
      </c>
      <c r="H132" s="9">
        <v>1</v>
      </c>
      <c r="J132" s="9" t="str">
        <f t="shared" si="9"/>
        <v>mu_3,4,1</v>
      </c>
      <c r="K132" s="11">
        <f t="shared" si="10"/>
        <v>3.96E-3</v>
      </c>
      <c r="O132" s="10" t="s">
        <v>318</v>
      </c>
    </row>
    <row r="133" spans="1:15" ht="51">
      <c r="A133" s="20" t="s">
        <v>182</v>
      </c>
      <c r="B133" s="9" t="str">
        <f t="shared" si="7"/>
        <v>Mortality rates from populations in TB compartment  LTBI, infected recently (at risk for rapid progression) and HIV compartment  PLHIV and on ART and gender compartment Female per year</v>
      </c>
      <c r="C133" s="8" t="s">
        <v>158</v>
      </c>
      <c r="D133" s="8" t="s">
        <v>159</v>
      </c>
      <c r="E133" s="8">
        <v>3</v>
      </c>
      <c r="G133" s="9">
        <v>4</v>
      </c>
      <c r="H133" s="9">
        <v>2</v>
      </c>
      <c r="J133" s="9" t="str">
        <f t="shared" si="9"/>
        <v>mu_3,4,2</v>
      </c>
      <c r="K133" s="11">
        <f t="shared" si="10"/>
        <v>2.2799999999999999E-3</v>
      </c>
      <c r="O133" s="10" t="s">
        <v>318</v>
      </c>
    </row>
    <row r="134" spans="1:15" ht="48">
      <c r="A134" s="20" t="s">
        <v>183</v>
      </c>
      <c r="B134" s="9" t="str">
        <f t="shared" si="7"/>
        <v>Mortality rates from populations in TB compartment  LTBI, infected remotely and HIV compartment  HIV-negative and gender compartment Male per year</v>
      </c>
      <c r="C134" s="8" t="s">
        <v>158</v>
      </c>
      <c r="D134" s="8" t="s">
        <v>159</v>
      </c>
      <c r="E134" s="8">
        <v>4</v>
      </c>
      <c r="G134" s="9">
        <v>1</v>
      </c>
      <c r="H134" s="9">
        <v>1</v>
      </c>
      <c r="J134" s="9" t="str">
        <f t="shared" si="9"/>
        <v>mu_4,1,1</v>
      </c>
      <c r="K134" s="11">
        <f t="shared" ref="K134:K141" si="11">K110</f>
        <v>3.3E-3</v>
      </c>
      <c r="O134" s="10" t="s">
        <v>312</v>
      </c>
    </row>
    <row r="135" spans="1:15" ht="48">
      <c r="A135" s="20" t="s">
        <v>184</v>
      </c>
      <c r="B135" s="9" t="str">
        <f t="shared" si="7"/>
        <v>Mortality rates from populations in TB compartment  LTBI, infected remotely and HIV compartment  HIV-negative and gender compartment Female per year</v>
      </c>
      <c r="C135" s="8" t="s">
        <v>158</v>
      </c>
      <c r="D135" s="8" t="s">
        <v>159</v>
      </c>
      <c r="E135" s="8">
        <v>4</v>
      </c>
      <c r="G135" s="9">
        <v>1</v>
      </c>
      <c r="H135" s="9">
        <v>2</v>
      </c>
      <c r="J135" s="9" t="str">
        <f t="shared" si="9"/>
        <v>mu_4,1,2</v>
      </c>
      <c r="K135" s="11">
        <f t="shared" si="11"/>
        <v>1.9E-3</v>
      </c>
      <c r="O135" s="10" t="s">
        <v>312</v>
      </c>
    </row>
    <row r="136" spans="1:15" ht="51">
      <c r="A136" s="20" t="s">
        <v>185</v>
      </c>
      <c r="B136" s="9" t="str">
        <f t="shared" si="7"/>
        <v>Mortality rates from populations in TB compartment  LTBI, infected remotely and HIV compartment  PLHIV not on ART, CD4&gt;200 and gender compartment Male per year</v>
      </c>
      <c r="C136" s="8" t="s">
        <v>158</v>
      </c>
      <c r="D136" s="8" t="s">
        <v>159</v>
      </c>
      <c r="E136" s="8">
        <v>4</v>
      </c>
      <c r="G136" s="9">
        <v>2</v>
      </c>
      <c r="H136" s="9">
        <v>1</v>
      </c>
      <c r="J136" s="9" t="str">
        <f t="shared" si="9"/>
        <v>mu_4,2,1</v>
      </c>
      <c r="K136" s="11">
        <f t="shared" si="11"/>
        <v>1.6500000000000001E-2</v>
      </c>
      <c r="O136" s="10" t="s">
        <v>316</v>
      </c>
    </row>
    <row r="137" spans="1:15" ht="51">
      <c r="A137" s="20" t="s">
        <v>186</v>
      </c>
      <c r="B137" s="9" t="str">
        <f t="shared" si="7"/>
        <v>Mortality rates from populations in TB compartment  LTBI, infected remotely and HIV compartment  PLHIV not on ART, CD4&gt;200 and gender compartment Female per year</v>
      </c>
      <c r="C137" s="8" t="s">
        <v>158</v>
      </c>
      <c r="D137" s="8" t="s">
        <v>159</v>
      </c>
      <c r="E137" s="8">
        <v>4</v>
      </c>
      <c r="G137" s="9">
        <v>2</v>
      </c>
      <c r="H137" s="9">
        <v>2</v>
      </c>
      <c r="J137" s="9" t="str">
        <f t="shared" si="9"/>
        <v>mu_4,2,2</v>
      </c>
      <c r="K137" s="11">
        <f t="shared" si="11"/>
        <v>9.4999999999999998E-3</v>
      </c>
      <c r="O137" s="10" t="s">
        <v>316</v>
      </c>
    </row>
    <row r="138" spans="1:15" ht="51">
      <c r="A138" s="20" t="s">
        <v>187</v>
      </c>
      <c r="B138" s="9" t="str">
        <f t="shared" si="7"/>
        <v>Mortality rates from populations in TB compartment  LTBI, infected remotely and HIV compartment  PLHIV not on ART, CD4≤200 and gender compartment Male per year</v>
      </c>
      <c r="C138" s="8" t="s">
        <v>158</v>
      </c>
      <c r="D138" s="8" t="s">
        <v>159</v>
      </c>
      <c r="E138" s="8">
        <v>4</v>
      </c>
      <c r="G138" s="9">
        <v>3</v>
      </c>
      <c r="H138" s="9">
        <v>1</v>
      </c>
      <c r="J138" s="9" t="str">
        <f t="shared" si="9"/>
        <v>mu_4,3,1</v>
      </c>
      <c r="K138" s="11">
        <f t="shared" si="11"/>
        <v>3.3000000000000002E-2</v>
      </c>
      <c r="O138" s="10" t="s">
        <v>317</v>
      </c>
    </row>
    <row r="139" spans="1:15" ht="51">
      <c r="A139" s="20" t="s">
        <v>188</v>
      </c>
      <c r="B139" s="9" t="str">
        <f t="shared" si="7"/>
        <v>Mortality rates from populations in TB compartment  LTBI, infected remotely and HIV compartment  PLHIV not on ART, CD4≤200 and gender compartment Female per year</v>
      </c>
      <c r="C139" s="8" t="s">
        <v>158</v>
      </c>
      <c r="D139" s="8" t="s">
        <v>159</v>
      </c>
      <c r="E139" s="8">
        <v>4</v>
      </c>
      <c r="G139" s="9">
        <v>3</v>
      </c>
      <c r="H139" s="9">
        <v>2</v>
      </c>
      <c r="J139" s="9" t="str">
        <f t="shared" si="9"/>
        <v>mu_4,3,2</v>
      </c>
      <c r="K139" s="11">
        <f t="shared" si="11"/>
        <v>1.9E-2</v>
      </c>
      <c r="O139" s="10" t="s">
        <v>317</v>
      </c>
    </row>
    <row r="140" spans="1:15" ht="51">
      <c r="A140" s="20" t="s">
        <v>189</v>
      </c>
      <c r="B140" s="9" t="str">
        <f t="shared" si="7"/>
        <v>Mortality rates from populations in TB compartment  LTBI, infected remotely and HIV compartment  PLHIV and on ART and gender compartment Male per year</v>
      </c>
      <c r="C140" s="8" t="s">
        <v>158</v>
      </c>
      <c r="D140" s="8" t="s">
        <v>159</v>
      </c>
      <c r="E140" s="8">
        <v>4</v>
      </c>
      <c r="G140" s="9">
        <v>4</v>
      </c>
      <c r="H140" s="9">
        <v>1</v>
      </c>
      <c r="J140" s="9" t="str">
        <f t="shared" si="9"/>
        <v>mu_4,4,1</v>
      </c>
      <c r="K140" s="11">
        <f t="shared" si="11"/>
        <v>3.96E-3</v>
      </c>
      <c r="O140" s="10" t="s">
        <v>318</v>
      </c>
    </row>
    <row r="141" spans="1:15" ht="51">
      <c r="A141" s="20" t="s">
        <v>190</v>
      </c>
      <c r="B141" s="9" t="str">
        <f t="shared" si="7"/>
        <v>Mortality rates from populations in TB compartment  LTBI, infected remotely and HIV compartment  PLHIV and on ART and gender compartment Female per year</v>
      </c>
      <c r="C141" s="8" t="s">
        <v>158</v>
      </c>
      <c r="D141" s="8" t="s">
        <v>159</v>
      </c>
      <c r="E141" s="8">
        <v>4</v>
      </c>
      <c r="G141" s="9">
        <v>4</v>
      </c>
      <c r="H141" s="9">
        <v>2</v>
      </c>
      <c r="J141" s="9" t="str">
        <f t="shared" si="9"/>
        <v>mu_4,4,2</v>
      </c>
      <c r="K141" s="11">
        <f t="shared" si="11"/>
        <v>2.2799999999999999E-3</v>
      </c>
      <c r="O141" s="10" t="s">
        <v>318</v>
      </c>
    </row>
    <row r="142" spans="1:15" ht="48">
      <c r="A142" s="20" t="s">
        <v>191</v>
      </c>
      <c r="B142" s="9" t="str">
        <f t="shared" ref="B142:B173" si="12">CONCATENATE("Mortality rates from populations in TB compartment ",VLOOKUP(E142,TB_SET,2)," and HIV compartment ",VLOOKUP(G142,HIV_SET,2)," and gender compartment ",VLOOKUP(H142,G_SET,2)," per year")</f>
        <v>Mortality rates from populations in TB compartment  LTBI, on IPT and HIV compartment  HIV-negative and gender compartment Male per year</v>
      </c>
      <c r="C142" s="8" t="s">
        <v>158</v>
      </c>
      <c r="D142" s="8" t="s">
        <v>159</v>
      </c>
      <c r="E142" s="8">
        <v>5</v>
      </c>
      <c r="G142" s="9">
        <v>1</v>
      </c>
      <c r="H142" s="9">
        <v>1</v>
      </c>
      <c r="J142" s="9" t="str">
        <f t="shared" si="9"/>
        <v>mu_5,1,1</v>
      </c>
      <c r="K142" s="11">
        <f t="shared" ref="K142:K149" si="13">K110</f>
        <v>3.3E-3</v>
      </c>
      <c r="O142" s="10" t="s">
        <v>312</v>
      </c>
    </row>
    <row r="143" spans="1:15" ht="48">
      <c r="A143" s="20" t="s">
        <v>192</v>
      </c>
      <c r="B143" s="9" t="str">
        <f t="shared" si="12"/>
        <v>Mortality rates from populations in TB compartment  LTBI, on IPT and HIV compartment  HIV-negative and gender compartment Female per year</v>
      </c>
      <c r="C143" s="8" t="s">
        <v>158</v>
      </c>
      <c r="D143" s="8" t="s">
        <v>159</v>
      </c>
      <c r="E143" s="8">
        <v>5</v>
      </c>
      <c r="G143" s="9">
        <v>1</v>
      </c>
      <c r="H143" s="9">
        <v>2</v>
      </c>
      <c r="J143" s="9" t="str">
        <f t="shared" si="9"/>
        <v>mu_5,1,2</v>
      </c>
      <c r="K143" s="11">
        <f t="shared" si="13"/>
        <v>1.9E-3</v>
      </c>
      <c r="O143" s="10" t="s">
        <v>312</v>
      </c>
    </row>
    <row r="144" spans="1:15" ht="51">
      <c r="A144" s="20" t="s">
        <v>193</v>
      </c>
      <c r="B144" s="9" t="str">
        <f t="shared" si="12"/>
        <v>Mortality rates from populations in TB compartment  LTBI, on IPT and HIV compartment  PLHIV not on ART, CD4&gt;200 and gender compartment Male per year</v>
      </c>
      <c r="C144" s="8" t="s">
        <v>158</v>
      </c>
      <c r="D144" s="8" t="s">
        <v>159</v>
      </c>
      <c r="E144" s="8">
        <v>5</v>
      </c>
      <c r="G144" s="9">
        <v>2</v>
      </c>
      <c r="H144" s="9">
        <v>1</v>
      </c>
      <c r="J144" s="9" t="str">
        <f t="shared" si="9"/>
        <v>mu_5,2,1</v>
      </c>
      <c r="K144" s="11">
        <f t="shared" si="13"/>
        <v>1.6500000000000001E-2</v>
      </c>
      <c r="O144" s="10" t="s">
        <v>316</v>
      </c>
    </row>
    <row r="145" spans="1:15" ht="51">
      <c r="A145" s="20" t="s">
        <v>194</v>
      </c>
      <c r="B145" s="9" t="str">
        <f t="shared" si="12"/>
        <v>Mortality rates from populations in TB compartment  LTBI, on IPT and HIV compartment  PLHIV not on ART, CD4&gt;200 and gender compartment Female per year</v>
      </c>
      <c r="C145" s="8" t="s">
        <v>158</v>
      </c>
      <c r="D145" s="8" t="s">
        <v>159</v>
      </c>
      <c r="E145" s="8">
        <v>5</v>
      </c>
      <c r="G145" s="9">
        <v>2</v>
      </c>
      <c r="H145" s="9">
        <v>2</v>
      </c>
      <c r="J145" s="9" t="str">
        <f t="shared" si="9"/>
        <v>mu_5,2,2</v>
      </c>
      <c r="K145" s="11">
        <f t="shared" si="13"/>
        <v>9.4999999999999998E-3</v>
      </c>
      <c r="O145" s="10" t="s">
        <v>316</v>
      </c>
    </row>
    <row r="146" spans="1:15" ht="51">
      <c r="A146" s="20" t="s">
        <v>195</v>
      </c>
      <c r="B146" s="9" t="str">
        <f t="shared" si="12"/>
        <v>Mortality rates from populations in TB compartment  LTBI, on IPT and HIV compartment  PLHIV not on ART, CD4≤200 and gender compartment Male per year</v>
      </c>
      <c r="C146" s="8" t="s">
        <v>158</v>
      </c>
      <c r="D146" s="8" t="s">
        <v>159</v>
      </c>
      <c r="E146" s="8">
        <v>5</v>
      </c>
      <c r="G146" s="9">
        <v>3</v>
      </c>
      <c r="H146" s="9">
        <v>1</v>
      </c>
      <c r="J146" s="9" t="str">
        <f t="shared" si="9"/>
        <v>mu_5,3,1</v>
      </c>
      <c r="K146" s="11">
        <f t="shared" si="13"/>
        <v>3.3000000000000002E-2</v>
      </c>
      <c r="O146" s="10" t="s">
        <v>317</v>
      </c>
    </row>
    <row r="147" spans="1:15" ht="51">
      <c r="A147" s="20" t="s">
        <v>196</v>
      </c>
      <c r="B147" s="9" t="str">
        <f t="shared" si="12"/>
        <v>Mortality rates from populations in TB compartment  LTBI, on IPT and HIV compartment  PLHIV not on ART, CD4≤200 and gender compartment Female per year</v>
      </c>
      <c r="C147" s="8" t="s">
        <v>158</v>
      </c>
      <c r="D147" s="8" t="s">
        <v>159</v>
      </c>
      <c r="E147" s="8">
        <v>5</v>
      </c>
      <c r="G147" s="9">
        <v>3</v>
      </c>
      <c r="H147" s="9">
        <v>2</v>
      </c>
      <c r="J147" s="9" t="str">
        <f t="shared" si="9"/>
        <v>mu_5,3,2</v>
      </c>
      <c r="K147" s="11">
        <f t="shared" si="13"/>
        <v>1.9E-2</v>
      </c>
      <c r="O147" s="10" t="s">
        <v>317</v>
      </c>
    </row>
    <row r="148" spans="1:15" ht="48">
      <c r="A148" s="20" t="s">
        <v>197</v>
      </c>
      <c r="B148" s="9" t="str">
        <f t="shared" si="12"/>
        <v>Mortality rates from populations in TB compartment  LTBI, on IPT and HIV compartment  PLHIV and on ART and gender compartment Male per year</v>
      </c>
      <c r="C148" s="8" t="s">
        <v>158</v>
      </c>
      <c r="D148" s="8" t="s">
        <v>159</v>
      </c>
      <c r="E148" s="8">
        <v>5</v>
      </c>
      <c r="G148" s="9">
        <v>4</v>
      </c>
      <c r="H148" s="9">
        <v>1</v>
      </c>
      <c r="J148" s="9" t="str">
        <f t="shared" si="9"/>
        <v>mu_5,4,1</v>
      </c>
      <c r="K148" s="11">
        <f t="shared" si="13"/>
        <v>3.96E-3</v>
      </c>
      <c r="O148" s="10" t="s">
        <v>318</v>
      </c>
    </row>
    <row r="149" spans="1:15" ht="48">
      <c r="A149" s="20" t="s">
        <v>198</v>
      </c>
      <c r="B149" s="9" t="str">
        <f t="shared" si="12"/>
        <v>Mortality rates from populations in TB compartment  LTBI, on IPT and HIV compartment  PLHIV and on ART and gender compartment Female per year</v>
      </c>
      <c r="C149" s="8" t="s">
        <v>158</v>
      </c>
      <c r="D149" s="8" t="s">
        <v>159</v>
      </c>
      <c r="E149" s="8">
        <v>5</v>
      </c>
      <c r="G149" s="9">
        <v>4</v>
      </c>
      <c r="H149" s="9">
        <v>2</v>
      </c>
      <c r="J149" s="9" t="str">
        <f t="shared" si="9"/>
        <v>mu_5,4,2</v>
      </c>
      <c r="K149" s="11">
        <f t="shared" si="13"/>
        <v>2.2799999999999999E-3</v>
      </c>
      <c r="O149" s="10" t="s">
        <v>318</v>
      </c>
    </row>
    <row r="150" spans="1:15" ht="48">
      <c r="A150" s="20" t="s">
        <v>199</v>
      </c>
      <c r="B150" s="9" t="str">
        <f t="shared" si="12"/>
        <v>Mortality rates from populations in TB compartment  Active and HIV compartment  HIV-negative and gender compartment Male per year</v>
      </c>
      <c r="C150" s="8" t="s">
        <v>158</v>
      </c>
      <c r="D150" s="8" t="s">
        <v>159</v>
      </c>
      <c r="E150" s="8">
        <v>6</v>
      </c>
      <c r="G150" s="9">
        <v>1</v>
      </c>
      <c r="H150" s="9">
        <v>1</v>
      </c>
      <c r="J150" s="9" t="str">
        <f t="shared" si="9"/>
        <v>mu_6,1,1</v>
      </c>
      <c r="K150" s="11">
        <f>K110*20</f>
        <v>6.6000000000000003E-2</v>
      </c>
      <c r="O150" s="10" t="s">
        <v>321</v>
      </c>
    </row>
    <row r="151" spans="1:15" ht="48">
      <c r="A151" s="20" t="s">
        <v>200</v>
      </c>
      <c r="B151" s="9" t="str">
        <f t="shared" si="12"/>
        <v>Mortality rates from populations in TB compartment  Active and HIV compartment  HIV-negative and gender compartment Female per year</v>
      </c>
      <c r="C151" s="8" t="s">
        <v>158</v>
      </c>
      <c r="D151" s="8" t="s">
        <v>159</v>
      </c>
      <c r="E151" s="8">
        <v>6</v>
      </c>
      <c r="G151" s="9">
        <v>1</v>
      </c>
      <c r="H151" s="9">
        <v>2</v>
      </c>
      <c r="J151" s="9" t="str">
        <f t="shared" si="9"/>
        <v>mu_6,1,2</v>
      </c>
      <c r="K151" s="11">
        <f>K111*20</f>
        <v>3.7999999999999999E-2</v>
      </c>
      <c r="O151" s="10" t="s">
        <v>321</v>
      </c>
    </row>
    <row r="152" spans="1:15" ht="51">
      <c r="A152" s="20" t="s">
        <v>201</v>
      </c>
      <c r="B152" s="9" t="str">
        <f t="shared" si="12"/>
        <v>Mortality rates from populations in TB compartment  Active and HIV compartment  PLHIV not on ART, CD4&gt;200 and gender compartment Male per year</v>
      </c>
      <c r="C152" s="8" t="s">
        <v>158</v>
      </c>
      <c r="D152" s="8" t="s">
        <v>159</v>
      </c>
      <c r="E152" s="8">
        <v>6</v>
      </c>
      <c r="G152" s="9">
        <v>2</v>
      </c>
      <c r="H152" s="9">
        <v>1</v>
      </c>
      <c r="J152" s="9" t="str">
        <f t="shared" si="9"/>
        <v>mu_6,2,1</v>
      </c>
      <c r="K152" s="11">
        <f>K110*50</f>
        <v>0.16500000000000001</v>
      </c>
      <c r="O152" s="10" t="s">
        <v>322</v>
      </c>
    </row>
    <row r="153" spans="1:15" ht="51">
      <c r="A153" s="20" t="s">
        <v>202</v>
      </c>
      <c r="B153" s="9" t="str">
        <f t="shared" si="12"/>
        <v>Mortality rates from populations in TB compartment  Active and HIV compartment  PLHIV not on ART, CD4&gt;200 and gender compartment Female per year</v>
      </c>
      <c r="C153" s="8" t="s">
        <v>158</v>
      </c>
      <c r="D153" s="8" t="s">
        <v>159</v>
      </c>
      <c r="E153" s="8">
        <v>6</v>
      </c>
      <c r="G153" s="9">
        <v>2</v>
      </c>
      <c r="H153" s="9">
        <v>2</v>
      </c>
      <c r="J153" s="9" t="str">
        <f t="shared" si="9"/>
        <v>mu_6,2,2</v>
      </c>
      <c r="K153" s="11">
        <f>K111*50</f>
        <v>9.5000000000000001E-2</v>
      </c>
      <c r="O153" s="10" t="s">
        <v>322</v>
      </c>
    </row>
    <row r="154" spans="1:15" ht="51">
      <c r="A154" s="20" t="s">
        <v>203</v>
      </c>
      <c r="B154" s="9" t="str">
        <f t="shared" si="12"/>
        <v>Mortality rates from populations in TB compartment  Active and HIV compartment  PLHIV not on ART, CD4≤200 and gender compartment Male per year</v>
      </c>
      <c r="C154" s="8" t="s">
        <v>158</v>
      </c>
      <c r="D154" s="8" t="s">
        <v>159</v>
      </c>
      <c r="E154" s="8">
        <v>6</v>
      </c>
      <c r="G154" s="9">
        <v>3</v>
      </c>
      <c r="H154" s="9">
        <v>1</v>
      </c>
      <c r="J154" s="9" t="str">
        <f t="shared" si="9"/>
        <v>mu_6,3,1</v>
      </c>
      <c r="K154" s="11">
        <f>K110*100</f>
        <v>0.33</v>
      </c>
      <c r="O154" s="10" t="s">
        <v>322</v>
      </c>
    </row>
    <row r="155" spans="1:15" ht="51">
      <c r="A155" s="20" t="s">
        <v>204</v>
      </c>
      <c r="B155" s="9" t="str">
        <f t="shared" si="12"/>
        <v>Mortality rates from populations in TB compartment  Active and HIV compartment  PLHIV not on ART, CD4≤200 and gender compartment Female per year</v>
      </c>
      <c r="C155" s="8" t="s">
        <v>158</v>
      </c>
      <c r="D155" s="8" t="s">
        <v>159</v>
      </c>
      <c r="E155" s="8">
        <v>6</v>
      </c>
      <c r="G155" s="9">
        <v>3</v>
      </c>
      <c r="H155" s="9">
        <v>2</v>
      </c>
      <c r="J155" s="9" t="str">
        <f t="shared" si="9"/>
        <v>mu_6,3,2</v>
      </c>
      <c r="K155" s="11">
        <f>K111*100</f>
        <v>0.19</v>
      </c>
      <c r="O155" s="10" t="s">
        <v>322</v>
      </c>
    </row>
    <row r="156" spans="1:15" ht="48">
      <c r="A156" s="20" t="s">
        <v>205</v>
      </c>
      <c r="B156" s="9" t="str">
        <f t="shared" si="12"/>
        <v>Mortality rates from populations in TB compartment  Active and HIV compartment  PLHIV and on ART and gender compartment Male per year</v>
      </c>
      <c r="C156" s="8" t="s">
        <v>158</v>
      </c>
      <c r="D156" s="8" t="s">
        <v>159</v>
      </c>
      <c r="E156" s="8">
        <v>6</v>
      </c>
      <c r="G156" s="9">
        <v>4</v>
      </c>
      <c r="H156" s="9">
        <v>1</v>
      </c>
      <c r="J156" s="9" t="str">
        <f t="shared" si="9"/>
        <v>mu_6,4,1</v>
      </c>
      <c r="K156" s="11">
        <f>K110*30</f>
        <v>9.9000000000000005E-2</v>
      </c>
      <c r="O156" s="10" t="s">
        <v>322</v>
      </c>
    </row>
    <row r="157" spans="1:15" ht="48">
      <c r="A157" s="20" t="s">
        <v>206</v>
      </c>
      <c r="B157" s="9" t="str">
        <f t="shared" si="12"/>
        <v>Mortality rates from populations in TB compartment  Active and HIV compartment  PLHIV and on ART and gender compartment Female per year</v>
      </c>
      <c r="C157" s="8" t="s">
        <v>158</v>
      </c>
      <c r="D157" s="8" t="s">
        <v>159</v>
      </c>
      <c r="E157" s="8">
        <v>6</v>
      </c>
      <c r="G157" s="9">
        <v>4</v>
      </c>
      <c r="H157" s="9">
        <v>2</v>
      </c>
      <c r="J157" s="9" t="str">
        <f t="shared" ref="J157:J188" si="14">CONCATENATE(C157, "_", E157, IF(E157&lt;&gt;"",",",""), F157, IF(F157&lt;&gt;"",",",""),  G157, IF(G157&lt;&gt;"",",",""),  H157, IF(I157&lt;&gt;"","(",""), I157, IF(I157&lt;&gt;"",")",""))</f>
        <v>mu_6,4,2</v>
      </c>
      <c r="K157" s="11">
        <f>K111*30</f>
        <v>5.7000000000000002E-2</v>
      </c>
      <c r="O157" s="10" t="s">
        <v>322</v>
      </c>
    </row>
    <row r="158" spans="1:15" ht="48">
      <c r="A158" s="20" t="s">
        <v>207</v>
      </c>
      <c r="B158" s="9" t="str">
        <f t="shared" si="12"/>
        <v>Mortality rates from populations in TB compartment  Recovered/Treated and HIV compartment  HIV-negative and gender compartment Male per year</v>
      </c>
      <c r="C158" s="8" t="s">
        <v>158</v>
      </c>
      <c r="D158" s="8" t="s">
        <v>159</v>
      </c>
      <c r="E158" s="8">
        <v>7</v>
      </c>
      <c r="G158" s="9">
        <v>1</v>
      </c>
      <c r="H158" s="9">
        <v>1</v>
      </c>
      <c r="J158" s="9" t="str">
        <f t="shared" si="14"/>
        <v>mu_7,1,1</v>
      </c>
      <c r="K158" s="11">
        <f t="shared" ref="K158:K165" si="15">K110</f>
        <v>3.3E-3</v>
      </c>
      <c r="O158" s="10" t="s">
        <v>312</v>
      </c>
    </row>
    <row r="159" spans="1:15" ht="48">
      <c r="A159" s="20" t="s">
        <v>208</v>
      </c>
      <c r="B159" s="9" t="str">
        <f t="shared" si="12"/>
        <v>Mortality rates from populations in TB compartment  Recovered/Treated and HIV compartment  HIV-negative and gender compartment Female per year</v>
      </c>
      <c r="C159" s="8" t="s">
        <v>158</v>
      </c>
      <c r="D159" s="8" t="s">
        <v>159</v>
      </c>
      <c r="E159" s="8">
        <v>7</v>
      </c>
      <c r="G159" s="9">
        <v>1</v>
      </c>
      <c r="H159" s="9">
        <v>2</v>
      </c>
      <c r="J159" s="9" t="str">
        <f t="shared" si="14"/>
        <v>mu_7,1,2</v>
      </c>
      <c r="K159" s="11">
        <f t="shared" si="15"/>
        <v>1.9E-3</v>
      </c>
      <c r="O159" s="10" t="s">
        <v>312</v>
      </c>
    </row>
    <row r="160" spans="1:15" ht="51">
      <c r="A160" s="20" t="s">
        <v>209</v>
      </c>
      <c r="B160" s="9" t="str">
        <f t="shared" si="12"/>
        <v>Mortality rates from populations in TB compartment  Recovered/Treated and HIV compartment  PLHIV not on ART, CD4&gt;200 and gender compartment Male per year</v>
      </c>
      <c r="C160" s="8" t="s">
        <v>158</v>
      </c>
      <c r="D160" s="8" t="s">
        <v>159</v>
      </c>
      <c r="E160" s="8">
        <v>7</v>
      </c>
      <c r="G160" s="9">
        <v>2</v>
      </c>
      <c r="H160" s="9">
        <v>1</v>
      </c>
      <c r="J160" s="9" t="str">
        <f t="shared" si="14"/>
        <v>mu_7,2,1</v>
      </c>
      <c r="K160" s="11">
        <f t="shared" si="15"/>
        <v>1.6500000000000001E-2</v>
      </c>
      <c r="O160" s="10" t="s">
        <v>316</v>
      </c>
    </row>
    <row r="161" spans="1:15" ht="51">
      <c r="A161" s="20" t="s">
        <v>210</v>
      </c>
      <c r="B161" s="9" t="str">
        <f t="shared" si="12"/>
        <v>Mortality rates from populations in TB compartment  Recovered/Treated and HIV compartment  PLHIV not on ART, CD4&gt;200 and gender compartment Female per year</v>
      </c>
      <c r="C161" s="8" t="s">
        <v>158</v>
      </c>
      <c r="D161" s="8" t="s">
        <v>159</v>
      </c>
      <c r="E161" s="8">
        <v>7</v>
      </c>
      <c r="G161" s="9">
        <v>2</v>
      </c>
      <c r="H161" s="9">
        <v>2</v>
      </c>
      <c r="J161" s="9" t="str">
        <f t="shared" si="14"/>
        <v>mu_7,2,2</v>
      </c>
      <c r="K161" s="11">
        <f t="shared" si="15"/>
        <v>9.4999999999999998E-3</v>
      </c>
      <c r="O161" s="10" t="s">
        <v>316</v>
      </c>
    </row>
    <row r="162" spans="1:15" ht="51">
      <c r="A162" s="20" t="s">
        <v>211</v>
      </c>
      <c r="B162" s="9" t="str">
        <f t="shared" si="12"/>
        <v>Mortality rates from populations in TB compartment  Recovered/Treated and HIV compartment  PLHIV not on ART, CD4≤200 and gender compartment Male per year</v>
      </c>
      <c r="C162" s="8" t="s">
        <v>158</v>
      </c>
      <c r="D162" s="8" t="s">
        <v>159</v>
      </c>
      <c r="E162" s="8">
        <v>7</v>
      </c>
      <c r="G162" s="9">
        <v>3</v>
      </c>
      <c r="H162" s="9">
        <v>1</v>
      </c>
      <c r="J162" s="9" t="str">
        <f t="shared" si="14"/>
        <v>mu_7,3,1</v>
      </c>
      <c r="K162" s="11">
        <f t="shared" si="15"/>
        <v>3.3000000000000002E-2</v>
      </c>
      <c r="O162" s="10" t="s">
        <v>317</v>
      </c>
    </row>
    <row r="163" spans="1:15" ht="51">
      <c r="A163" s="20" t="s">
        <v>212</v>
      </c>
      <c r="B163" s="9" t="str">
        <f t="shared" si="12"/>
        <v>Mortality rates from populations in TB compartment  Recovered/Treated and HIV compartment  PLHIV not on ART, CD4≤200 and gender compartment Female per year</v>
      </c>
      <c r="C163" s="8" t="s">
        <v>158</v>
      </c>
      <c r="D163" s="8" t="s">
        <v>159</v>
      </c>
      <c r="E163" s="8">
        <v>7</v>
      </c>
      <c r="G163" s="9">
        <v>3</v>
      </c>
      <c r="H163" s="9">
        <v>2</v>
      </c>
      <c r="J163" s="9" t="str">
        <f t="shared" si="14"/>
        <v>mu_7,3,2</v>
      </c>
      <c r="K163" s="11">
        <f t="shared" si="15"/>
        <v>1.9E-2</v>
      </c>
      <c r="O163" s="10" t="s">
        <v>317</v>
      </c>
    </row>
    <row r="164" spans="1:15" ht="48">
      <c r="A164" s="20" t="s">
        <v>213</v>
      </c>
      <c r="B164" s="9" t="str">
        <f t="shared" si="12"/>
        <v>Mortality rates from populations in TB compartment  Recovered/Treated and HIV compartment  PLHIV and on ART and gender compartment Male per year</v>
      </c>
      <c r="C164" s="8" t="s">
        <v>158</v>
      </c>
      <c r="D164" s="8" t="s">
        <v>159</v>
      </c>
      <c r="E164" s="8">
        <v>7</v>
      </c>
      <c r="G164" s="9">
        <v>4</v>
      </c>
      <c r="H164" s="9">
        <v>1</v>
      </c>
      <c r="J164" s="9" t="str">
        <f t="shared" si="14"/>
        <v>mu_7,4,1</v>
      </c>
      <c r="K164" s="11">
        <f t="shared" si="15"/>
        <v>3.96E-3</v>
      </c>
      <c r="O164" s="10" t="s">
        <v>318</v>
      </c>
    </row>
    <row r="165" spans="1:15" ht="48">
      <c r="A165" s="20" t="s">
        <v>214</v>
      </c>
      <c r="B165" s="9" t="str">
        <f t="shared" si="12"/>
        <v>Mortality rates from populations in TB compartment  Recovered/Treated and HIV compartment  PLHIV and on ART and gender compartment Female per year</v>
      </c>
      <c r="C165" s="8" t="s">
        <v>158</v>
      </c>
      <c r="D165" s="8" t="s">
        <v>159</v>
      </c>
      <c r="E165" s="8">
        <v>7</v>
      </c>
      <c r="G165" s="9">
        <v>4</v>
      </c>
      <c r="H165" s="9">
        <v>2</v>
      </c>
      <c r="J165" s="9" t="str">
        <f t="shared" si="14"/>
        <v>mu_7,4,2</v>
      </c>
      <c r="K165" s="11">
        <f t="shared" si="15"/>
        <v>2.2799999999999999E-3</v>
      </c>
      <c r="O165" s="10" t="s">
        <v>318</v>
      </c>
    </row>
    <row r="166" spans="1:15" ht="48">
      <c r="A166" s="20" t="s">
        <v>215</v>
      </c>
      <c r="B166" s="9" t="str">
        <f t="shared" si="12"/>
        <v>Mortality rates from populations in TB compartment  LTBI, after IPT and HIV compartment  HIV-negative and gender compartment Male per year</v>
      </c>
      <c r="C166" s="8" t="s">
        <v>158</v>
      </c>
      <c r="D166" s="8" t="s">
        <v>159</v>
      </c>
      <c r="E166" s="8">
        <v>8</v>
      </c>
      <c r="G166" s="9">
        <v>1</v>
      </c>
      <c r="H166" s="9">
        <v>1</v>
      </c>
      <c r="J166" s="9" t="str">
        <f t="shared" si="14"/>
        <v>mu_8,1,1</v>
      </c>
      <c r="K166" s="11">
        <f t="shared" ref="K166:K173" si="16">K110</f>
        <v>3.3E-3</v>
      </c>
      <c r="O166" s="10" t="s">
        <v>312</v>
      </c>
    </row>
    <row r="167" spans="1:15" ht="48">
      <c r="A167" s="20" t="s">
        <v>216</v>
      </c>
      <c r="B167" s="9" t="str">
        <f t="shared" si="12"/>
        <v>Mortality rates from populations in TB compartment  LTBI, after IPT and HIV compartment  HIV-negative and gender compartment Female per year</v>
      </c>
      <c r="C167" s="8" t="s">
        <v>158</v>
      </c>
      <c r="D167" s="8" t="s">
        <v>159</v>
      </c>
      <c r="E167" s="8">
        <v>8</v>
      </c>
      <c r="G167" s="9">
        <v>1</v>
      </c>
      <c r="H167" s="9">
        <v>2</v>
      </c>
      <c r="J167" s="9" t="str">
        <f t="shared" si="14"/>
        <v>mu_8,1,2</v>
      </c>
      <c r="K167" s="11">
        <f t="shared" si="16"/>
        <v>1.9E-3</v>
      </c>
      <c r="O167" s="10" t="s">
        <v>312</v>
      </c>
    </row>
    <row r="168" spans="1:15" ht="51">
      <c r="A168" s="20" t="s">
        <v>217</v>
      </c>
      <c r="B168" s="9" t="str">
        <f t="shared" si="12"/>
        <v>Mortality rates from populations in TB compartment  LTBI, after IPT and HIV compartment  PLHIV not on ART, CD4&gt;200 and gender compartment Male per year</v>
      </c>
      <c r="C168" s="8" t="s">
        <v>158</v>
      </c>
      <c r="D168" s="8" t="s">
        <v>159</v>
      </c>
      <c r="E168" s="8">
        <v>8</v>
      </c>
      <c r="G168" s="9">
        <v>2</v>
      </c>
      <c r="H168" s="9">
        <v>1</v>
      </c>
      <c r="J168" s="9" t="str">
        <f t="shared" si="14"/>
        <v>mu_8,2,1</v>
      </c>
      <c r="K168" s="11">
        <f t="shared" si="16"/>
        <v>1.6500000000000001E-2</v>
      </c>
      <c r="O168" s="10" t="s">
        <v>316</v>
      </c>
    </row>
    <row r="169" spans="1:15" ht="51">
      <c r="A169" s="20" t="s">
        <v>218</v>
      </c>
      <c r="B169" s="9" t="str">
        <f t="shared" si="12"/>
        <v>Mortality rates from populations in TB compartment  LTBI, after IPT and HIV compartment  PLHIV not on ART, CD4&gt;200 and gender compartment Female per year</v>
      </c>
      <c r="C169" s="8" t="s">
        <v>158</v>
      </c>
      <c r="D169" s="8" t="s">
        <v>159</v>
      </c>
      <c r="E169" s="8">
        <v>8</v>
      </c>
      <c r="G169" s="9">
        <v>2</v>
      </c>
      <c r="H169" s="9">
        <v>2</v>
      </c>
      <c r="J169" s="9" t="str">
        <f t="shared" si="14"/>
        <v>mu_8,2,2</v>
      </c>
      <c r="K169" s="11">
        <f t="shared" si="16"/>
        <v>9.4999999999999998E-3</v>
      </c>
      <c r="O169" s="10" t="s">
        <v>316</v>
      </c>
    </row>
    <row r="170" spans="1:15" ht="51">
      <c r="A170" s="20" t="s">
        <v>219</v>
      </c>
      <c r="B170" s="9" t="str">
        <f t="shared" si="12"/>
        <v>Mortality rates from populations in TB compartment  LTBI, after IPT and HIV compartment  PLHIV not on ART, CD4≤200 and gender compartment Male per year</v>
      </c>
      <c r="C170" s="8" t="s">
        <v>158</v>
      </c>
      <c r="D170" s="8" t="s">
        <v>159</v>
      </c>
      <c r="E170" s="8">
        <v>8</v>
      </c>
      <c r="G170" s="9">
        <v>3</v>
      </c>
      <c r="H170" s="9">
        <v>1</v>
      </c>
      <c r="J170" s="9" t="str">
        <f t="shared" si="14"/>
        <v>mu_8,3,1</v>
      </c>
      <c r="K170" s="11">
        <f t="shared" si="16"/>
        <v>3.3000000000000002E-2</v>
      </c>
      <c r="O170" s="10" t="s">
        <v>317</v>
      </c>
    </row>
    <row r="171" spans="1:15" ht="51">
      <c r="A171" s="20" t="s">
        <v>220</v>
      </c>
      <c r="B171" s="9" t="str">
        <f t="shared" si="12"/>
        <v>Mortality rates from populations in TB compartment  LTBI, after IPT and HIV compartment  PLHIV not on ART, CD4≤200 and gender compartment Female per year</v>
      </c>
      <c r="C171" s="8" t="s">
        <v>158</v>
      </c>
      <c r="D171" s="8" t="s">
        <v>159</v>
      </c>
      <c r="E171" s="8">
        <v>8</v>
      </c>
      <c r="G171" s="9">
        <v>3</v>
      </c>
      <c r="H171" s="9">
        <v>2</v>
      </c>
      <c r="J171" s="9" t="str">
        <f t="shared" si="14"/>
        <v>mu_8,3,2</v>
      </c>
      <c r="K171" s="11">
        <f t="shared" si="16"/>
        <v>1.9E-2</v>
      </c>
      <c r="O171" s="10" t="s">
        <v>317</v>
      </c>
    </row>
    <row r="172" spans="1:15" ht="48">
      <c r="A172" s="20" t="s">
        <v>221</v>
      </c>
      <c r="B172" s="9" t="str">
        <f t="shared" si="12"/>
        <v>Mortality rates from populations in TB compartment  LTBI, after IPT and HIV compartment  PLHIV and on ART and gender compartment Male per year</v>
      </c>
      <c r="C172" s="8" t="s">
        <v>158</v>
      </c>
      <c r="D172" s="8" t="s">
        <v>159</v>
      </c>
      <c r="E172" s="8">
        <v>8</v>
      </c>
      <c r="G172" s="9">
        <v>4</v>
      </c>
      <c r="H172" s="9">
        <v>1</v>
      </c>
      <c r="J172" s="9" t="str">
        <f t="shared" si="14"/>
        <v>mu_8,4,1</v>
      </c>
      <c r="K172" s="11">
        <f t="shared" si="16"/>
        <v>3.96E-3</v>
      </c>
      <c r="O172" s="10" t="s">
        <v>318</v>
      </c>
    </row>
    <row r="173" spans="1:15" ht="48">
      <c r="A173" s="20" t="s">
        <v>222</v>
      </c>
      <c r="B173" s="9" t="str">
        <f t="shared" si="12"/>
        <v>Mortality rates from populations in TB compartment  LTBI, after IPT and HIV compartment  PLHIV and on ART and gender compartment Female per year</v>
      </c>
      <c r="C173" s="8" t="s">
        <v>158</v>
      </c>
      <c r="D173" s="8" t="s">
        <v>159</v>
      </c>
      <c r="E173" s="8">
        <v>8</v>
      </c>
      <c r="G173" s="9">
        <v>4</v>
      </c>
      <c r="H173" s="9">
        <v>2</v>
      </c>
      <c r="J173" s="9" t="str">
        <f t="shared" si="14"/>
        <v>mu_8,4,2</v>
      </c>
      <c r="K173" s="11">
        <f t="shared" si="16"/>
        <v>2.2799999999999999E-3</v>
      </c>
      <c r="O173" s="10" t="s">
        <v>318</v>
      </c>
    </row>
    <row r="174" spans="1:15" ht="34">
      <c r="A174" s="20" t="s">
        <v>223</v>
      </c>
      <c r="B174" s="9" t="str">
        <f t="shared" ref="B174:B190" si="17">CONCATENATE("Birth rate into HIV compartment ", VLOOKUP(G174, HIV_SET, 2), " and gender compartment ", VLOOKUP(H174, G_SET, 2), ", per year")</f>
        <v>Birth rate into HIV compartment  HIV-negative and gender compartment Male, per year</v>
      </c>
      <c r="C174" s="8" t="s">
        <v>224</v>
      </c>
      <c r="D174" s="8" t="s">
        <v>159</v>
      </c>
      <c r="E174" s="8">
        <v>1</v>
      </c>
      <c r="G174" s="9">
        <v>1</v>
      </c>
      <c r="H174" s="9">
        <v>1</v>
      </c>
      <c r="J174" s="9" t="str">
        <f t="shared" si="14"/>
        <v>rho_1,1,1</v>
      </c>
      <c r="K174" s="23">
        <v>0.02</v>
      </c>
    </row>
    <row r="175" spans="1:15" ht="34">
      <c r="A175" s="20" t="s">
        <v>223</v>
      </c>
      <c r="B175" s="9" t="str">
        <f t="shared" si="17"/>
        <v>Birth rate into HIV compartment  HIV-negative and gender compartment Male, per year</v>
      </c>
      <c r="C175" s="8" t="s">
        <v>224</v>
      </c>
      <c r="D175" s="8" t="s">
        <v>159</v>
      </c>
      <c r="E175" s="8">
        <v>3</v>
      </c>
      <c r="G175" s="9">
        <v>1</v>
      </c>
      <c r="H175" s="9">
        <v>1</v>
      </c>
      <c r="J175" s="9" t="str">
        <f t="shared" si="14"/>
        <v>rho_3,1,1</v>
      </c>
      <c r="K175" s="23">
        <v>0.01</v>
      </c>
    </row>
    <row r="176" spans="1:15" ht="34">
      <c r="A176" s="20" t="s">
        <v>223</v>
      </c>
      <c r="B176" s="9" t="str">
        <f t="shared" si="17"/>
        <v>Birth rate into HIV compartment  HIV-negative and gender compartment Male, per year</v>
      </c>
      <c r="C176" s="8" t="s">
        <v>224</v>
      </c>
      <c r="D176" s="8" t="s">
        <v>159</v>
      </c>
      <c r="E176" s="8">
        <v>4</v>
      </c>
      <c r="G176" s="9">
        <v>1</v>
      </c>
      <c r="H176" s="9">
        <v>1</v>
      </c>
      <c r="J176" s="9" t="str">
        <f t="shared" si="14"/>
        <v>rho_4,1,1</v>
      </c>
      <c r="K176" s="23">
        <v>0.01</v>
      </c>
    </row>
    <row r="177" spans="1:11" ht="34">
      <c r="A177" s="20" t="s">
        <v>223</v>
      </c>
      <c r="B177" s="9" t="str">
        <f t="shared" si="17"/>
        <v>Birth rate into HIV compartment  HIV-negative and gender compartment Male, per year</v>
      </c>
      <c r="C177" s="8" t="s">
        <v>224</v>
      </c>
      <c r="D177" s="8" t="s">
        <v>159</v>
      </c>
      <c r="E177" s="8">
        <v>6</v>
      </c>
      <c r="G177" s="9">
        <v>1</v>
      </c>
      <c r="H177" s="9">
        <v>1</v>
      </c>
      <c r="J177" s="9" t="str">
        <f t="shared" si="14"/>
        <v>rho_6,1,1</v>
      </c>
      <c r="K177" s="23">
        <v>5.0000000000000001E-3</v>
      </c>
    </row>
    <row r="178" spans="1:11" ht="34">
      <c r="A178" s="20" t="s">
        <v>225</v>
      </c>
      <c r="B178" s="9" t="str">
        <f t="shared" si="17"/>
        <v>Birth rate into HIV compartment  PLHIV not on ART, CD4&gt;200 and gender compartment Male, per year</v>
      </c>
      <c r="C178" s="8" t="s">
        <v>224</v>
      </c>
      <c r="D178" s="8" t="s">
        <v>159</v>
      </c>
      <c r="E178" s="8">
        <v>1</v>
      </c>
      <c r="G178" s="9">
        <v>2</v>
      </c>
      <c r="H178" s="9">
        <v>1</v>
      </c>
      <c r="J178" s="9" t="str">
        <f t="shared" si="14"/>
        <v>rho_1,2,1</v>
      </c>
      <c r="K178" s="23">
        <f>K174*0.01</f>
        <v>2.0000000000000001E-4</v>
      </c>
    </row>
    <row r="179" spans="1:11" ht="34">
      <c r="A179" s="20" t="s">
        <v>225</v>
      </c>
      <c r="B179" s="9" t="str">
        <f t="shared" si="17"/>
        <v>Birth rate into HIV compartment  PLHIV not on ART, CD4&gt;200 and gender compartment Male, per year</v>
      </c>
      <c r="C179" s="8" t="s">
        <v>224</v>
      </c>
      <c r="D179" s="8" t="s">
        <v>159</v>
      </c>
      <c r="E179" s="8">
        <v>3</v>
      </c>
      <c r="G179" s="9">
        <v>2</v>
      </c>
      <c r="H179" s="9">
        <v>1</v>
      </c>
      <c r="J179" s="9" t="str">
        <f t="shared" si="14"/>
        <v>rho_3,2,1</v>
      </c>
      <c r="K179" s="23">
        <f t="shared" ref="K179:K181" si="18">K175*0.01</f>
        <v>1E-4</v>
      </c>
    </row>
    <row r="180" spans="1:11" ht="34">
      <c r="A180" s="20" t="s">
        <v>225</v>
      </c>
      <c r="B180" s="9" t="str">
        <f t="shared" si="17"/>
        <v>Birth rate into HIV compartment  PLHIV not on ART, CD4&gt;200 and gender compartment Male, per year</v>
      </c>
      <c r="C180" s="8" t="s">
        <v>224</v>
      </c>
      <c r="D180" s="8" t="s">
        <v>159</v>
      </c>
      <c r="E180" s="8">
        <v>4</v>
      </c>
      <c r="G180" s="9">
        <v>2</v>
      </c>
      <c r="H180" s="9">
        <v>1</v>
      </c>
      <c r="J180" s="9" t="str">
        <f t="shared" si="14"/>
        <v>rho_4,2,1</v>
      </c>
      <c r="K180" s="23">
        <f t="shared" si="18"/>
        <v>1E-4</v>
      </c>
    </row>
    <row r="181" spans="1:11" ht="34">
      <c r="A181" s="20" t="s">
        <v>225</v>
      </c>
      <c r="B181" s="9" t="str">
        <f t="shared" si="17"/>
        <v>Birth rate into HIV compartment  PLHIV not on ART, CD4&gt;200 and gender compartment Male, per year</v>
      </c>
      <c r="C181" s="8" t="s">
        <v>224</v>
      </c>
      <c r="D181" s="8" t="s">
        <v>159</v>
      </c>
      <c r="E181" s="8">
        <v>6</v>
      </c>
      <c r="G181" s="9">
        <v>2</v>
      </c>
      <c r="H181" s="9">
        <v>1</v>
      </c>
      <c r="J181" s="9" t="str">
        <f t="shared" si="14"/>
        <v>rho_6,2,1</v>
      </c>
      <c r="K181" s="23">
        <f t="shared" si="18"/>
        <v>5.0000000000000002E-5</v>
      </c>
    </row>
    <row r="182" spans="1:11" ht="34">
      <c r="A182" s="20" t="s">
        <v>226</v>
      </c>
      <c r="B182" s="9" t="str">
        <f t="shared" si="17"/>
        <v>Birth rate into HIV compartment  HIV-negative and gender compartment Female, per year</v>
      </c>
      <c r="C182" s="8" t="s">
        <v>224</v>
      </c>
      <c r="D182" s="8" t="s">
        <v>159</v>
      </c>
      <c r="E182" s="8">
        <v>1</v>
      </c>
      <c r="G182" s="9">
        <v>1</v>
      </c>
      <c r="H182" s="9">
        <v>2</v>
      </c>
      <c r="J182" s="9" t="str">
        <f t="shared" si="14"/>
        <v>rho_1,1,2</v>
      </c>
      <c r="K182" s="23">
        <f>K174*0.95</f>
        <v>1.9E-2</v>
      </c>
    </row>
    <row r="183" spans="1:11" ht="34">
      <c r="A183" s="20" t="s">
        <v>226</v>
      </c>
      <c r="B183" s="9" t="str">
        <f t="shared" si="17"/>
        <v>Birth rate into HIV compartment  HIV-negative and gender compartment Female, per year</v>
      </c>
      <c r="C183" s="8" t="s">
        <v>224</v>
      </c>
      <c r="D183" s="8" t="s">
        <v>159</v>
      </c>
      <c r="E183" s="8">
        <v>3</v>
      </c>
      <c r="G183" s="9">
        <v>1</v>
      </c>
      <c r="H183" s="9">
        <v>2</v>
      </c>
      <c r="J183" s="9" t="str">
        <f t="shared" si="14"/>
        <v>rho_3,1,2</v>
      </c>
      <c r="K183" s="23">
        <f t="shared" ref="K183:K189" si="19">K175*0.95</f>
        <v>9.4999999999999998E-3</v>
      </c>
    </row>
    <row r="184" spans="1:11" ht="34">
      <c r="A184" s="20" t="s">
        <v>226</v>
      </c>
      <c r="B184" s="9" t="str">
        <f t="shared" si="17"/>
        <v>Birth rate into HIV compartment  HIV-negative and gender compartment Female, per year</v>
      </c>
      <c r="C184" s="8" t="s">
        <v>224</v>
      </c>
      <c r="D184" s="8" t="s">
        <v>159</v>
      </c>
      <c r="E184" s="8">
        <v>4</v>
      </c>
      <c r="G184" s="9">
        <v>1</v>
      </c>
      <c r="H184" s="9">
        <v>2</v>
      </c>
      <c r="J184" s="9" t="str">
        <f t="shared" si="14"/>
        <v>rho_4,1,2</v>
      </c>
      <c r="K184" s="23">
        <f t="shared" si="19"/>
        <v>9.4999999999999998E-3</v>
      </c>
    </row>
    <row r="185" spans="1:11" ht="34">
      <c r="A185" s="20" t="s">
        <v>226</v>
      </c>
      <c r="B185" s="9" t="str">
        <f t="shared" si="17"/>
        <v>Birth rate into HIV compartment  HIV-negative and gender compartment Female, per year</v>
      </c>
      <c r="C185" s="8" t="s">
        <v>224</v>
      </c>
      <c r="D185" s="8" t="s">
        <v>159</v>
      </c>
      <c r="E185" s="8">
        <v>6</v>
      </c>
      <c r="G185" s="9">
        <v>1</v>
      </c>
      <c r="H185" s="9">
        <v>2</v>
      </c>
      <c r="J185" s="9" t="str">
        <f t="shared" si="14"/>
        <v>rho_6,1,2</v>
      </c>
      <c r="K185" s="23">
        <f t="shared" si="19"/>
        <v>4.7499999999999999E-3</v>
      </c>
    </row>
    <row r="186" spans="1:11" ht="34">
      <c r="A186" s="20" t="s">
        <v>227</v>
      </c>
      <c r="B186" s="9" t="str">
        <f t="shared" si="17"/>
        <v>Birth rate into HIV compartment  PLHIV not on ART, CD4&gt;200 and gender compartment Female, per year</v>
      </c>
      <c r="C186" s="8" t="s">
        <v>224</v>
      </c>
      <c r="D186" s="8" t="s">
        <v>159</v>
      </c>
      <c r="E186" s="8">
        <v>1</v>
      </c>
      <c r="G186" s="9">
        <v>2</v>
      </c>
      <c r="H186" s="9">
        <v>2</v>
      </c>
      <c r="J186" s="9" t="str">
        <f t="shared" si="14"/>
        <v>rho_1,2,2</v>
      </c>
      <c r="K186" s="23">
        <f t="shared" si="19"/>
        <v>1.9000000000000001E-4</v>
      </c>
    </row>
    <row r="187" spans="1:11" ht="34">
      <c r="A187" s="20" t="s">
        <v>227</v>
      </c>
      <c r="B187" s="9" t="str">
        <f t="shared" si="17"/>
        <v>Birth rate into HIV compartment  PLHIV not on ART, CD4&gt;200 and gender compartment Female, per year</v>
      </c>
      <c r="C187" s="8" t="s">
        <v>224</v>
      </c>
      <c r="D187" s="8" t="s">
        <v>159</v>
      </c>
      <c r="E187" s="8">
        <v>3</v>
      </c>
      <c r="G187" s="9">
        <v>2</v>
      </c>
      <c r="H187" s="9">
        <v>2</v>
      </c>
      <c r="J187" s="9" t="str">
        <f t="shared" si="14"/>
        <v>rho_3,2,2</v>
      </c>
      <c r="K187" s="23">
        <f t="shared" si="19"/>
        <v>9.5000000000000005E-5</v>
      </c>
    </row>
    <row r="188" spans="1:11" ht="34">
      <c r="A188" s="20" t="s">
        <v>227</v>
      </c>
      <c r="B188" s="9" t="str">
        <f t="shared" si="17"/>
        <v>Birth rate into HIV compartment  PLHIV not on ART, CD4&gt;200 and gender compartment Female, per year</v>
      </c>
      <c r="C188" s="8" t="s">
        <v>224</v>
      </c>
      <c r="D188" s="8" t="s">
        <v>159</v>
      </c>
      <c r="E188" s="8">
        <v>4</v>
      </c>
      <c r="G188" s="9">
        <v>2</v>
      </c>
      <c r="H188" s="9">
        <v>2</v>
      </c>
      <c r="J188" s="9" t="str">
        <f t="shared" si="14"/>
        <v>rho_4,2,2</v>
      </c>
      <c r="K188" s="23">
        <f t="shared" si="19"/>
        <v>9.5000000000000005E-5</v>
      </c>
    </row>
    <row r="189" spans="1:11" ht="34">
      <c r="A189" s="20" t="s">
        <v>227</v>
      </c>
      <c r="B189" s="9" t="str">
        <f t="shared" si="17"/>
        <v>Birth rate into HIV compartment  PLHIV not on ART, CD4&gt;200 and gender compartment Female, per year</v>
      </c>
      <c r="C189" s="8" t="s">
        <v>224</v>
      </c>
      <c r="D189" s="8" t="s">
        <v>159</v>
      </c>
      <c r="E189" s="8">
        <v>6</v>
      </c>
      <c r="G189" s="9">
        <v>2</v>
      </c>
      <c r="H189" s="9">
        <v>2</v>
      </c>
      <c r="J189" s="9" t="str">
        <f t="shared" ref="J189:J191" si="20">CONCATENATE(C189, "_", E189, IF(E189&lt;&gt;"",",",""), F189, IF(F189&lt;&gt;"",",",""),  G189, IF(G189&lt;&gt;"",",",""),  H189, IF(I189&lt;&gt;"","(",""), I189, IF(I189&lt;&gt;"",")",""))</f>
        <v>rho_6,2,2</v>
      </c>
      <c r="K189" s="23">
        <f t="shared" si="19"/>
        <v>4.7500000000000003E-5</v>
      </c>
    </row>
    <row r="190" spans="1:11" ht="16">
      <c r="A190" s="11" t="s">
        <v>364</v>
      </c>
      <c r="B190" s="9" t="str">
        <f>CONCATENATE("Adherence rate for gender compartment ", VLOOKUP(H190, G_SET, 2), ", per year")</f>
        <v>Adherence rate for gender compartment Male, per year</v>
      </c>
      <c r="C190" s="9" t="s">
        <v>363</v>
      </c>
      <c r="D190" s="9" t="s">
        <v>17</v>
      </c>
      <c r="H190" s="9">
        <v>1</v>
      </c>
      <c r="J190" s="9" t="str">
        <f t="shared" si="20"/>
        <v>varpi_1</v>
      </c>
      <c r="K190" s="36">
        <v>0.7</v>
      </c>
    </row>
    <row r="191" spans="1:11" ht="16">
      <c r="A191" s="11" t="s">
        <v>365</v>
      </c>
      <c r="B191" s="9" t="str">
        <f>CONCATENATE("Adherence rate for gender compartment ", VLOOKUP(H191, G_SET, 2), ", per year")</f>
        <v>Adherence rate for gender compartment Female, per year</v>
      </c>
      <c r="C191" s="9" t="s">
        <v>363</v>
      </c>
      <c r="D191" s="9" t="s">
        <v>17</v>
      </c>
      <c r="H191" s="9">
        <v>2</v>
      </c>
      <c r="J191" s="9" t="str">
        <f t="shared" si="20"/>
        <v>varpi_2</v>
      </c>
      <c r="K191" s="36">
        <v>0.8</v>
      </c>
    </row>
  </sheetData>
  <sortState ref="A2:O189">
    <sortCondition ref="D2:D189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9"/>
  <sheetViews>
    <sheetView zoomScale="125" workbookViewId="0">
      <pane xSplit="1" ySplit="1" topLeftCell="F2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baseColWidth="10" defaultColWidth="8.83203125" defaultRowHeight="15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>
      <c r="A1" s="2" t="s">
        <v>0</v>
      </c>
      <c r="B1" s="2" t="s">
        <v>352</v>
      </c>
      <c r="C1" s="2" t="s">
        <v>353</v>
      </c>
      <c r="D1" s="2" t="s">
        <v>354</v>
      </c>
      <c r="E1" s="2" t="s">
        <v>351</v>
      </c>
      <c r="F1" s="2" t="s">
        <v>228</v>
      </c>
      <c r="G1" s="2" t="s">
        <v>229</v>
      </c>
      <c r="H1" s="16" t="s">
        <v>11</v>
      </c>
      <c r="I1" s="17" t="s">
        <v>12</v>
      </c>
      <c r="J1" s="17" t="s">
        <v>230</v>
      </c>
      <c r="K1" s="12" t="s">
        <v>13</v>
      </c>
      <c r="L1" s="13" t="s">
        <v>14</v>
      </c>
    </row>
    <row r="2" spans="1:12" ht="51">
      <c r="A2" s="18" t="s">
        <v>231</v>
      </c>
      <c r="B2" s="18"/>
      <c r="C2" s="18"/>
      <c r="D2" s="18"/>
      <c r="E2" s="18"/>
      <c r="F2" s="1" t="s">
        <v>232</v>
      </c>
      <c r="G2" s="19">
        <v>1</v>
      </c>
    </row>
    <row r="3" spans="1:12" ht="51">
      <c r="A3" s="18" t="s">
        <v>233</v>
      </c>
      <c r="B3" s="18"/>
      <c r="C3" s="18"/>
      <c r="D3" s="18"/>
      <c r="E3" s="18"/>
      <c r="F3" s="1" t="s">
        <v>234</v>
      </c>
      <c r="G3" s="19">
        <v>1.1000000000000001</v>
      </c>
    </row>
    <row r="4" spans="1:12" ht="51">
      <c r="A4" s="18" t="s">
        <v>235</v>
      </c>
      <c r="B4" s="18"/>
      <c r="C4" s="18"/>
      <c r="D4" s="18"/>
      <c r="E4" s="18"/>
      <c r="F4" s="1" t="s">
        <v>236</v>
      </c>
      <c r="G4" s="19">
        <v>1</v>
      </c>
    </row>
    <row r="5" spans="1:12" ht="42.75" customHeight="1">
      <c r="A5" s="18" t="s">
        <v>237</v>
      </c>
      <c r="B5" s="18"/>
      <c r="C5" s="18"/>
      <c r="D5" s="18"/>
      <c r="E5" s="18"/>
      <c r="F5" s="1" t="s">
        <v>238</v>
      </c>
      <c r="G5" s="1">
        <v>1.1000000000000001</v>
      </c>
    </row>
    <row r="6" spans="1:12" ht="39" customHeight="1">
      <c r="A6" s="18" t="s">
        <v>237</v>
      </c>
      <c r="B6" s="18"/>
      <c r="C6" s="18"/>
      <c r="D6" s="18"/>
      <c r="E6" s="18"/>
      <c r="F6" s="1" t="s">
        <v>239</v>
      </c>
      <c r="G6" s="1">
        <v>1.1000000000000001</v>
      </c>
    </row>
    <row r="7" spans="1:12" ht="35.25" customHeight="1">
      <c r="A7" s="18" t="s">
        <v>237</v>
      </c>
      <c r="B7" s="18"/>
      <c r="C7" s="18"/>
      <c r="D7" s="18"/>
      <c r="E7" s="18"/>
      <c r="F7" s="1" t="s">
        <v>240</v>
      </c>
      <c r="G7" s="1">
        <v>1.2</v>
      </c>
    </row>
    <row r="8" spans="1:12" ht="38.25" customHeight="1">
      <c r="A8" s="18" t="s">
        <v>237</v>
      </c>
      <c r="B8" s="18"/>
      <c r="C8" s="18"/>
      <c r="D8" s="18"/>
      <c r="E8" s="18"/>
      <c r="F8" s="1" t="s">
        <v>241</v>
      </c>
      <c r="G8" s="1">
        <v>1.2</v>
      </c>
    </row>
    <row r="9" spans="1:12" ht="17">
      <c r="A9" s="18" t="s">
        <v>242</v>
      </c>
      <c r="B9" s="18"/>
      <c r="C9" s="18"/>
      <c r="D9" s="18"/>
      <c r="E9" s="18"/>
      <c r="F9" s="1" t="s">
        <v>243</v>
      </c>
      <c r="G9" s="32">
        <v>1</v>
      </c>
      <c r="L9" s="4" t="s">
        <v>332</v>
      </c>
    </row>
    <row r="10" spans="1:12" ht="17">
      <c r="A10" s="25" t="s">
        <v>271</v>
      </c>
      <c r="B10" s="25"/>
      <c r="C10" s="25"/>
      <c r="D10" s="25"/>
      <c r="E10" s="25"/>
      <c r="G10" s="26">
        <v>100000</v>
      </c>
    </row>
    <row r="11" spans="1:12" ht="34">
      <c r="A11" s="33" t="s">
        <v>333</v>
      </c>
      <c r="B11" s="33"/>
      <c r="C11" s="33"/>
      <c r="D11" s="34">
        <v>3</v>
      </c>
      <c r="E11" s="33">
        <v>1</v>
      </c>
      <c r="F11" s="1" t="s">
        <v>357</v>
      </c>
      <c r="G11" s="1">
        <f>G12</f>
        <v>0.17999999999999994</v>
      </c>
    </row>
    <row r="12" spans="1:12" ht="34">
      <c r="A12" s="33" t="s">
        <v>334</v>
      </c>
      <c r="B12" s="33"/>
      <c r="C12" s="33"/>
      <c r="D12" s="33">
        <v>3</v>
      </c>
      <c r="E12" s="33">
        <v>2</v>
      </c>
      <c r="F12" s="1" t="s">
        <v>357</v>
      </c>
      <c r="G12" s="1">
        <f>1-G16-G14</f>
        <v>0.17999999999999994</v>
      </c>
      <c r="K12" t="s">
        <v>331</v>
      </c>
    </row>
    <row r="13" spans="1:12" ht="34">
      <c r="A13" s="33" t="s">
        <v>335</v>
      </c>
      <c r="B13" s="33"/>
      <c r="C13" s="33"/>
      <c r="D13" s="33">
        <v>2</v>
      </c>
      <c r="E13" s="33">
        <v>1</v>
      </c>
      <c r="F13" s="1" t="s">
        <v>357</v>
      </c>
      <c r="G13" s="1">
        <v>0.55000000000000004</v>
      </c>
    </row>
    <row r="14" spans="1:12" ht="34">
      <c r="A14" s="33" t="s">
        <v>336</v>
      </c>
      <c r="B14" s="33"/>
      <c r="C14" s="33"/>
      <c r="D14" s="33">
        <v>2</v>
      </c>
      <c r="E14" s="33">
        <v>2</v>
      </c>
      <c r="F14" s="1" t="s">
        <v>357</v>
      </c>
      <c r="G14" s="1">
        <v>0.55000000000000004</v>
      </c>
      <c r="K14" t="s">
        <v>331</v>
      </c>
    </row>
    <row r="15" spans="1:12" ht="17">
      <c r="A15" s="33" t="s">
        <v>337</v>
      </c>
      <c r="B15" s="33"/>
      <c r="C15" s="33"/>
      <c r="D15" s="33">
        <v>4</v>
      </c>
      <c r="E15" s="33">
        <v>1</v>
      </c>
      <c r="F15" s="1" t="s">
        <v>357</v>
      </c>
      <c r="G15" s="1">
        <v>0.27</v>
      </c>
    </row>
    <row r="16" spans="1:12" ht="34">
      <c r="A16" s="33" t="s">
        <v>338</v>
      </c>
      <c r="B16" s="33"/>
      <c r="C16" s="33"/>
      <c r="D16" s="33">
        <v>4</v>
      </c>
      <c r="E16" s="33">
        <v>2</v>
      </c>
      <c r="F16" s="1" t="s">
        <v>357</v>
      </c>
      <c r="G16" s="1">
        <v>0.27</v>
      </c>
      <c r="K16" t="s">
        <v>330</v>
      </c>
      <c r="L16" s="4" t="s">
        <v>329</v>
      </c>
    </row>
    <row r="17" spans="1:13" ht="17">
      <c r="A17" s="34" t="s">
        <v>359</v>
      </c>
      <c r="B17" s="33"/>
      <c r="C17" s="33"/>
      <c r="D17" s="33">
        <v>1</v>
      </c>
      <c r="E17" s="33">
        <v>1</v>
      </c>
      <c r="F17" s="1" t="s">
        <v>357</v>
      </c>
      <c r="G17" s="32">
        <f>1-G11-G13-G15</f>
        <v>0</v>
      </c>
    </row>
    <row r="18" spans="1:13" ht="17">
      <c r="A18" s="34" t="s">
        <v>358</v>
      </c>
      <c r="B18" s="33"/>
      <c r="C18" s="33"/>
      <c r="D18" s="33">
        <v>1</v>
      </c>
      <c r="E18" s="33">
        <v>2</v>
      </c>
      <c r="F18" s="1" t="s">
        <v>357</v>
      </c>
      <c r="G18" s="32">
        <f>1-G12-G14-G16</f>
        <v>0</v>
      </c>
    </row>
    <row r="19" spans="1:13" ht="17">
      <c r="A19" s="34" t="s">
        <v>361</v>
      </c>
      <c r="B19" s="33"/>
      <c r="C19" s="33"/>
      <c r="D19" s="33"/>
      <c r="E19" s="33"/>
      <c r="F19" s="1" t="s">
        <v>357</v>
      </c>
      <c r="G19" s="32"/>
    </row>
    <row r="20" spans="1:13" ht="34">
      <c r="A20" s="33" t="s">
        <v>339</v>
      </c>
      <c r="B20" s="34" t="s">
        <v>355</v>
      </c>
      <c r="C20" s="33"/>
      <c r="D20" s="33">
        <v>1</v>
      </c>
      <c r="E20" s="33">
        <v>1</v>
      </c>
      <c r="F20" s="1" t="s">
        <v>357</v>
      </c>
      <c r="G20" s="1">
        <v>0.5</v>
      </c>
      <c r="K20" t="s">
        <v>342</v>
      </c>
    </row>
    <row r="21" spans="1:13" ht="34">
      <c r="A21" s="33" t="s">
        <v>340</v>
      </c>
      <c r="B21" s="34" t="s">
        <v>355</v>
      </c>
      <c r="C21" s="33"/>
      <c r="D21" s="33">
        <v>1</v>
      </c>
      <c r="E21" s="33">
        <v>2</v>
      </c>
      <c r="F21" s="1" t="s">
        <v>357</v>
      </c>
      <c r="G21" s="1">
        <v>0.5</v>
      </c>
      <c r="K21" t="s">
        <v>342</v>
      </c>
    </row>
    <row r="22" spans="1:13" ht="17">
      <c r="A22" s="33" t="s">
        <v>345</v>
      </c>
      <c r="B22" s="34" t="s">
        <v>356</v>
      </c>
      <c r="C22" s="33"/>
      <c r="D22" s="33">
        <v>1</v>
      </c>
      <c r="E22" s="33">
        <v>1</v>
      </c>
      <c r="F22" s="1" t="s">
        <v>357</v>
      </c>
      <c r="G22" s="1">
        <f>G23</f>
        <v>0.49</v>
      </c>
    </row>
    <row r="23" spans="1:13" ht="17">
      <c r="A23" s="33" t="s">
        <v>349</v>
      </c>
      <c r="B23" s="34" t="s">
        <v>356</v>
      </c>
      <c r="C23" s="33"/>
      <c r="D23" s="33">
        <v>1</v>
      </c>
      <c r="E23" s="33">
        <v>2</v>
      </c>
      <c r="F23" s="1" t="s">
        <v>357</v>
      </c>
      <c r="G23" s="1">
        <f>1-G20-G26</f>
        <v>0.49</v>
      </c>
    </row>
    <row r="24" spans="1:13" ht="34">
      <c r="A24" s="33" t="s">
        <v>347</v>
      </c>
      <c r="B24" s="34" t="s">
        <v>356</v>
      </c>
      <c r="C24" s="33"/>
      <c r="D24" s="34" t="s">
        <v>360</v>
      </c>
      <c r="E24" s="33">
        <v>1</v>
      </c>
      <c r="F24" s="1" t="s">
        <v>357</v>
      </c>
      <c r="G24" s="1">
        <v>0.5</v>
      </c>
      <c r="K24" t="s">
        <v>346</v>
      </c>
    </row>
    <row r="25" spans="1:13" ht="34">
      <c r="A25" s="33" t="s">
        <v>348</v>
      </c>
      <c r="B25" s="34" t="s">
        <v>356</v>
      </c>
      <c r="C25" s="33"/>
      <c r="D25" s="34" t="s">
        <v>360</v>
      </c>
      <c r="E25" s="33">
        <v>2</v>
      </c>
      <c r="F25" s="1" t="s">
        <v>357</v>
      </c>
      <c r="G25" s="1">
        <v>0.5</v>
      </c>
    </row>
    <row r="26" spans="1:13" ht="17">
      <c r="A26" s="33" t="s">
        <v>341</v>
      </c>
      <c r="B26" s="33">
        <v>6</v>
      </c>
      <c r="C26" s="33"/>
      <c r="D26" s="33">
        <v>1</v>
      </c>
      <c r="E26" s="33">
        <v>1</v>
      </c>
      <c r="F26" s="1" t="s">
        <v>357</v>
      </c>
      <c r="G26" s="1">
        <v>0.01</v>
      </c>
    </row>
    <row r="27" spans="1:13" ht="17">
      <c r="A27" s="33" t="s">
        <v>350</v>
      </c>
      <c r="B27" s="33">
        <v>6</v>
      </c>
      <c r="C27" s="33"/>
      <c r="D27" s="33">
        <v>1</v>
      </c>
      <c r="E27" s="33">
        <v>2</v>
      </c>
      <c r="F27" s="1" t="s">
        <v>357</v>
      </c>
      <c r="G27" s="1">
        <v>0.01</v>
      </c>
    </row>
    <row r="28" spans="1:13" ht="34">
      <c r="A28" s="33" t="s">
        <v>343</v>
      </c>
      <c r="B28" s="33">
        <v>6</v>
      </c>
      <c r="C28" s="33"/>
      <c r="D28" s="34" t="s">
        <v>360</v>
      </c>
      <c r="E28" s="33">
        <v>1</v>
      </c>
      <c r="F28" s="1" t="s">
        <v>357</v>
      </c>
      <c r="G28" s="1">
        <v>0.6</v>
      </c>
    </row>
    <row r="29" spans="1:13" ht="34">
      <c r="A29" s="33" t="s">
        <v>344</v>
      </c>
      <c r="B29" s="33">
        <v>6</v>
      </c>
      <c r="C29" s="33"/>
      <c r="D29" s="34" t="s">
        <v>360</v>
      </c>
      <c r="E29" s="33">
        <v>2</v>
      </c>
      <c r="F29" s="1" t="s">
        <v>357</v>
      </c>
      <c r="G29" s="1">
        <v>0.8</v>
      </c>
    </row>
    <row r="30" spans="1:13" ht="34">
      <c r="A30" s="27" t="s">
        <v>272</v>
      </c>
      <c r="B30" s="27"/>
      <c r="C30" s="27"/>
      <c r="D30" s="27"/>
      <c r="E30" s="27"/>
      <c r="G30">
        <v>667.69125159867303</v>
      </c>
      <c r="H30">
        <v>621.91596160486597</v>
      </c>
      <c r="I30">
        <v>725.80082818748997</v>
      </c>
      <c r="J30" s="1" t="s">
        <v>273</v>
      </c>
      <c r="K30" t="s">
        <v>275</v>
      </c>
      <c r="L30" s="30" t="s">
        <v>274</v>
      </c>
      <c r="M30" s="4" t="s">
        <v>292</v>
      </c>
    </row>
    <row r="31" spans="1:13" ht="34">
      <c r="A31" s="27" t="s">
        <v>276</v>
      </c>
      <c r="B31" s="27"/>
      <c r="C31" s="27"/>
      <c r="D31" s="27"/>
      <c r="E31" s="27"/>
      <c r="G31">
        <v>487.71837360315601</v>
      </c>
      <c r="H31">
        <v>436.91669589439499</v>
      </c>
      <c r="I31">
        <v>556.03760119042602</v>
      </c>
      <c r="J31" s="1" t="s">
        <v>273</v>
      </c>
      <c r="K31" t="s">
        <v>275</v>
      </c>
      <c r="L31" s="30" t="s">
        <v>274</v>
      </c>
    </row>
    <row r="32" spans="1:13" ht="34">
      <c r="A32" s="27" t="s">
        <v>282</v>
      </c>
      <c r="B32" s="27"/>
      <c r="C32" s="27"/>
      <c r="D32" s="27"/>
      <c r="E32" s="27"/>
      <c r="G32">
        <v>353.97451428615199</v>
      </c>
      <c r="H32">
        <v>298.14022379823899</v>
      </c>
      <c r="I32">
        <v>421.02666012590601</v>
      </c>
      <c r="J32" s="1" t="s">
        <v>273</v>
      </c>
      <c r="K32" t="s">
        <v>275</v>
      </c>
      <c r="L32" s="30" t="s">
        <v>283</v>
      </c>
    </row>
    <row r="33" spans="1:12" ht="34">
      <c r="A33" s="27" t="s">
        <v>282</v>
      </c>
      <c r="B33" s="27"/>
      <c r="C33" s="27"/>
      <c r="D33" s="27"/>
      <c r="E33" s="27"/>
      <c r="G33">
        <v>328.28962708281801</v>
      </c>
      <c r="H33">
        <v>275.75168655442201</v>
      </c>
      <c r="I33">
        <v>397.64813504226203</v>
      </c>
      <c r="J33" s="1" t="s">
        <v>273</v>
      </c>
      <c r="K33" t="s">
        <v>275</v>
      </c>
      <c r="L33" s="30" t="s">
        <v>283</v>
      </c>
    </row>
    <row r="34" spans="1:12" ht="51">
      <c r="A34" s="27" t="s">
        <v>277</v>
      </c>
      <c r="B34" s="27"/>
      <c r="C34" s="27"/>
      <c r="D34" s="27"/>
      <c r="E34" s="27"/>
      <c r="G34">
        <v>270.29685912212301</v>
      </c>
      <c r="H34">
        <v>206.97423329835701</v>
      </c>
      <c r="I34">
        <v>343.91638639716899</v>
      </c>
      <c r="J34" s="1" t="s">
        <v>273</v>
      </c>
      <c r="K34" t="s">
        <v>275</v>
      </c>
      <c r="L34" s="30" t="s">
        <v>278</v>
      </c>
    </row>
    <row r="35" spans="1:12" ht="51">
      <c r="A35" s="27" t="s">
        <v>279</v>
      </c>
      <c r="B35" s="27"/>
      <c r="C35" s="27"/>
      <c r="D35" s="27"/>
      <c r="E35" s="27"/>
      <c r="G35">
        <v>264.93621874887299</v>
      </c>
      <c r="H35">
        <v>205.62683179700201</v>
      </c>
      <c r="I35">
        <v>339.17910941088098</v>
      </c>
      <c r="J35" s="1" t="s">
        <v>273</v>
      </c>
      <c r="K35" t="s">
        <v>275</v>
      </c>
      <c r="L35" s="30" t="s">
        <v>278</v>
      </c>
    </row>
    <row r="36" spans="1:12" ht="51">
      <c r="A36" s="27" t="s">
        <v>280</v>
      </c>
      <c r="B36" s="27"/>
      <c r="C36" s="27"/>
      <c r="D36" s="27"/>
      <c r="E36" s="27"/>
      <c r="G36">
        <v>76.970274789631006</v>
      </c>
      <c r="H36">
        <v>48.421027847361103</v>
      </c>
      <c r="I36">
        <v>109.456440346139</v>
      </c>
      <c r="J36" s="1" t="s">
        <v>273</v>
      </c>
      <c r="K36" t="s">
        <v>275</v>
      </c>
      <c r="L36" s="30" t="s">
        <v>284</v>
      </c>
    </row>
    <row r="37" spans="1:12" ht="51">
      <c r="A37" s="27" t="s">
        <v>281</v>
      </c>
      <c r="B37" s="27"/>
      <c r="C37" s="27"/>
      <c r="D37" s="27"/>
      <c r="E37" s="27"/>
      <c r="G37">
        <v>58.460988902228898</v>
      </c>
      <c r="H37">
        <v>34.611741515461397</v>
      </c>
      <c r="I37">
        <v>87.602923512240494</v>
      </c>
      <c r="J37" s="1" t="s">
        <v>273</v>
      </c>
      <c r="K37" t="s">
        <v>275</v>
      </c>
      <c r="L37" s="30" t="s">
        <v>284</v>
      </c>
    </row>
    <row r="38" spans="1:12" ht="34">
      <c r="A38" s="27" t="s">
        <v>285</v>
      </c>
      <c r="B38" s="27"/>
      <c r="C38" s="27"/>
      <c r="D38" s="27"/>
      <c r="E38" s="27"/>
      <c r="G38">
        <v>6.5950565310523803</v>
      </c>
      <c r="H38">
        <v>2.67155063488859</v>
      </c>
      <c r="I38">
        <v>13.136486160221301</v>
      </c>
      <c r="J38" s="1" t="s">
        <v>273</v>
      </c>
      <c r="K38" t="s">
        <v>275</v>
      </c>
      <c r="L38" s="30" t="s">
        <v>287</v>
      </c>
    </row>
    <row r="39" spans="1:12" ht="34">
      <c r="A39" s="27" t="s">
        <v>286</v>
      </c>
      <c r="B39" s="27"/>
      <c r="C39" s="27"/>
      <c r="D39" s="27"/>
      <c r="E39" s="27"/>
      <c r="G39">
        <v>4.8104961798478998</v>
      </c>
      <c r="H39">
        <v>1.8525923964359301</v>
      </c>
      <c r="I39">
        <v>10.096949019498</v>
      </c>
      <c r="J39" s="1" t="s">
        <v>273</v>
      </c>
      <c r="K39" t="s">
        <v>275</v>
      </c>
      <c r="L39" s="30" t="s">
        <v>287</v>
      </c>
    </row>
    <row r="40" spans="1:12" ht="34">
      <c r="A40" s="27" t="s">
        <v>288</v>
      </c>
      <c r="B40" s="27"/>
      <c r="C40" s="27"/>
      <c r="D40" s="27"/>
      <c r="E40" s="27"/>
      <c r="G40">
        <v>0.112323843345287</v>
      </c>
      <c r="H40">
        <v>4.5985772535474097E-2</v>
      </c>
      <c r="I40">
        <v>0.22960163575013601</v>
      </c>
      <c r="J40" s="1" t="s">
        <v>273</v>
      </c>
      <c r="K40" t="s">
        <v>275</v>
      </c>
      <c r="L40" s="30" t="s">
        <v>290</v>
      </c>
    </row>
    <row r="41" spans="1:12" ht="34">
      <c r="A41" s="27" t="s">
        <v>289</v>
      </c>
      <c r="B41" s="27"/>
      <c r="C41" s="27"/>
      <c r="D41" s="27"/>
      <c r="E41" s="27"/>
      <c r="G41">
        <v>8.1923251867938002E-2</v>
      </c>
      <c r="H41">
        <v>3.1924496573431098E-2</v>
      </c>
      <c r="I41">
        <v>0.17543715890676301</v>
      </c>
      <c r="J41" s="1" t="s">
        <v>273</v>
      </c>
      <c r="K41" t="s">
        <v>275</v>
      </c>
      <c r="L41" s="30" t="s">
        <v>290</v>
      </c>
    </row>
    <row r="42" spans="1:12" ht="34">
      <c r="A42" s="27" t="s">
        <v>291</v>
      </c>
      <c r="B42" s="27"/>
      <c r="C42" s="27"/>
      <c r="D42" s="27"/>
      <c r="E42" s="27"/>
      <c r="G42">
        <v>32.781908989999998</v>
      </c>
      <c r="H42">
        <v>29.630786910000001</v>
      </c>
      <c r="I42">
        <v>36.915591910000003</v>
      </c>
      <c r="J42" s="1" t="s">
        <v>304</v>
      </c>
      <c r="K42" t="s">
        <v>275</v>
      </c>
      <c r="L42" s="30" t="s">
        <v>297</v>
      </c>
    </row>
    <row r="43" spans="1:12" ht="34">
      <c r="A43" s="27" t="s">
        <v>301</v>
      </c>
      <c r="B43" s="27"/>
      <c r="C43" s="27"/>
      <c r="D43" s="27"/>
      <c r="E43" s="27"/>
      <c r="G43">
        <v>15.92630484</v>
      </c>
      <c r="H43">
        <v>13.86750552</v>
      </c>
      <c r="I43">
        <v>18.053657309999998</v>
      </c>
      <c r="J43" s="1" t="s">
        <v>305</v>
      </c>
      <c r="K43" t="s">
        <v>275</v>
      </c>
      <c r="L43" s="30" t="s">
        <v>297</v>
      </c>
    </row>
    <row r="44" spans="1:12" ht="51">
      <c r="A44" s="27" t="s">
        <v>293</v>
      </c>
      <c r="B44" s="27"/>
      <c r="C44" s="27"/>
      <c r="D44" s="27"/>
      <c r="E44" s="27"/>
      <c r="G44">
        <v>30.619318209999999</v>
      </c>
      <c r="H44">
        <v>27.03644954</v>
      </c>
      <c r="I44">
        <v>34.821362049999998</v>
      </c>
      <c r="J44" s="1" t="s">
        <v>306</v>
      </c>
      <c r="K44" t="s">
        <v>275</v>
      </c>
      <c r="L44" s="30" t="s">
        <v>298</v>
      </c>
    </row>
    <row r="45" spans="1:12" ht="51">
      <c r="A45" s="27" t="s">
        <v>295</v>
      </c>
      <c r="B45" s="27"/>
      <c r="C45" s="27"/>
      <c r="D45" s="27"/>
      <c r="E45" s="27"/>
      <c r="G45">
        <v>14.90405754</v>
      </c>
      <c r="H45">
        <v>12.80162367</v>
      </c>
      <c r="I45">
        <v>17.08584523</v>
      </c>
      <c r="J45" s="1" t="s">
        <v>307</v>
      </c>
      <c r="K45" t="s">
        <v>275</v>
      </c>
      <c r="L45" s="30" t="s">
        <v>298</v>
      </c>
    </row>
    <row r="46" spans="1:12" ht="34">
      <c r="A46" s="27" t="s">
        <v>294</v>
      </c>
      <c r="B46" s="27"/>
      <c r="C46" s="27"/>
      <c r="D46" s="27"/>
      <c r="E46" s="27"/>
      <c r="G46">
        <v>2.1263778709999999</v>
      </c>
      <c r="H46">
        <v>0.99031739500000004</v>
      </c>
      <c r="I46">
        <v>3.7960577139999998</v>
      </c>
      <c r="J46" s="1" t="s">
        <v>308</v>
      </c>
      <c r="K46" t="s">
        <v>275</v>
      </c>
      <c r="L46" s="30" t="s">
        <v>299</v>
      </c>
    </row>
    <row r="47" spans="1:12" ht="34">
      <c r="A47" s="27" t="s">
        <v>302</v>
      </c>
      <c r="B47" s="27"/>
      <c r="C47" s="27"/>
      <c r="D47" s="27"/>
      <c r="E47" s="27"/>
      <c r="G47">
        <v>1.0051327029999999</v>
      </c>
      <c r="H47">
        <v>0.49495520500000001</v>
      </c>
      <c r="I47">
        <v>1.8558520039999999</v>
      </c>
      <c r="J47" s="1" t="s">
        <v>309</v>
      </c>
      <c r="K47" t="s">
        <v>275</v>
      </c>
      <c r="L47" s="30" t="s">
        <v>299</v>
      </c>
    </row>
    <row r="48" spans="1:12" ht="34">
      <c r="A48" s="27" t="s">
        <v>296</v>
      </c>
      <c r="B48" s="27"/>
      <c r="C48" s="27"/>
      <c r="D48" s="27"/>
      <c r="E48" s="27"/>
      <c r="G48">
        <v>3.6212901999999998E-2</v>
      </c>
      <c r="H48">
        <v>1.7022888999999999E-2</v>
      </c>
      <c r="I48">
        <v>6.5484691999999997E-2</v>
      </c>
      <c r="J48" s="1" t="s">
        <v>310</v>
      </c>
      <c r="K48" t="s">
        <v>275</v>
      </c>
      <c r="L48" s="30" t="s">
        <v>300</v>
      </c>
    </row>
    <row r="49" spans="1:12" ht="34">
      <c r="A49" s="27" t="s">
        <v>303</v>
      </c>
      <c r="B49" s="27"/>
      <c r="C49" s="27"/>
      <c r="D49" s="27"/>
      <c r="E49" s="27"/>
      <c r="G49">
        <v>1.7114595999999999E-2</v>
      </c>
      <c r="H49">
        <v>8.2082219999999994E-3</v>
      </c>
      <c r="I49">
        <v>3.1991639000000002E-2</v>
      </c>
      <c r="J49" s="1" t="s">
        <v>311</v>
      </c>
      <c r="K49" t="s">
        <v>275</v>
      </c>
      <c r="L49" s="30" t="s">
        <v>300</v>
      </c>
    </row>
    <row r="50" spans="1:12" ht="16">
      <c r="A50" s="18"/>
      <c r="B50" s="18"/>
      <c r="C50" s="18"/>
      <c r="D50" s="18"/>
      <c r="E50" s="18"/>
    </row>
    <row r="51" spans="1:12" ht="16">
      <c r="A51" s="18"/>
      <c r="B51" s="18"/>
      <c r="C51" s="18"/>
      <c r="D51" s="18"/>
      <c r="E51" s="18"/>
    </row>
    <row r="52" spans="1:12" ht="16">
      <c r="A52" s="18"/>
      <c r="B52" s="18"/>
      <c r="C52" s="18"/>
      <c r="D52" s="18"/>
      <c r="E52" s="18"/>
    </row>
    <row r="53" spans="1:12" ht="16">
      <c r="A53" s="18"/>
      <c r="B53" s="18"/>
      <c r="C53" s="18"/>
      <c r="D53" s="18"/>
      <c r="E53" s="18"/>
    </row>
    <row r="54" spans="1:12" ht="16">
      <c r="A54" s="18"/>
      <c r="B54" s="18"/>
      <c r="C54" s="18"/>
      <c r="D54" s="18"/>
      <c r="E54" s="18"/>
    </row>
    <row r="55" spans="1:12" ht="16">
      <c r="A55" s="18"/>
      <c r="B55" s="18"/>
      <c r="C55" s="18"/>
      <c r="D55" s="18"/>
      <c r="E55" s="18"/>
    </row>
    <row r="56" spans="1:12" ht="16">
      <c r="A56" s="18"/>
      <c r="B56" s="18"/>
      <c r="C56" s="18"/>
      <c r="D56" s="18"/>
      <c r="E56" s="18"/>
    </row>
    <row r="57" spans="1:12" ht="16">
      <c r="A57" s="18"/>
      <c r="B57" s="18"/>
      <c r="C57" s="18"/>
      <c r="D57" s="18"/>
      <c r="E57" s="18"/>
    </row>
    <row r="58" spans="1:12" ht="16">
      <c r="A58" s="18"/>
      <c r="B58" s="18"/>
      <c r="C58" s="18"/>
      <c r="D58" s="18"/>
      <c r="E58" s="18"/>
    </row>
    <row r="59" spans="1:12" ht="16">
      <c r="A59" s="18"/>
      <c r="B59" s="18"/>
      <c r="C59" s="18"/>
      <c r="D59" s="18"/>
      <c r="E59" s="18"/>
    </row>
    <row r="60" spans="1:12" ht="16">
      <c r="A60" s="18"/>
      <c r="B60" s="18"/>
      <c r="C60" s="18"/>
      <c r="D60" s="18"/>
      <c r="E60" s="18"/>
    </row>
    <row r="61" spans="1:12" ht="16">
      <c r="A61" s="18"/>
      <c r="B61" s="18"/>
      <c r="C61" s="18"/>
      <c r="D61" s="18"/>
      <c r="E61" s="18"/>
    </row>
    <row r="62" spans="1:12" ht="16">
      <c r="A62" s="18"/>
      <c r="B62" s="18"/>
      <c r="C62" s="18"/>
      <c r="D62" s="18"/>
      <c r="E62" s="18"/>
    </row>
    <row r="63" spans="1:12" ht="16">
      <c r="A63" s="18"/>
      <c r="B63" s="18"/>
      <c r="C63" s="18"/>
      <c r="D63" s="18"/>
      <c r="E63" s="18"/>
    </row>
    <row r="64" spans="1:12" ht="16">
      <c r="A64" s="18"/>
      <c r="B64" s="18"/>
      <c r="C64" s="18"/>
      <c r="D64" s="18"/>
      <c r="E64" s="18"/>
    </row>
    <row r="65" spans="1:5" ht="16">
      <c r="A65" s="18"/>
      <c r="B65" s="18"/>
      <c r="C65" s="18"/>
      <c r="D65" s="18"/>
      <c r="E65" s="18"/>
    </row>
    <row r="66" spans="1:5" ht="16">
      <c r="A66" s="18"/>
      <c r="B66" s="18"/>
      <c r="C66" s="18"/>
      <c r="D66" s="18"/>
      <c r="E66" s="18"/>
    </row>
    <row r="67" spans="1:5" ht="16">
      <c r="A67" s="18"/>
      <c r="B67" s="18"/>
      <c r="C67" s="18"/>
      <c r="D67" s="18"/>
      <c r="E67" s="18"/>
    </row>
    <row r="68" spans="1:5" ht="16">
      <c r="A68" s="18"/>
      <c r="B68" s="18"/>
      <c r="C68" s="18"/>
      <c r="D68" s="18"/>
      <c r="E68" s="18"/>
    </row>
    <row r="69" spans="1:5" ht="16">
      <c r="A69" s="18"/>
      <c r="B69" s="18"/>
      <c r="C69" s="18"/>
      <c r="D69" s="18"/>
      <c r="E69" s="18"/>
    </row>
    <row r="70" spans="1:5" ht="16">
      <c r="A70" s="18"/>
      <c r="B70" s="18"/>
      <c r="C70" s="18"/>
      <c r="D70" s="18"/>
      <c r="E70" s="18"/>
    </row>
    <row r="71" spans="1:5" ht="16">
      <c r="A71" s="18"/>
      <c r="B71" s="18"/>
      <c r="C71" s="18"/>
      <c r="D71" s="18"/>
      <c r="E71" s="18"/>
    </row>
    <row r="72" spans="1:5" ht="16">
      <c r="A72" s="18"/>
      <c r="B72" s="18"/>
      <c r="C72" s="18"/>
      <c r="D72" s="18"/>
      <c r="E72" s="18"/>
    </row>
    <row r="73" spans="1:5" ht="16">
      <c r="A73" s="18"/>
      <c r="B73" s="18"/>
      <c r="C73" s="18"/>
      <c r="D73" s="18"/>
      <c r="E73" s="18"/>
    </row>
    <row r="74" spans="1:5" ht="16">
      <c r="A74" s="18"/>
      <c r="B74" s="18"/>
      <c r="C74" s="18"/>
      <c r="D74" s="18"/>
      <c r="E74" s="18"/>
    </row>
    <row r="75" spans="1:5" ht="16">
      <c r="A75" s="18"/>
      <c r="B75" s="18"/>
      <c r="C75" s="18"/>
      <c r="D75" s="18"/>
      <c r="E75" s="18"/>
    </row>
    <row r="76" spans="1:5" ht="16">
      <c r="A76" s="18"/>
      <c r="B76" s="18"/>
      <c r="C76" s="18"/>
      <c r="D76" s="18"/>
      <c r="E76" s="18"/>
    </row>
    <row r="77" spans="1:5" ht="16">
      <c r="A77" s="18"/>
      <c r="B77" s="18"/>
      <c r="C77" s="18"/>
      <c r="D77" s="18"/>
      <c r="E77" s="18"/>
    </row>
    <row r="78" spans="1:5" ht="16">
      <c r="A78" s="18"/>
      <c r="B78" s="18"/>
      <c r="C78" s="18"/>
      <c r="D78" s="18"/>
      <c r="E78" s="18"/>
    </row>
    <row r="79" spans="1:5" ht="16">
      <c r="A79" s="18"/>
      <c r="B79" s="18"/>
      <c r="C79" s="18"/>
      <c r="D79" s="18"/>
      <c r="E79" s="18"/>
    </row>
    <row r="80" spans="1:5" ht="16">
      <c r="A80" s="18"/>
      <c r="B80" s="18"/>
      <c r="C80" s="18"/>
      <c r="D80" s="18"/>
      <c r="E80" s="18"/>
    </row>
    <row r="81" spans="1:5" ht="16">
      <c r="A81" s="18"/>
      <c r="B81" s="18"/>
      <c r="C81" s="18"/>
      <c r="D81" s="18"/>
      <c r="E81" s="18"/>
    </row>
    <row r="82" spans="1:5" ht="16">
      <c r="A82" s="18"/>
      <c r="B82" s="18"/>
      <c r="C82" s="18"/>
      <c r="D82" s="18"/>
      <c r="E82" s="18"/>
    </row>
    <row r="83" spans="1:5" ht="16">
      <c r="A83" s="18"/>
      <c r="B83" s="18"/>
      <c r="C83" s="18"/>
      <c r="D83" s="18"/>
      <c r="E83" s="18"/>
    </row>
    <row r="84" spans="1:5" ht="16">
      <c r="A84" s="18"/>
      <c r="B84" s="18"/>
      <c r="C84" s="18"/>
      <c r="D84" s="18"/>
      <c r="E84" s="18"/>
    </row>
    <row r="85" spans="1:5" ht="16">
      <c r="A85" s="18"/>
      <c r="B85" s="18"/>
      <c r="C85" s="18"/>
      <c r="D85" s="18"/>
      <c r="E85" s="18"/>
    </row>
    <row r="86" spans="1:5" ht="16">
      <c r="A86" s="18"/>
      <c r="B86" s="18"/>
      <c r="C86" s="18"/>
      <c r="D86" s="18"/>
      <c r="E86" s="18"/>
    </row>
    <row r="87" spans="1:5" ht="16">
      <c r="A87" s="18"/>
      <c r="B87" s="18"/>
      <c r="C87" s="18"/>
      <c r="D87" s="18"/>
      <c r="E87" s="18"/>
    </row>
    <row r="88" spans="1:5" ht="16">
      <c r="A88" s="18"/>
      <c r="B88" s="18"/>
      <c r="C88" s="18"/>
      <c r="D88" s="18"/>
      <c r="E88" s="18"/>
    </row>
    <row r="89" spans="1:5" ht="16">
      <c r="A89" s="18"/>
      <c r="B89" s="18"/>
      <c r="C89" s="18"/>
      <c r="D89" s="18"/>
      <c r="E89" s="18"/>
    </row>
    <row r="90" spans="1:5" ht="16">
      <c r="A90" s="18"/>
      <c r="B90" s="18"/>
      <c r="C90" s="18"/>
      <c r="D90" s="18"/>
      <c r="E90" s="18"/>
    </row>
    <row r="91" spans="1:5" ht="16">
      <c r="A91" s="18"/>
      <c r="B91" s="18"/>
      <c r="C91" s="18"/>
      <c r="D91" s="18"/>
      <c r="E91" s="18"/>
    </row>
    <row r="92" spans="1:5" ht="16">
      <c r="A92" s="18"/>
      <c r="B92" s="18"/>
      <c r="C92" s="18"/>
      <c r="D92" s="18"/>
      <c r="E92" s="18"/>
    </row>
    <row r="93" spans="1:5" ht="16">
      <c r="A93" s="18"/>
      <c r="B93" s="18"/>
      <c r="C93" s="18"/>
      <c r="D93" s="18"/>
      <c r="E93" s="18"/>
    </row>
    <row r="94" spans="1:5" ht="16">
      <c r="A94" s="18"/>
      <c r="B94" s="18"/>
      <c r="C94" s="18"/>
      <c r="D94" s="18"/>
      <c r="E94" s="18"/>
    </row>
    <row r="95" spans="1:5" ht="16">
      <c r="A95" s="18"/>
      <c r="B95" s="18"/>
      <c r="C95" s="18"/>
      <c r="D95" s="18"/>
      <c r="E95" s="18"/>
    </row>
    <row r="96" spans="1:5" ht="16">
      <c r="A96" s="18"/>
      <c r="B96" s="18"/>
      <c r="C96" s="18"/>
      <c r="D96" s="18"/>
      <c r="E96" s="18"/>
    </row>
    <row r="97" spans="1:5" ht="16">
      <c r="A97" s="18"/>
      <c r="B97" s="18"/>
      <c r="C97" s="18"/>
      <c r="D97" s="18"/>
      <c r="E97" s="18"/>
    </row>
    <row r="98" spans="1:5" ht="16">
      <c r="A98" s="18"/>
      <c r="B98" s="18"/>
      <c r="C98" s="18"/>
      <c r="D98" s="18"/>
      <c r="E98" s="18"/>
    </row>
    <row r="99" spans="1:5" ht="16">
      <c r="A99" s="18"/>
      <c r="B99" s="18"/>
      <c r="C99" s="18"/>
      <c r="D99" s="18"/>
      <c r="E99" s="18"/>
    </row>
    <row r="100" spans="1:5" ht="16">
      <c r="A100" s="18"/>
      <c r="B100" s="18"/>
      <c r="C100" s="18"/>
      <c r="D100" s="18"/>
      <c r="E100" s="18"/>
    </row>
    <row r="101" spans="1:5" ht="16">
      <c r="A101" s="18"/>
      <c r="B101" s="18"/>
      <c r="C101" s="18"/>
      <c r="D101" s="18"/>
      <c r="E101" s="18"/>
    </row>
    <row r="102" spans="1:5" ht="16">
      <c r="A102" s="18"/>
      <c r="B102" s="18"/>
      <c r="C102" s="18"/>
      <c r="D102" s="18"/>
      <c r="E102" s="18"/>
    </row>
    <row r="103" spans="1:5" ht="16">
      <c r="A103" s="18"/>
      <c r="B103" s="18"/>
      <c r="C103" s="18"/>
      <c r="D103" s="18"/>
      <c r="E103" s="18"/>
    </row>
    <row r="104" spans="1:5" ht="16">
      <c r="A104" s="18"/>
      <c r="B104" s="18"/>
      <c r="C104" s="18"/>
      <c r="D104" s="18"/>
      <c r="E104" s="18"/>
    </row>
    <row r="105" spans="1:5" ht="16">
      <c r="A105" s="18"/>
      <c r="B105" s="18"/>
      <c r="C105" s="18"/>
      <c r="D105" s="18"/>
      <c r="E105" s="18"/>
    </row>
    <row r="106" spans="1:5" ht="16">
      <c r="A106" s="18"/>
      <c r="B106" s="18"/>
      <c r="C106" s="18"/>
      <c r="D106" s="18"/>
      <c r="E106" s="18"/>
    </row>
    <row r="107" spans="1:5" ht="16">
      <c r="A107" s="18"/>
      <c r="B107" s="18"/>
      <c r="C107" s="18"/>
      <c r="D107" s="18"/>
      <c r="E107" s="18"/>
    </row>
    <row r="108" spans="1:5" ht="16">
      <c r="A108" s="18"/>
      <c r="B108" s="18"/>
      <c r="C108" s="18"/>
      <c r="D108" s="18"/>
      <c r="E108" s="18"/>
    </row>
    <row r="109" spans="1:5" ht="16">
      <c r="A109" s="18"/>
      <c r="B109" s="18"/>
      <c r="C109" s="18"/>
      <c r="D109" s="18"/>
      <c r="E109" s="18"/>
    </row>
  </sheetData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151" zoomScaleNormal="151" workbookViewId="0">
      <pane ySplit="1" topLeftCell="A27" activePane="bottomLeft" state="frozen"/>
      <selection pane="bottomLeft" activeCell="G9" sqref="G9"/>
    </sheetView>
  </sheetViews>
  <sheetFormatPr baseColWidth="10" defaultColWidth="10.6640625" defaultRowHeight="15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7.5" style="1" customWidth="1"/>
    <col min="15" max="15" width="17.83203125" style="1" customWidth="1"/>
    <col min="16" max="17" width="20.5" style="1" customWidth="1"/>
  </cols>
  <sheetData>
    <row r="1" spans="1:17" ht="34">
      <c r="A1" s="24" t="s">
        <v>270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5" t="s">
        <v>323</v>
      </c>
      <c r="I1" s="5" t="s">
        <v>324</v>
      </c>
      <c r="J1" s="5" t="s">
        <v>325</v>
      </c>
      <c r="K1" s="5" t="s">
        <v>326</v>
      </c>
      <c r="L1" s="5" t="s">
        <v>327</v>
      </c>
      <c r="M1" s="5" t="s">
        <v>328</v>
      </c>
      <c r="N1" s="2" t="s">
        <v>10</v>
      </c>
      <c r="O1" s="16" t="s">
        <v>11</v>
      </c>
      <c r="P1" s="17" t="s">
        <v>12</v>
      </c>
      <c r="Q1" s="17" t="s">
        <v>230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269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9">
        <f>IF(F2=1,'Indirect Model Parameters'!$G$20,'Indirect Model Parameters'!$G$21)</f>
        <v>0.5</v>
      </c>
      <c r="I2" s="9">
        <f>IF(AND(C2&lt;3,D2=1),1,IF(AND(C2&lt;3,D2=2),0,IF(AND(C2&gt;2,D2=1,E2 = 1),1-Model_Matched_Parameters!$K$4,IF(AND(C2&gt;2,D2=1,E2 = 2),Model_Matched_Parameters!$K$5,IF(AND(C2&gt;2, D2 = 2, E2 = 1),Model_Matched_Parameters!$K$4,Model_Matched_Parameters!$K$5)))))</f>
        <v>1</v>
      </c>
      <c r="J2" s="9">
        <f>SUMIFS('Indirect Model Parameters'!$G$11:$G$29,'Indirect Model Parameters'!$D$11:$D$29,Pop_Init!E2,'Indirect Model Parameters'!$E$11:$E$29,Pop_Init!F2)</f>
        <v>1</v>
      </c>
      <c r="L2" s="9">
        <f>PRODUCT(H2:J2)</f>
        <v>0.5</v>
      </c>
      <c r="M2" s="9">
        <f>L2/SUM($L$2:$L$129)</f>
        <v>3.9165922514138946E-2</v>
      </c>
      <c r="N2" s="28">
        <f>M2*'Indirect Model Parameters'!$G$10</f>
        <v>3916.5922514138947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269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9">
        <f>IF(F3=1,'Indirect Model Parameters'!$G$20,'Indirect Model Parameters'!$G$21)</f>
        <v>0.5</v>
      </c>
      <c r="I3" s="9">
        <f>IF(AND(C3&lt;3,D3=1),1,IF(AND(C3&lt;3,D3=2),0,IF(AND(C3&gt;2,D3=1,E3 = 1),1-Model_Matched_Parameters!$K$4,IF(AND(C3&gt;2,D3=1,E3 = 2),Model_Matched_Parameters!$K$5,IF(AND(C3&gt;2, D3 = 2, E3 = 1),Model_Matched_Parameters!$K$4,Model_Matched_Parameters!$K$5)))))</f>
        <v>0</v>
      </c>
      <c r="J3" s="9">
        <f>SUMIFS('Indirect Model Parameters'!$G$11:$G$29,'Indirect Model Parameters'!$D$11:$D$29,Pop_Init!E3,'Indirect Model Parameters'!$E$11:$E$29,Pop_Init!F3)</f>
        <v>1</v>
      </c>
      <c r="L3" s="9">
        <f t="shared" ref="L3:L66" si="2">PRODUCT(H3:J3)</f>
        <v>0</v>
      </c>
      <c r="M3" s="9">
        <f t="shared" ref="M3:M66" si="3">L3/SUM($L$2:$L$129)</f>
        <v>0</v>
      </c>
      <c r="N3" s="28">
        <f>M3*'Indirect Model Parameters'!$G$10</f>
        <v>0</v>
      </c>
    </row>
    <row r="4" spans="1:17" ht="48">
      <c r="A4" s="1" t="str">
        <f t="shared" si="0"/>
        <v>Population in TB compartment  Uninfected, not on IPT with  Multidrug-resistant (MDR-TB) in HIV compartment  HIV-negative and Female</v>
      </c>
      <c r="B4" s="8" t="s">
        <v>269</v>
      </c>
      <c r="C4" s="8">
        <v>1</v>
      </c>
      <c r="D4" s="9">
        <v>2</v>
      </c>
      <c r="E4" s="9">
        <v>1</v>
      </c>
      <c r="F4" s="9">
        <v>2</v>
      </c>
      <c r="G4" s="9" t="str">
        <f t="shared" si="1"/>
        <v>N,1,2,1,2</v>
      </c>
      <c r="H4" s="9">
        <f>IF(F4=1,'Indirect Model Parameters'!$G$20,'Indirect Model Parameters'!$G$21)</f>
        <v>0.5</v>
      </c>
      <c r="I4" s="9">
        <f>IF(AND(C4&lt;3,D4=1),1,IF(AND(C4&lt;3,D4=2),0,IF(AND(C4&gt;2,D4=1,E4 = 1),1-Model_Matched_Parameters!$K$4,IF(AND(C4&gt;2,D4=1,E4 = 2),Model_Matched_Parameters!$K$5,IF(AND(C4&gt;2, D4 = 2, E4 = 1),Model_Matched_Parameters!$K$4,Model_Matched_Parameters!$K$5)))))</f>
        <v>0</v>
      </c>
      <c r="J4" s="9">
        <f>SUMIFS('Indirect Model Parameters'!$G$11:$G$29,'Indirect Model Parameters'!$D$11:$D$29,Pop_Init!E35,'Indirect Model Parameters'!$E$11:$E$29,Pop_Init!F35)</f>
        <v>1</v>
      </c>
      <c r="L4" s="9">
        <f t="shared" si="2"/>
        <v>0</v>
      </c>
      <c r="M4" s="9">
        <f t="shared" si="3"/>
        <v>0</v>
      </c>
      <c r="N4" s="28">
        <f>M4*'Indirect Model Parameters'!$G$10</f>
        <v>0</v>
      </c>
    </row>
    <row r="5" spans="1:17" ht="32">
      <c r="A5" s="1" t="str">
        <f t="shared" si="0"/>
        <v>Population in TB compartment  Uninfected, not on IPT with Drug-susceptible (DS) in HIV compartment  HIV-negative and Female</v>
      </c>
      <c r="B5" s="8" t="s">
        <v>269</v>
      </c>
      <c r="C5" s="8">
        <v>1</v>
      </c>
      <c r="D5" s="9">
        <v>1</v>
      </c>
      <c r="E5" s="9">
        <v>1</v>
      </c>
      <c r="F5" s="9">
        <v>2</v>
      </c>
      <c r="G5" s="9" t="str">
        <f t="shared" si="1"/>
        <v>N,1,1,1,2</v>
      </c>
      <c r="H5" s="9">
        <f>IF(F5=1,'Indirect Model Parameters'!$G$20,'Indirect Model Parameters'!$G$21)</f>
        <v>0.5</v>
      </c>
      <c r="I5" s="9">
        <f>IF(AND(C5&lt;3,D5=1),1,IF(AND(C5&lt;3,D5=2),0,IF(AND(C5&gt;2,D5=1,E5 = 1),1-Model_Matched_Parameters!$K$4,IF(AND(C5&gt;2,D5=1,E5 = 2),Model_Matched_Parameters!$K$5,IF(AND(C5&gt;2, D5 = 2, E5 = 1),Model_Matched_Parameters!$K$4,Model_Matched_Parameters!$K$5)))))</f>
        <v>1</v>
      </c>
      <c r="J5" s="9">
        <f>SUMIFS('Indirect Model Parameters'!$G$11:$G$29,'Indirect Model Parameters'!$D$11:$D$29,Pop_Init!E66,'Indirect Model Parameters'!$E$11:$E$29,Pop_Init!F66)</f>
        <v>1</v>
      </c>
      <c r="L5" s="9">
        <f t="shared" si="2"/>
        <v>0.5</v>
      </c>
      <c r="M5" s="9">
        <f t="shared" si="3"/>
        <v>3.9165922514138946E-2</v>
      </c>
      <c r="N5" s="28">
        <f>M5*'Indirect Model Parameters'!$G$10</f>
        <v>3916.5922514138947</v>
      </c>
    </row>
    <row r="6" spans="1:17" ht="48">
      <c r="A6" s="1" t="str">
        <f t="shared" si="0"/>
        <v>Population in TB compartment  Uninfected, not on IPT with  Multidrug-resistant (MDR-TB) in HIV compartment  PLHIV not on ART, CD4&gt;200 and Male</v>
      </c>
      <c r="B6" s="8" t="s">
        <v>269</v>
      </c>
      <c r="C6" s="8">
        <v>1</v>
      </c>
      <c r="D6" s="9">
        <v>2</v>
      </c>
      <c r="E6" s="9">
        <v>2</v>
      </c>
      <c r="F6" s="9">
        <v>1</v>
      </c>
      <c r="G6" s="9" t="str">
        <f t="shared" si="1"/>
        <v>N,1,2,2,1</v>
      </c>
      <c r="H6" s="9">
        <f>IF(F6=1,'Indirect Model Parameters'!$G$20,'Indirect Model Parameters'!$G$21)</f>
        <v>0.5</v>
      </c>
      <c r="I6" s="9">
        <f>IF(AND(C6&lt;3,D6=1),1,IF(AND(C6&lt;3,D6=2),0,IF(AND(C6&gt;2,D6=1,E6 = 1),1-Model_Matched_Parameters!$K$4,IF(AND(C6&gt;2,D6=1,E6 = 2),Model_Matched_Parameters!$K$5,IF(AND(C6&gt;2, D6 = 2, E6 = 1),Model_Matched_Parameters!$K$4,Model_Matched_Parameters!$K$5)))))</f>
        <v>0</v>
      </c>
      <c r="J6" s="9">
        <f>SUMIFS('Indirect Model Parameters'!$G$11:$G$29,'Indirect Model Parameters'!$D$11:$D$29,Pop_Init!E5,'Indirect Model Parameters'!$E$11:$E$29,Pop_Init!F5)</f>
        <v>1</v>
      </c>
      <c r="L6" s="9">
        <f t="shared" si="2"/>
        <v>0</v>
      </c>
      <c r="M6" s="9">
        <f t="shared" si="3"/>
        <v>0</v>
      </c>
      <c r="N6" s="28">
        <f>M6*'Indirect Model Parameters'!$G$10</f>
        <v>0</v>
      </c>
    </row>
    <row r="7" spans="1:17" ht="48">
      <c r="A7" s="1" t="str">
        <f t="shared" si="0"/>
        <v>Population in TB compartment  Uninfected, not on IPT with Drug-susceptible (DS) in HIV compartment  PLHIV not on ART, CD4&gt;200 and Male</v>
      </c>
      <c r="B7" s="8" t="s">
        <v>269</v>
      </c>
      <c r="C7" s="8">
        <v>1</v>
      </c>
      <c r="D7" s="9">
        <v>1</v>
      </c>
      <c r="E7" s="9">
        <v>2</v>
      </c>
      <c r="F7" s="9">
        <v>1</v>
      </c>
      <c r="G7" s="9" t="str">
        <f t="shared" si="1"/>
        <v>N,1,1,2,1</v>
      </c>
      <c r="H7" s="9">
        <f>IF(F7=1,'Indirect Model Parameters'!$G$20,'Indirect Model Parameters'!$G$21)</f>
        <v>0.5</v>
      </c>
      <c r="I7" s="9">
        <f>IF(AND(C7&lt;3,D7=1),1,IF(AND(C7&lt;3,D7=2),0,IF(AND(C7&gt;2,D7=1,E7 = 1),1-Model_Matched_Parameters!$K$4,IF(AND(C7&gt;2,D7=1,E7 = 2),Model_Matched_Parameters!$K$5,IF(AND(C7&gt;2, D7 = 2, E7 = 1),Model_Matched_Parameters!$K$4,Model_Matched_Parameters!$K$5)))))</f>
        <v>1</v>
      </c>
      <c r="J7" s="9">
        <f>SUMIFS('Indirect Model Parameters'!$G$11:$G$29,'Indirect Model Parameters'!$D$11:$D$29,Pop_Init!E18,'Indirect Model Parameters'!$E$11:$E$29,Pop_Init!F18)</f>
        <v>1</v>
      </c>
      <c r="L7" s="9">
        <f t="shared" si="2"/>
        <v>0.5</v>
      </c>
      <c r="M7" s="9">
        <f t="shared" si="3"/>
        <v>3.9165922514138946E-2</v>
      </c>
      <c r="N7" s="28">
        <f>M7*'Indirect Model Parameters'!$G$10</f>
        <v>3916.5922514138947</v>
      </c>
    </row>
    <row r="8" spans="1:17" ht="48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269</v>
      </c>
      <c r="C8" s="8">
        <v>1</v>
      </c>
      <c r="D8" s="9">
        <v>2</v>
      </c>
      <c r="E8" s="9">
        <v>2</v>
      </c>
      <c r="F8" s="9">
        <v>2</v>
      </c>
      <c r="G8" s="9" t="str">
        <f t="shared" si="1"/>
        <v>N,1,2,2,2</v>
      </c>
      <c r="H8" s="9">
        <f>IF(F8=1,'Indirect Model Parameters'!$G$20,'Indirect Model Parameters'!$G$21)</f>
        <v>0.5</v>
      </c>
      <c r="I8" s="9">
        <f>IF(AND(C8&lt;3,D8=1),1,IF(AND(C8&lt;3,D8=2),0,IF(AND(C8&gt;2,D8=1,E8 = 1),1-Model_Matched_Parameters!$K$4,IF(AND(C8&gt;2,D8=1,E8 = 2),Model_Matched_Parameters!$K$5,IF(AND(C8&gt;2, D8 = 2, E8 = 1),Model_Matched_Parameters!$K$4,Model_Matched_Parameters!$K$5)))))</f>
        <v>0</v>
      </c>
      <c r="J8" s="9">
        <f>SUMIFS('Indirect Model Parameters'!$G$11:$G$29,'Indirect Model Parameters'!$D$11:$D$29,Pop_Init!E37,'Indirect Model Parameters'!$E$11:$E$29,Pop_Init!F37)</f>
        <v>1</v>
      </c>
      <c r="L8" s="9">
        <f t="shared" si="2"/>
        <v>0</v>
      </c>
      <c r="M8" s="9">
        <f t="shared" si="3"/>
        <v>0</v>
      </c>
      <c r="N8" s="28">
        <f>M8*'Indirect Model Parameters'!$G$10</f>
        <v>0</v>
      </c>
    </row>
    <row r="9" spans="1:17" ht="48">
      <c r="A9" s="1" t="str">
        <f t="shared" si="0"/>
        <v>Population in TB compartment  Uninfected, not on IPT with Drug-susceptible (DS) in HIV compartment  PLHIV not on ART, CD4&gt;200 and Female</v>
      </c>
      <c r="B9" s="8" t="s">
        <v>269</v>
      </c>
      <c r="C9" s="8">
        <v>1</v>
      </c>
      <c r="D9" s="9">
        <v>1</v>
      </c>
      <c r="E9" s="9">
        <v>2</v>
      </c>
      <c r="F9" s="9">
        <v>2</v>
      </c>
      <c r="G9" s="9" t="str">
        <f t="shared" si="1"/>
        <v>N,1,1,2,2</v>
      </c>
      <c r="H9" s="9">
        <f>IF(F9=1,'Indirect Model Parameters'!$G$20,'Indirect Model Parameters'!$G$21)</f>
        <v>0.5</v>
      </c>
      <c r="I9" s="9">
        <f>IF(AND(C9&lt;3,D9=1),1,IF(AND(C9&lt;3,D9=2),0,IF(AND(C9&gt;2,D9=1,E9 = 1),1-Model_Matched_Parameters!$K$4,IF(AND(C9&gt;2,D9=1,E9 = 2),Model_Matched_Parameters!$K$5,IF(AND(C9&gt;2, D9 = 2, E9 = 1),Model_Matched_Parameters!$K$4,Model_Matched_Parameters!$K$5)))))</f>
        <v>1</v>
      </c>
      <c r="J9" s="9">
        <f>SUMIFS('Indirect Model Parameters'!$G$11:$G$29,'Indirect Model Parameters'!$D$11:$D$29,Pop_Init!E82,'Indirect Model Parameters'!$E$11:$E$29,Pop_Init!F82)</f>
        <v>1</v>
      </c>
      <c r="L9" s="9">
        <f t="shared" si="2"/>
        <v>0.5</v>
      </c>
      <c r="M9" s="9">
        <f t="shared" si="3"/>
        <v>3.9165922514138946E-2</v>
      </c>
      <c r="N9" s="28">
        <f>M9*'Indirect Model Parameters'!$G$10</f>
        <v>3916.5922514138947</v>
      </c>
    </row>
    <row r="10" spans="1:17" ht="48">
      <c r="A10" s="1" t="str">
        <f t="shared" si="0"/>
        <v>Population in TB compartment  Uninfected, not on IPT with  Multidrug-resistant (MDR-TB) in HIV compartment  PLHIV not on ART, CD4≤200 and Male</v>
      </c>
      <c r="B10" s="8" t="s">
        <v>269</v>
      </c>
      <c r="C10" s="8">
        <v>1</v>
      </c>
      <c r="D10" s="9">
        <v>2</v>
      </c>
      <c r="E10" s="9">
        <v>3</v>
      </c>
      <c r="F10" s="9">
        <v>1</v>
      </c>
      <c r="G10" s="9" t="str">
        <f t="shared" si="1"/>
        <v>N,1,2,3,1</v>
      </c>
      <c r="H10" s="9">
        <f>IF(F10=1,'Indirect Model Parameters'!$G$20,'Indirect Model Parameters'!$G$21)</f>
        <v>0.5</v>
      </c>
      <c r="I10" s="9">
        <f>IF(AND(C10&lt;3,D10=1),1,IF(AND(C10&lt;3,D10=2),0,IF(AND(C10&gt;2,D10=1,E10 = 1),1-Model_Matched_Parameters!$K$4,IF(AND(C10&gt;2,D10=1,E10 = 2),Model_Matched_Parameters!$K$5,IF(AND(C10&gt;2, D10 = 2, E10 = 1),Model_Matched_Parameters!$K$4,Model_Matched_Parameters!$K$5)))))</f>
        <v>0</v>
      </c>
      <c r="J10" s="9">
        <f>SUMIFS('Indirect Model Parameters'!$G$11:$G$29,'Indirect Model Parameters'!$D$11:$D$29,Pop_Init!E19,'Indirect Model Parameters'!$E$11:$E$29,Pop_Init!F19)</f>
        <v>1</v>
      </c>
      <c r="L10" s="9">
        <f t="shared" si="2"/>
        <v>0</v>
      </c>
      <c r="M10" s="9">
        <f t="shared" si="3"/>
        <v>0</v>
      </c>
      <c r="N10" s="28">
        <f>M10*'Indirect Model Parameters'!$G$10</f>
        <v>0</v>
      </c>
    </row>
    <row r="11" spans="1:17" ht="48">
      <c r="A11" s="1" t="str">
        <f t="shared" si="0"/>
        <v>Population in TB compartment  Uninfected, not on IPT with Drug-susceptible (DS) in HIV compartment  PLHIV not on ART, CD4≤200 and Male</v>
      </c>
      <c r="B11" s="8" t="s">
        <v>269</v>
      </c>
      <c r="C11" s="8">
        <v>1</v>
      </c>
      <c r="D11" s="9">
        <v>1</v>
      </c>
      <c r="E11" s="9">
        <v>3</v>
      </c>
      <c r="F11" s="9">
        <v>1</v>
      </c>
      <c r="G11" s="9" t="str">
        <f t="shared" si="1"/>
        <v>N,1,1,3,1</v>
      </c>
      <c r="H11" s="9">
        <f>IF(F11=1,'Indirect Model Parameters'!$G$20,'Indirect Model Parameters'!$G$21)</f>
        <v>0.5</v>
      </c>
      <c r="I11" s="9">
        <f>IF(AND(C11&lt;3,D11=1),1,IF(AND(C11&lt;3,D11=2),0,IF(AND(C11&gt;2,D11=1,E11 = 1),1-Model_Matched_Parameters!$K$4,IF(AND(C11&gt;2,D11=1,E11 = 2),Model_Matched_Parameters!$K$5,IF(AND(C11&gt;2, D11 = 2, E11 = 1),Model_Matched_Parameters!$K$4,Model_Matched_Parameters!$K$5)))))</f>
        <v>1</v>
      </c>
      <c r="J11" s="9">
        <f>SUMIFS('Indirect Model Parameters'!$G$11:$G$29,'Indirect Model Parameters'!$D$11:$D$29,Pop_Init!E34,'Indirect Model Parameters'!$E$11:$E$29,Pop_Init!F34)</f>
        <v>1</v>
      </c>
      <c r="L11" s="9">
        <f t="shared" si="2"/>
        <v>0.5</v>
      </c>
      <c r="M11" s="9">
        <f t="shared" si="3"/>
        <v>3.9165922514138946E-2</v>
      </c>
      <c r="N11" s="28">
        <f>M11*'Indirect Model Parameters'!$G$10</f>
        <v>3916.5922514138947</v>
      </c>
    </row>
    <row r="12" spans="1:17" ht="48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269</v>
      </c>
      <c r="C12" s="8">
        <v>1</v>
      </c>
      <c r="D12" s="9">
        <v>2</v>
      </c>
      <c r="E12" s="9">
        <v>3</v>
      </c>
      <c r="F12" s="9">
        <v>2</v>
      </c>
      <c r="G12" s="9" t="str">
        <f t="shared" si="1"/>
        <v>N,1,2,3,2</v>
      </c>
      <c r="H12" s="9">
        <f>IF(F12=1,'Indirect Model Parameters'!$G$20,'Indirect Model Parameters'!$G$21)</f>
        <v>0.5</v>
      </c>
      <c r="I12" s="9">
        <f>IF(AND(C12&lt;3,D12=1),1,IF(AND(C12&lt;3,D12=2),0,IF(AND(C12&gt;2,D12=1,E12 = 1),1-Model_Matched_Parameters!$K$4,IF(AND(C12&gt;2,D12=1,E12 = 2),Model_Matched_Parameters!$K$5,IF(AND(C12&gt;2, D12 = 2, E12 = 1),Model_Matched_Parameters!$K$4,Model_Matched_Parameters!$K$5)))))</f>
        <v>0</v>
      </c>
      <c r="J12" s="9">
        <f>SUMIFS('Indirect Model Parameters'!$G$11:$G$29,'Indirect Model Parameters'!$D$11:$D$29,Pop_Init!E51,'Indirect Model Parameters'!$E$11:$E$29,Pop_Init!F51)</f>
        <v>1</v>
      </c>
      <c r="L12" s="9">
        <f t="shared" si="2"/>
        <v>0</v>
      </c>
      <c r="M12" s="9">
        <f t="shared" si="3"/>
        <v>0</v>
      </c>
      <c r="N12" s="28">
        <f>M12*'Indirect Model Parameters'!$G$10</f>
        <v>0</v>
      </c>
    </row>
    <row r="13" spans="1:17" ht="48">
      <c r="A13" s="1" t="str">
        <f t="shared" si="0"/>
        <v>Population in TB compartment  Uninfected, not on IPT with Drug-susceptible (DS) in HIV compartment  PLHIV not on ART, CD4≤200 and Female</v>
      </c>
      <c r="B13" s="8" t="s">
        <v>269</v>
      </c>
      <c r="C13" s="8">
        <v>1</v>
      </c>
      <c r="D13" s="9">
        <v>1</v>
      </c>
      <c r="E13" s="9">
        <v>3</v>
      </c>
      <c r="F13" s="9">
        <v>2</v>
      </c>
      <c r="G13" s="9" t="str">
        <f t="shared" si="1"/>
        <v>N,1,1,3,2</v>
      </c>
      <c r="H13" s="9">
        <f>IF(F13=1,'Indirect Model Parameters'!$G$20,'Indirect Model Parameters'!$G$21)</f>
        <v>0.5</v>
      </c>
      <c r="I13" s="9">
        <f>IF(AND(C13&lt;3,D13=1),1,IF(AND(C13&lt;3,D13=2),0,IF(AND(C13&gt;2,D13=1,E13 = 1),1-Model_Matched_Parameters!$K$4,IF(AND(C13&gt;2,D13=1,E13 = 2),Model_Matched_Parameters!$K$5,IF(AND(C13&gt;2, D13 = 2, E13 = 1),Model_Matched_Parameters!$K$4,Model_Matched_Parameters!$K$5)))))</f>
        <v>1</v>
      </c>
      <c r="J13" s="9">
        <f>SUMIFS('Indirect Model Parameters'!$G$11:$G$29,'Indirect Model Parameters'!$D$11:$D$29,Pop_Init!E98,'Indirect Model Parameters'!$E$11:$E$29,Pop_Init!F98)</f>
        <v>1</v>
      </c>
      <c r="L13" s="9">
        <f t="shared" si="2"/>
        <v>0.5</v>
      </c>
      <c r="M13" s="9">
        <f t="shared" si="3"/>
        <v>3.9165922514138946E-2</v>
      </c>
      <c r="N13" s="28">
        <f>M13*'Indirect Model Parameters'!$G$10</f>
        <v>3916.5922514138947</v>
      </c>
    </row>
    <row r="14" spans="1:17" ht="48">
      <c r="A14" s="1" t="str">
        <f t="shared" si="0"/>
        <v>Population in TB compartment  Uninfected, not on IPT with  Multidrug-resistant (MDR-TB) in HIV compartment  PLHIV and on ART and Male</v>
      </c>
      <c r="B14" s="8" t="s">
        <v>269</v>
      </c>
      <c r="C14" s="8">
        <v>1</v>
      </c>
      <c r="D14" s="9">
        <v>2</v>
      </c>
      <c r="E14" s="9">
        <v>4</v>
      </c>
      <c r="F14" s="9">
        <v>1</v>
      </c>
      <c r="G14" s="9" t="str">
        <f t="shared" si="1"/>
        <v>N,1,2,4,1</v>
      </c>
      <c r="H14" s="9">
        <f>IF(F14=1,'Indirect Model Parameters'!$G$20,'Indirect Model Parameters'!$G$21)</f>
        <v>0.5</v>
      </c>
      <c r="I14" s="9">
        <f>IF(AND(C14&lt;3,D14=1),1,IF(AND(C14&lt;3,D14=2),0,IF(AND(C14&gt;2,D14=1,E14 = 1),1-Model_Matched_Parameters!$K$4,IF(AND(C14&gt;2,D14=1,E14 = 2),Model_Matched_Parameters!$K$5,IF(AND(C14&gt;2, D14 = 2, E14 = 1),Model_Matched_Parameters!$K$4,Model_Matched_Parameters!$K$5)))))</f>
        <v>0</v>
      </c>
      <c r="J14" s="9">
        <f>SUMIFS('Indirect Model Parameters'!$G$11:$G$29,'Indirect Model Parameters'!$D$11:$D$29,Pop_Init!E21,'Indirect Model Parameters'!$E$11:$E$29,Pop_Init!F21)</f>
        <v>1</v>
      </c>
      <c r="L14" s="9">
        <f t="shared" si="2"/>
        <v>0</v>
      </c>
      <c r="M14" s="9">
        <f t="shared" si="3"/>
        <v>0</v>
      </c>
      <c r="N14" s="28">
        <f>M14*'Indirect Model Parameters'!$G$10</f>
        <v>0</v>
      </c>
    </row>
    <row r="15" spans="1:17" ht="32">
      <c r="A15" s="1" t="str">
        <f t="shared" si="0"/>
        <v>Population in TB compartment  Uninfected, not on IPT with Drug-susceptible (DS) in HIV compartment  PLHIV and on ART and Male</v>
      </c>
      <c r="B15" s="8" t="s">
        <v>269</v>
      </c>
      <c r="C15" s="8">
        <v>1</v>
      </c>
      <c r="D15" s="9">
        <v>1</v>
      </c>
      <c r="E15" s="9">
        <v>4</v>
      </c>
      <c r="F15" s="9">
        <v>1</v>
      </c>
      <c r="G15" s="9" t="str">
        <f t="shared" si="1"/>
        <v>N,1,1,4,1</v>
      </c>
      <c r="H15" s="9">
        <f>IF(F15=1,'Indirect Model Parameters'!$G$20,'Indirect Model Parameters'!$G$21)</f>
        <v>0.5</v>
      </c>
      <c r="I15" s="9">
        <f>IF(AND(C15&lt;3,D15=1),1,IF(AND(C15&lt;3,D15=2),0,IF(AND(C15&gt;2,D15=1,E15 = 1),1-Model_Matched_Parameters!$K$4,IF(AND(C15&gt;2,D15=1,E15 = 2),Model_Matched_Parameters!$K$5,IF(AND(C15&gt;2, D15 = 2, E15 = 1),Model_Matched_Parameters!$K$4,Model_Matched_Parameters!$K$5)))))</f>
        <v>1</v>
      </c>
      <c r="J15" s="9">
        <f>SUMIFS('Indirect Model Parameters'!$G$11:$G$29,'Indirect Model Parameters'!$D$11:$D$29,Pop_Init!E50,'Indirect Model Parameters'!$E$11:$E$29,Pop_Init!F50)</f>
        <v>1</v>
      </c>
      <c r="L15" s="9">
        <f t="shared" si="2"/>
        <v>0.5</v>
      </c>
      <c r="M15" s="9">
        <f t="shared" si="3"/>
        <v>3.9165922514138946E-2</v>
      </c>
      <c r="N15" s="28">
        <f>M15*'Indirect Model Parameters'!$G$10</f>
        <v>3916.5922514138947</v>
      </c>
    </row>
    <row r="16" spans="1:17" ht="48">
      <c r="A16" s="1" t="str">
        <f t="shared" si="0"/>
        <v>Population in TB compartment  Uninfected, not on IPT with  Multidrug-resistant (MDR-TB) in HIV compartment  PLHIV and on ART and Female</v>
      </c>
      <c r="B16" s="8" t="s">
        <v>269</v>
      </c>
      <c r="C16" s="8">
        <v>1</v>
      </c>
      <c r="D16" s="9">
        <v>2</v>
      </c>
      <c r="E16" s="9">
        <v>4</v>
      </c>
      <c r="F16" s="9">
        <v>2</v>
      </c>
      <c r="G16" s="9" t="str">
        <f t="shared" si="1"/>
        <v>N,1,2,4,2</v>
      </c>
      <c r="H16" s="9">
        <f>IF(F16=1,'Indirect Model Parameters'!$G$20,'Indirect Model Parameters'!$G$21)</f>
        <v>0.5</v>
      </c>
      <c r="I16" s="9">
        <f>IF(AND(C16&lt;3,D16=1),1,IF(AND(C16&lt;3,D16=2),0,IF(AND(C16&gt;2,D16=1,E16 = 1),1-Model_Matched_Parameters!$K$4,IF(AND(C16&gt;2,D16=1,E16 = 2),Model_Matched_Parameters!$K$5,IF(AND(C16&gt;2, D16 = 2, E16 = 1),Model_Matched_Parameters!$K$4,Model_Matched_Parameters!$K$5)))))</f>
        <v>0</v>
      </c>
      <c r="J16" s="9">
        <f>SUMIFS('Indirect Model Parameters'!$G$11:$G$29,'Indirect Model Parameters'!$D$11:$D$29,Pop_Init!E53,'Indirect Model Parameters'!$E$11:$E$29,Pop_Init!F53)</f>
        <v>1</v>
      </c>
      <c r="L16" s="9">
        <f t="shared" si="2"/>
        <v>0</v>
      </c>
      <c r="M16" s="9">
        <f t="shared" si="3"/>
        <v>0</v>
      </c>
      <c r="N16" s="28">
        <f>M16*'Indirect Model Parameters'!$G$10</f>
        <v>0</v>
      </c>
    </row>
    <row r="17" spans="1:14" ht="48">
      <c r="A17" s="1" t="str">
        <f t="shared" si="0"/>
        <v>Population in TB compartment  Uninfected, not on IPT with Drug-susceptible (DS) in HIV compartment  PLHIV and on ART and Female</v>
      </c>
      <c r="B17" s="8" t="s">
        <v>269</v>
      </c>
      <c r="C17" s="8">
        <v>1</v>
      </c>
      <c r="D17" s="9">
        <v>1</v>
      </c>
      <c r="E17" s="9">
        <v>4</v>
      </c>
      <c r="F17" s="9">
        <v>2</v>
      </c>
      <c r="G17" s="9" t="str">
        <f t="shared" si="1"/>
        <v>N,1,1,4,2</v>
      </c>
      <c r="H17" s="9">
        <f>IF(F17=1,'Indirect Model Parameters'!$G$20,'Indirect Model Parameters'!$G$21)</f>
        <v>0.5</v>
      </c>
      <c r="I17" s="9">
        <f>IF(AND(C17&lt;3,D17=1),1,IF(AND(C17&lt;3,D17=2),0,IF(AND(C17&gt;2,D17=1,E17 = 1),1-Model_Matched_Parameters!$K$4,IF(AND(C17&gt;2,D17=1,E17 = 2),Model_Matched_Parameters!$K$5,IF(AND(C17&gt;2, D17 = 2, E17 = 1),Model_Matched_Parameters!$K$4,Model_Matched_Parameters!$K$5)))))</f>
        <v>1</v>
      </c>
      <c r="J17" s="9">
        <f>SUMIFS('Indirect Model Parameters'!$G$11:$G$29,'Indirect Model Parameters'!$D$11:$D$29,Pop_Init!E114,'Indirect Model Parameters'!$E$11:$E$29,Pop_Init!F114)</f>
        <v>1</v>
      </c>
      <c r="L17" s="9">
        <f t="shared" si="2"/>
        <v>0.5</v>
      </c>
      <c r="M17" s="9">
        <f t="shared" si="3"/>
        <v>3.9165922514138946E-2</v>
      </c>
      <c r="N17" s="28">
        <f>M17*'Indirect Model Parameters'!$G$10</f>
        <v>3916.5922514138947</v>
      </c>
    </row>
    <row r="18" spans="1:14" ht="32">
      <c r="A18" s="1" t="str">
        <f t="shared" si="0"/>
        <v>Population in TB compartment  Uninfected, on IPT with Drug-susceptible (DS) in HIV compartment  HIV-negative and Male</v>
      </c>
      <c r="B18" s="8" t="s">
        <v>269</v>
      </c>
      <c r="C18" s="8">
        <v>2</v>
      </c>
      <c r="D18" s="9">
        <v>1</v>
      </c>
      <c r="E18" s="9">
        <v>1</v>
      </c>
      <c r="F18" s="9">
        <v>1</v>
      </c>
      <c r="G18" s="9" t="str">
        <f t="shared" si="1"/>
        <v>N,2,1,1,1</v>
      </c>
      <c r="H18" s="9">
        <f>IF(F18=1,'Indirect Model Parameters'!$G$20,'Indirect Model Parameters'!$G$21)</f>
        <v>0.5</v>
      </c>
      <c r="I18" s="9">
        <f>IF(AND(C18&lt;3,D18=1),1,IF(AND(C18&lt;3,D18=2),0,IF(AND(C18&gt;2,D18=1,E18 = 1),1-Model_Matched_Parameters!$K$4,IF(AND(C18&gt;2,D18=1,E18 = 2),Model_Matched_Parameters!$K$5,IF(AND(C18&gt;2, D18 = 2, E18 = 1),Model_Matched_Parameters!$K$4,Model_Matched_Parameters!$K$5)))))</f>
        <v>1</v>
      </c>
      <c r="J18" s="9">
        <f>SUMIFS('Indirect Model Parameters'!$G$11:$G$29,'Indirect Model Parameters'!$D$11:$D$29,Pop_Init!E4,'Indirect Model Parameters'!$E$11:$E$29,Pop_Init!F4)</f>
        <v>1</v>
      </c>
      <c r="L18" s="9">
        <f t="shared" si="2"/>
        <v>0.5</v>
      </c>
      <c r="M18" s="9">
        <f t="shared" si="3"/>
        <v>3.9165922514138946E-2</v>
      </c>
      <c r="N18" s="28">
        <f>M18*'Indirect Model Parameters'!$G$10</f>
        <v>3916.5922514138947</v>
      </c>
    </row>
    <row r="19" spans="1:14" ht="48">
      <c r="A19" s="1" t="str">
        <f t="shared" si="0"/>
        <v>Population in TB compartment  Uninfected, on IPT with  Multidrug-resistant (MDR-TB) in HIV compartment  HIV-negative and Male</v>
      </c>
      <c r="B19" s="8" t="s">
        <v>269</v>
      </c>
      <c r="C19" s="8">
        <v>2</v>
      </c>
      <c r="D19" s="9">
        <v>2</v>
      </c>
      <c r="E19" s="9">
        <v>1</v>
      </c>
      <c r="F19" s="9">
        <v>1</v>
      </c>
      <c r="G19" s="9" t="str">
        <f t="shared" si="1"/>
        <v>N,2,2,1,1</v>
      </c>
      <c r="H19" s="9">
        <f>IF(F19=1,'Indirect Model Parameters'!$G$20,'Indirect Model Parameters'!$G$21)</f>
        <v>0.5</v>
      </c>
      <c r="I19" s="9">
        <f>IF(AND(C19&lt;3,D19=1),1,IF(AND(C19&lt;3,D19=2),0,IF(AND(C19&gt;2,D19=1,E19 = 1),1-Model_Matched_Parameters!$K$4,IF(AND(C19&gt;2,D19=1,E19 = 2),Model_Matched_Parameters!$K$5,IF(AND(C19&gt;2, D19 = 2, E19 = 1),Model_Matched_Parameters!$K$4,Model_Matched_Parameters!$K$5)))))</f>
        <v>0</v>
      </c>
      <c r="J19" s="9">
        <f>SUMIFS('Indirect Model Parameters'!$G$11:$G$29,'Indirect Model Parameters'!$D$11:$D$29,Pop_Init!E67,'Indirect Model Parameters'!$E$11:$E$29,Pop_Init!F67)</f>
        <v>1</v>
      </c>
      <c r="L19" s="9">
        <f t="shared" si="2"/>
        <v>0</v>
      </c>
      <c r="M19" s="9">
        <f t="shared" si="3"/>
        <v>0</v>
      </c>
      <c r="N19" s="28">
        <f>M19*'Indirect Model Parameters'!$G$10</f>
        <v>0</v>
      </c>
    </row>
    <row r="20" spans="1:14" ht="32">
      <c r="A20" s="1" t="str">
        <f t="shared" si="0"/>
        <v>Population in TB compartment  Uninfected, on IPT with Drug-susceptible (DS) in HIV compartment  HIV-negative and Female</v>
      </c>
      <c r="B20" s="8" t="s">
        <v>269</v>
      </c>
      <c r="C20" s="8">
        <v>2</v>
      </c>
      <c r="D20" s="9">
        <v>1</v>
      </c>
      <c r="E20" s="9">
        <v>1</v>
      </c>
      <c r="F20" s="9">
        <v>2</v>
      </c>
      <c r="G20" s="9" t="str">
        <f t="shared" si="1"/>
        <v>N,2,1,1,2</v>
      </c>
      <c r="H20" s="9">
        <f>IF(F20=1,'Indirect Model Parameters'!$G$20,'Indirect Model Parameters'!$G$21)</f>
        <v>0.5</v>
      </c>
      <c r="I20" s="9">
        <f>IF(AND(C20&lt;3,D20=1),1,IF(AND(C20&lt;3,D20=2),0,IF(AND(C20&gt;2,D20=1,E20 = 1),1-Model_Matched_Parameters!$K$4,IF(AND(C20&gt;2,D20=1,E20 = 2),Model_Matched_Parameters!$K$5,IF(AND(C20&gt;2, D20 = 2, E20 = 1),Model_Matched_Parameters!$K$4,Model_Matched_Parameters!$K$5)))))</f>
        <v>1</v>
      </c>
      <c r="J20" s="9">
        <f>SUMIFS('Indirect Model Parameters'!$G$11:$G$29,'Indirect Model Parameters'!$D$11:$D$29,Pop_Init!E68,'Indirect Model Parameters'!$E$11:$E$29,Pop_Init!F68)</f>
        <v>1</v>
      </c>
      <c r="L20" s="9">
        <f t="shared" si="2"/>
        <v>0.5</v>
      </c>
      <c r="M20" s="9">
        <f t="shared" si="3"/>
        <v>3.9165922514138946E-2</v>
      </c>
      <c r="N20" s="28">
        <f>M20*'Indirect Model Parameters'!$G$10</f>
        <v>3916.5922514138947</v>
      </c>
    </row>
    <row r="21" spans="1:14" ht="48">
      <c r="A21" s="1" t="str">
        <f t="shared" si="0"/>
        <v>Population in TB compartment  Uninfected, on IPT with  Multidrug-resistant (MDR-TB) in HIV compartment  HIV-negative and Female</v>
      </c>
      <c r="B21" s="8" t="s">
        <v>269</v>
      </c>
      <c r="C21" s="8">
        <v>2</v>
      </c>
      <c r="D21" s="9">
        <v>2</v>
      </c>
      <c r="E21" s="9">
        <v>1</v>
      </c>
      <c r="F21" s="9">
        <v>2</v>
      </c>
      <c r="G21" s="9" t="str">
        <f t="shared" si="1"/>
        <v>N,2,2,1,2</v>
      </c>
      <c r="H21" s="9">
        <f>IF(F21=1,'Indirect Model Parameters'!$G$20,'Indirect Model Parameters'!$G$21)</f>
        <v>0.5</v>
      </c>
      <c r="I21" s="9">
        <f>IF(AND(C21&lt;3,D21=1),1,IF(AND(C21&lt;3,D21=2),0,IF(AND(C21&gt;2,D21=1,E21 = 1),1-Model_Matched_Parameters!$K$4,IF(AND(C21&gt;2,D21=1,E21 = 2),Model_Matched_Parameters!$K$5,IF(AND(C21&gt;2, D21 = 2, E21 = 1),Model_Matched_Parameters!$K$4,Model_Matched_Parameters!$K$5)))))</f>
        <v>0</v>
      </c>
      <c r="J21" s="9">
        <f>SUMIFS('Indirect Model Parameters'!$G$11:$G$29,'Indirect Model Parameters'!$D$11:$D$29,Pop_Init!E99,'Indirect Model Parameters'!$E$11:$E$29,Pop_Init!F99)</f>
        <v>1</v>
      </c>
      <c r="L21" s="9">
        <f t="shared" si="2"/>
        <v>0</v>
      </c>
      <c r="M21" s="9">
        <f t="shared" si="3"/>
        <v>0</v>
      </c>
      <c r="N21" s="28">
        <f>M21*'Indirect Model Parameters'!$G$10</f>
        <v>0</v>
      </c>
    </row>
    <row r="22" spans="1:14" ht="48">
      <c r="A22" s="1" t="str">
        <f t="shared" si="0"/>
        <v>Population in TB compartment  Uninfected, on IPT with Drug-susceptible (DS) in HIV compartment  PLHIV not on ART, CD4&gt;200 and Male</v>
      </c>
      <c r="B22" s="8" t="s">
        <v>269</v>
      </c>
      <c r="C22" s="8">
        <v>2</v>
      </c>
      <c r="D22" s="9">
        <v>1</v>
      </c>
      <c r="E22" s="9">
        <v>2</v>
      </c>
      <c r="F22" s="9">
        <v>1</v>
      </c>
      <c r="G22" s="9" t="str">
        <f t="shared" si="1"/>
        <v>N,2,1,2,1</v>
      </c>
      <c r="H22" s="9">
        <f>IF(F22=1,'Indirect Model Parameters'!$G$20,'Indirect Model Parameters'!$G$21)</f>
        <v>0.5</v>
      </c>
      <c r="I22" s="9">
        <f>IF(AND(C22&lt;3,D22=1),1,IF(AND(C22&lt;3,D22=2),0,IF(AND(C22&gt;2,D22=1,E22 = 1),1-Model_Matched_Parameters!$K$4,IF(AND(C22&gt;2,D22=1,E22 = 2),Model_Matched_Parameters!$K$5,IF(AND(C22&gt;2, D22 = 2, E22 = 1),Model_Matched_Parameters!$K$4,Model_Matched_Parameters!$K$5)))))</f>
        <v>1</v>
      </c>
      <c r="J22" s="9">
        <f>SUMIFS('Indirect Model Parameters'!$G$11:$G$29,'Indirect Model Parameters'!$D$11:$D$29,Pop_Init!E20,'Indirect Model Parameters'!$E$11:$E$29,Pop_Init!F20)</f>
        <v>1</v>
      </c>
      <c r="L22" s="9">
        <f t="shared" si="2"/>
        <v>0.5</v>
      </c>
      <c r="M22" s="9">
        <f t="shared" si="3"/>
        <v>3.9165922514138946E-2</v>
      </c>
      <c r="N22" s="28">
        <f>M22*'Indirect Model Parameters'!$G$10</f>
        <v>3916.5922514138947</v>
      </c>
    </row>
    <row r="23" spans="1:14" ht="48">
      <c r="A23" s="1" t="str">
        <f t="shared" si="0"/>
        <v>Population in TB compartment  Uninfected, on IPT with  Multidrug-resistant (MDR-TB) in HIV compartment  PLHIV not on ART, CD4&gt;200 and Male</v>
      </c>
      <c r="B23" s="8" t="s">
        <v>269</v>
      </c>
      <c r="C23" s="8">
        <v>2</v>
      </c>
      <c r="D23" s="9">
        <v>2</v>
      </c>
      <c r="E23" s="9">
        <v>2</v>
      </c>
      <c r="F23" s="9">
        <v>1</v>
      </c>
      <c r="G23" s="9" t="str">
        <f t="shared" si="1"/>
        <v>N,2,2,2,1</v>
      </c>
      <c r="H23" s="9">
        <f>IF(F23=1,'Indirect Model Parameters'!$G$20,'Indirect Model Parameters'!$G$21)</f>
        <v>0.5</v>
      </c>
      <c r="I23" s="9">
        <f>IF(AND(C23&lt;3,D23=1),1,IF(AND(C23&lt;3,D23=2),0,IF(AND(C23&gt;2,D23=1,E23 = 1),1-Model_Matched_Parameters!$K$4,IF(AND(C23&gt;2,D23=1,E23 = 2),Model_Matched_Parameters!$K$5,IF(AND(C23&gt;2, D23 = 2, E23 = 1),Model_Matched_Parameters!$K$4,Model_Matched_Parameters!$K$5)))))</f>
        <v>0</v>
      </c>
      <c r="J23" s="9">
        <f>SUMIFS('Indirect Model Parameters'!$G$11:$G$29,'Indirect Model Parameters'!$D$11:$D$29,Pop_Init!E69,'Indirect Model Parameters'!$E$11:$E$29,Pop_Init!F69)</f>
        <v>1</v>
      </c>
      <c r="L23" s="9">
        <f t="shared" si="2"/>
        <v>0</v>
      </c>
      <c r="M23" s="9">
        <f t="shared" si="3"/>
        <v>0</v>
      </c>
      <c r="N23" s="28">
        <f>M23*'Indirect Model Parameters'!$G$10</f>
        <v>0</v>
      </c>
    </row>
    <row r="24" spans="1:14" ht="48">
      <c r="A24" s="1" t="str">
        <f t="shared" si="0"/>
        <v>Population in TB compartment  Uninfected, on IPT with Drug-susceptible (DS) in HIV compartment  PLHIV not on ART, CD4&gt;200 and Female</v>
      </c>
      <c r="B24" s="8" t="s">
        <v>269</v>
      </c>
      <c r="C24" s="8">
        <v>2</v>
      </c>
      <c r="D24" s="9">
        <v>1</v>
      </c>
      <c r="E24" s="9">
        <v>2</v>
      </c>
      <c r="F24" s="9">
        <v>2</v>
      </c>
      <c r="G24" s="9" t="str">
        <f t="shared" si="1"/>
        <v>N,2,1,2,2</v>
      </c>
      <c r="H24" s="9">
        <f>IF(F24=1,'Indirect Model Parameters'!$G$20,'Indirect Model Parameters'!$G$21)</f>
        <v>0.5</v>
      </c>
      <c r="I24" s="9">
        <f>IF(AND(C24&lt;3,D24=1),1,IF(AND(C24&lt;3,D24=2),0,IF(AND(C24&gt;2,D24=1,E24 = 1),1-Model_Matched_Parameters!$K$4,IF(AND(C24&gt;2,D24=1,E24 = 2),Model_Matched_Parameters!$K$5,IF(AND(C24&gt;2, D24 = 2, E24 = 1),Model_Matched_Parameters!$K$4,Model_Matched_Parameters!$K$5)))))</f>
        <v>1</v>
      </c>
      <c r="J24" s="9">
        <f>SUMIFS('Indirect Model Parameters'!$G$11:$G$29,'Indirect Model Parameters'!$D$11:$D$29,Pop_Init!E84,'Indirect Model Parameters'!$E$11:$E$29,Pop_Init!F84)</f>
        <v>1</v>
      </c>
      <c r="L24" s="9">
        <f t="shared" si="2"/>
        <v>0.5</v>
      </c>
      <c r="M24" s="9">
        <f t="shared" si="3"/>
        <v>3.9165922514138946E-2</v>
      </c>
      <c r="N24" s="28">
        <f>M24*'Indirect Model Parameters'!$G$10</f>
        <v>3916.5922514138947</v>
      </c>
    </row>
    <row r="25" spans="1:14" ht="48">
      <c r="A25" s="1" t="str">
        <f t="shared" si="0"/>
        <v>Population in TB compartment  Uninfected, on IPT with  Multidrug-resistant (MDR-TB) in HIV compartment  PLHIV not on ART, CD4&gt;200 and Female</v>
      </c>
      <c r="B25" s="8" t="s">
        <v>269</v>
      </c>
      <c r="C25" s="8">
        <v>2</v>
      </c>
      <c r="D25" s="9">
        <v>2</v>
      </c>
      <c r="E25" s="9">
        <v>2</v>
      </c>
      <c r="F25" s="9">
        <v>2</v>
      </c>
      <c r="G25" s="9" t="str">
        <f t="shared" si="1"/>
        <v>N,2,2,2,2</v>
      </c>
      <c r="H25" s="9">
        <f>IF(F25=1,'Indirect Model Parameters'!$G$20,'Indirect Model Parameters'!$G$21)</f>
        <v>0.5</v>
      </c>
      <c r="I25" s="9">
        <f>IF(AND(C25&lt;3,D25=1),1,IF(AND(C25&lt;3,D25=2),0,IF(AND(C25&gt;2,D25=1,E25 = 1),1-Model_Matched_Parameters!$K$4,IF(AND(C25&gt;2,D25=1,E25 = 2),Model_Matched_Parameters!$K$5,IF(AND(C25&gt;2, D25 = 2, E25 = 1),Model_Matched_Parameters!$K$4,Model_Matched_Parameters!$K$5)))))</f>
        <v>0</v>
      </c>
      <c r="J25" s="9">
        <f>SUMIFS('Indirect Model Parameters'!$G$11:$G$29,'Indirect Model Parameters'!$D$11:$D$29,Pop_Init!E101,'Indirect Model Parameters'!$E$11:$E$29,Pop_Init!F101)</f>
        <v>1</v>
      </c>
      <c r="L25" s="9">
        <f t="shared" si="2"/>
        <v>0</v>
      </c>
      <c r="M25" s="9">
        <f t="shared" si="3"/>
        <v>0</v>
      </c>
      <c r="N25" s="28">
        <f>M25*'Indirect Model Parameters'!$G$10</f>
        <v>0</v>
      </c>
    </row>
    <row r="26" spans="1:14" ht="48">
      <c r="A26" s="1" t="str">
        <f t="shared" si="0"/>
        <v>Population in TB compartment  Uninfected, on IPT with Drug-susceptible (DS) in HIV compartment  PLHIV not on ART, CD4≤200 and Male</v>
      </c>
      <c r="B26" s="8" t="s">
        <v>269</v>
      </c>
      <c r="C26" s="8">
        <v>2</v>
      </c>
      <c r="D26" s="9">
        <v>1</v>
      </c>
      <c r="E26" s="9">
        <v>3</v>
      </c>
      <c r="F26" s="9">
        <v>1</v>
      </c>
      <c r="G26" s="9" t="str">
        <f t="shared" si="1"/>
        <v>N,2,1,3,1</v>
      </c>
      <c r="H26" s="9">
        <f>IF(F26=1,'Indirect Model Parameters'!$G$20,'Indirect Model Parameters'!$G$21)</f>
        <v>0.5</v>
      </c>
      <c r="I26" s="9">
        <f>IF(AND(C26&lt;3,D26=1),1,IF(AND(C26&lt;3,D26=2),0,IF(AND(C26&gt;2,D26=1,E26 = 1),1-Model_Matched_Parameters!$K$4,IF(AND(C26&gt;2,D26=1,E26 = 2),Model_Matched_Parameters!$K$5,IF(AND(C26&gt;2, D26 = 2, E26 = 1),Model_Matched_Parameters!$K$4,Model_Matched_Parameters!$K$5)))))</f>
        <v>1</v>
      </c>
      <c r="J26" s="9">
        <f>SUMIFS('Indirect Model Parameters'!$G$11:$G$29,'Indirect Model Parameters'!$D$11:$D$29,Pop_Init!E36,'Indirect Model Parameters'!$E$11:$E$29,Pop_Init!F36)</f>
        <v>1</v>
      </c>
      <c r="L26" s="9">
        <f t="shared" si="2"/>
        <v>0.5</v>
      </c>
      <c r="M26" s="9">
        <f t="shared" si="3"/>
        <v>3.9165922514138946E-2</v>
      </c>
      <c r="N26" s="28">
        <f>M26*'Indirect Model Parameters'!$G$10</f>
        <v>3916.5922514138947</v>
      </c>
    </row>
    <row r="27" spans="1:14" ht="48">
      <c r="A27" s="1" t="str">
        <f t="shared" si="0"/>
        <v>Population in TB compartment  Uninfected, on IPT with  Multidrug-resistant (MDR-TB) in HIV compartment  PLHIV not on ART, CD4≤200 and Male</v>
      </c>
      <c r="B27" s="8" t="s">
        <v>269</v>
      </c>
      <c r="C27" s="8">
        <v>2</v>
      </c>
      <c r="D27" s="9">
        <v>2</v>
      </c>
      <c r="E27" s="9">
        <v>3</v>
      </c>
      <c r="F27" s="9">
        <v>1</v>
      </c>
      <c r="G27" s="9" t="str">
        <f t="shared" si="1"/>
        <v>N,2,2,3,1</v>
      </c>
      <c r="H27" s="9">
        <f>IF(F27=1,'Indirect Model Parameters'!$G$20,'Indirect Model Parameters'!$G$21)</f>
        <v>0.5</v>
      </c>
      <c r="I27" s="9">
        <f>IF(AND(C27&lt;3,D27=1),1,IF(AND(C27&lt;3,D27=2),0,IF(AND(C27&gt;2,D27=1,E27 = 1),1-Model_Matched_Parameters!$K$4,IF(AND(C27&gt;2,D27=1,E27 = 2),Model_Matched_Parameters!$K$5,IF(AND(C27&gt;2, D27 = 2, E27 = 1),Model_Matched_Parameters!$K$4,Model_Matched_Parameters!$K$5)))))</f>
        <v>0</v>
      </c>
      <c r="J27" s="9">
        <f>SUMIFS('Indirect Model Parameters'!$G$11:$G$29,'Indirect Model Parameters'!$D$11:$D$29,Pop_Init!E83,'Indirect Model Parameters'!$E$11:$E$29,Pop_Init!F83)</f>
        <v>1</v>
      </c>
      <c r="L27" s="9">
        <f t="shared" si="2"/>
        <v>0</v>
      </c>
      <c r="M27" s="9">
        <f t="shared" si="3"/>
        <v>0</v>
      </c>
      <c r="N27" s="28">
        <f>M27*'Indirect Model Parameters'!$G$10</f>
        <v>0</v>
      </c>
    </row>
    <row r="28" spans="1:14" ht="48">
      <c r="A28" s="1" t="str">
        <f t="shared" si="0"/>
        <v>Population in TB compartment  Uninfected, on IPT with Drug-susceptible (DS) in HIV compartment  PLHIV not on ART, CD4≤200 and Female</v>
      </c>
      <c r="B28" s="8" t="s">
        <v>269</v>
      </c>
      <c r="C28" s="8">
        <v>2</v>
      </c>
      <c r="D28" s="9">
        <v>1</v>
      </c>
      <c r="E28" s="9">
        <v>3</v>
      </c>
      <c r="F28" s="9">
        <v>2</v>
      </c>
      <c r="G28" s="9" t="str">
        <f t="shared" si="1"/>
        <v>N,2,1,3,2</v>
      </c>
      <c r="H28" s="9">
        <f>IF(F28=1,'Indirect Model Parameters'!$G$20,'Indirect Model Parameters'!$G$21)</f>
        <v>0.5</v>
      </c>
      <c r="I28" s="9">
        <f>IF(AND(C28&lt;3,D28=1),1,IF(AND(C28&lt;3,D28=2),0,IF(AND(C28&gt;2,D28=1,E28 = 1),1-Model_Matched_Parameters!$K$4,IF(AND(C28&gt;2,D28=1,E28 = 2),Model_Matched_Parameters!$K$5,IF(AND(C28&gt;2, D28 = 2, E28 = 1),Model_Matched_Parameters!$K$4,Model_Matched_Parameters!$K$5)))))</f>
        <v>1</v>
      </c>
      <c r="J28" s="9">
        <f>SUMIFS('Indirect Model Parameters'!$G$11:$G$29,'Indirect Model Parameters'!$D$11:$D$29,Pop_Init!E100,'Indirect Model Parameters'!$E$11:$E$29,Pop_Init!F100)</f>
        <v>1</v>
      </c>
      <c r="L28" s="9">
        <f t="shared" si="2"/>
        <v>0.5</v>
      </c>
      <c r="M28" s="9">
        <f t="shared" si="3"/>
        <v>3.9165922514138946E-2</v>
      </c>
      <c r="N28" s="28">
        <f>M28*'Indirect Model Parameters'!$G$10</f>
        <v>3916.5922514138947</v>
      </c>
    </row>
    <row r="29" spans="1:14" ht="48">
      <c r="A29" s="1" t="str">
        <f t="shared" si="0"/>
        <v>Population in TB compartment  Uninfected, on IPT with  Multidrug-resistant (MDR-TB) in HIV compartment  PLHIV not on ART, CD4≤200 and Female</v>
      </c>
      <c r="B29" s="8" t="s">
        <v>269</v>
      </c>
      <c r="C29" s="8">
        <v>2</v>
      </c>
      <c r="D29" s="9">
        <v>2</v>
      </c>
      <c r="E29" s="9">
        <v>3</v>
      </c>
      <c r="F29" s="9">
        <v>2</v>
      </c>
      <c r="G29" s="9" t="str">
        <f t="shared" si="1"/>
        <v>N,2,2,3,2</v>
      </c>
      <c r="H29" s="9">
        <f>IF(F29=1,'Indirect Model Parameters'!$G$20,'Indirect Model Parameters'!$G$21)</f>
        <v>0.5</v>
      </c>
      <c r="I29" s="9">
        <f>IF(AND(C29&lt;3,D29=1),1,IF(AND(C29&lt;3,D29=2),0,IF(AND(C29&gt;2,D29=1,E29 = 1),1-Model_Matched_Parameters!$K$4,IF(AND(C29&gt;2,D29=1,E29 = 2),Model_Matched_Parameters!$K$5,IF(AND(C29&gt;2, D29 = 2, E29 = 1),Model_Matched_Parameters!$K$4,Model_Matched_Parameters!$K$5)))))</f>
        <v>0</v>
      </c>
      <c r="J29" s="9">
        <f>SUMIFS('Indirect Model Parameters'!$G$11:$G$29,'Indirect Model Parameters'!$D$11:$D$29,Pop_Init!E115,'Indirect Model Parameters'!$E$11:$E$29,Pop_Init!F115)</f>
        <v>1</v>
      </c>
      <c r="L29" s="9">
        <f t="shared" si="2"/>
        <v>0</v>
      </c>
      <c r="M29" s="9">
        <f t="shared" si="3"/>
        <v>0</v>
      </c>
      <c r="N29" s="28">
        <f>M29*'Indirect Model Parameters'!$G$10</f>
        <v>0</v>
      </c>
    </row>
    <row r="30" spans="1:14" ht="32">
      <c r="A30" s="1" t="str">
        <f t="shared" si="0"/>
        <v>Population in TB compartment  Uninfected, on IPT with Drug-susceptible (DS) in HIV compartment  PLHIV and on ART and Male</v>
      </c>
      <c r="B30" s="8" t="s">
        <v>269</v>
      </c>
      <c r="C30" s="8">
        <v>2</v>
      </c>
      <c r="D30" s="9">
        <v>1</v>
      </c>
      <c r="E30" s="9">
        <v>4</v>
      </c>
      <c r="F30" s="9">
        <v>1</v>
      </c>
      <c r="G30" s="9" t="str">
        <f t="shared" si="1"/>
        <v>N,2,1,4,1</v>
      </c>
      <c r="H30" s="9">
        <f>IF(F30=1,'Indirect Model Parameters'!$G$20,'Indirect Model Parameters'!$G$21)</f>
        <v>0.5</v>
      </c>
      <c r="I30" s="9">
        <f>IF(AND(C30&lt;3,D30=1),1,IF(AND(C30&lt;3,D30=2),0,IF(AND(C30&gt;2,D30=1,E30 = 1),1-Model_Matched_Parameters!$K$4,IF(AND(C30&gt;2,D30=1,E30 = 2),Model_Matched_Parameters!$K$5,IF(AND(C30&gt;2, D30 = 2, E30 = 1),Model_Matched_Parameters!$K$4,Model_Matched_Parameters!$K$5)))))</f>
        <v>1</v>
      </c>
      <c r="J30" s="9">
        <f>SUMIFS('Indirect Model Parameters'!$G$11:$G$29,'Indirect Model Parameters'!$D$11:$D$29,Pop_Init!E52,'Indirect Model Parameters'!$E$11:$E$29,Pop_Init!F52)</f>
        <v>1</v>
      </c>
      <c r="L30" s="9">
        <f t="shared" si="2"/>
        <v>0.5</v>
      </c>
      <c r="M30" s="9">
        <f t="shared" si="3"/>
        <v>3.9165922514138946E-2</v>
      </c>
      <c r="N30" s="28">
        <f>M30*'Indirect Model Parameters'!$G$10</f>
        <v>3916.5922514138947</v>
      </c>
    </row>
    <row r="31" spans="1:14" ht="48">
      <c r="A31" s="1" t="str">
        <f t="shared" si="0"/>
        <v>Population in TB compartment  Uninfected, on IPT with  Multidrug-resistant (MDR-TB) in HIV compartment  PLHIV and on ART and Male</v>
      </c>
      <c r="B31" s="8" t="s">
        <v>269</v>
      </c>
      <c r="C31" s="8">
        <v>2</v>
      </c>
      <c r="D31" s="9">
        <v>2</v>
      </c>
      <c r="E31" s="9">
        <v>4</v>
      </c>
      <c r="F31" s="9">
        <v>1</v>
      </c>
      <c r="G31" s="9" t="str">
        <f t="shared" si="1"/>
        <v>N,2,2,4,1</v>
      </c>
      <c r="H31" s="9">
        <f>IF(F31=1,'Indirect Model Parameters'!$G$20,'Indirect Model Parameters'!$G$21)</f>
        <v>0.5</v>
      </c>
      <c r="I31" s="9">
        <f>IF(AND(C31&lt;3,D31=1),1,IF(AND(C31&lt;3,D31=2),0,IF(AND(C31&gt;2,D31=1,E31 = 1),1-Model_Matched_Parameters!$K$4,IF(AND(C31&gt;2,D31=1,E31 = 2),Model_Matched_Parameters!$K$5,IF(AND(C31&gt;2, D31 = 2, E31 = 1),Model_Matched_Parameters!$K$4,Model_Matched_Parameters!$K$5)))))</f>
        <v>0</v>
      </c>
      <c r="J31" s="9">
        <f>SUMIFS('Indirect Model Parameters'!$G$11:$G$29,'Indirect Model Parameters'!$D$11:$D$29,Pop_Init!E85,'Indirect Model Parameters'!$E$11:$E$29,Pop_Init!F85)</f>
        <v>1</v>
      </c>
      <c r="L31" s="9">
        <f t="shared" si="2"/>
        <v>0</v>
      </c>
      <c r="M31" s="9">
        <f t="shared" si="3"/>
        <v>0</v>
      </c>
      <c r="N31" s="28">
        <f>M31*'Indirect Model Parameters'!$G$10</f>
        <v>0</v>
      </c>
    </row>
    <row r="32" spans="1:14" ht="48">
      <c r="A32" s="1" t="str">
        <f t="shared" si="0"/>
        <v>Population in TB compartment  Uninfected, on IPT with Drug-susceptible (DS) in HIV compartment  PLHIV and on ART and Female</v>
      </c>
      <c r="B32" s="8" t="s">
        <v>269</v>
      </c>
      <c r="C32" s="8">
        <v>2</v>
      </c>
      <c r="D32" s="9">
        <v>1</v>
      </c>
      <c r="E32" s="9">
        <v>4</v>
      </c>
      <c r="F32" s="9">
        <v>2</v>
      </c>
      <c r="G32" s="9" t="str">
        <f t="shared" si="1"/>
        <v>N,2,1,4,2</v>
      </c>
      <c r="H32" s="9">
        <f>IF(F32=1,'Indirect Model Parameters'!$G$20,'Indirect Model Parameters'!$G$21)</f>
        <v>0.5</v>
      </c>
      <c r="I32" s="9">
        <f>IF(AND(C32&lt;3,D32=1),1,IF(AND(C32&lt;3,D32=2),0,IF(AND(C32&gt;2,D32=1,E32 = 1),1-Model_Matched_Parameters!$K$4,IF(AND(C32&gt;2,D32=1,E32 = 2),Model_Matched_Parameters!$K$5,IF(AND(C32&gt;2, D32 = 2, E32 = 1),Model_Matched_Parameters!$K$4,Model_Matched_Parameters!$K$5)))))</f>
        <v>1</v>
      </c>
      <c r="J32" s="9">
        <f>SUMIFS('Indirect Model Parameters'!$G$11:$G$29,'Indirect Model Parameters'!$D$11:$D$29,Pop_Init!E116,'Indirect Model Parameters'!$E$11:$E$29,Pop_Init!F116)</f>
        <v>1</v>
      </c>
      <c r="L32" s="9">
        <f t="shared" si="2"/>
        <v>0.5</v>
      </c>
      <c r="M32" s="9">
        <f t="shared" si="3"/>
        <v>3.9165922514138946E-2</v>
      </c>
      <c r="N32" s="28">
        <f>M32*'Indirect Model Parameters'!$G$10</f>
        <v>3916.5922514138947</v>
      </c>
    </row>
    <row r="33" spans="1:14" ht="48">
      <c r="A33" s="1" t="str">
        <f t="shared" si="0"/>
        <v>Population in TB compartment  Uninfected, on IPT with  Multidrug-resistant (MDR-TB) in HIV compartment  PLHIV and on ART and Female</v>
      </c>
      <c r="B33" s="8" t="s">
        <v>269</v>
      </c>
      <c r="C33" s="8">
        <v>2</v>
      </c>
      <c r="D33" s="9">
        <v>2</v>
      </c>
      <c r="E33" s="9">
        <v>4</v>
      </c>
      <c r="F33" s="9">
        <v>2</v>
      </c>
      <c r="G33" s="9" t="str">
        <f t="shared" si="1"/>
        <v>N,2,2,4,2</v>
      </c>
      <c r="H33" s="9">
        <f>IF(F33=1,'Indirect Model Parameters'!$G$20,'Indirect Model Parameters'!$G$21)</f>
        <v>0.5</v>
      </c>
      <c r="I33" s="9">
        <f>IF(AND(C33&lt;3,D33=1),1,IF(AND(C33&lt;3,D33=2),0,IF(AND(C33&gt;2,D33=1,E33 = 1),1-Model_Matched_Parameters!$K$4,IF(AND(C33&gt;2,D33=1,E33 = 2),Model_Matched_Parameters!$K$5,IF(AND(C33&gt;2, D33 = 2, E33 = 1),Model_Matched_Parameters!$K$4,Model_Matched_Parameters!$K$5)))))</f>
        <v>0</v>
      </c>
      <c r="J33" s="9">
        <f>SUMIFS('Indirect Model Parameters'!$G$11:$G$29,'Indirect Model Parameters'!$D$11:$D$29,Pop_Init!E117,'Indirect Model Parameters'!$E$11:$E$29,Pop_Init!F117)</f>
        <v>1</v>
      </c>
      <c r="L33" s="9">
        <f t="shared" si="2"/>
        <v>0</v>
      </c>
      <c r="M33" s="9">
        <f t="shared" si="3"/>
        <v>0</v>
      </c>
      <c r="N33" s="28">
        <f>M33*'Indirect Model Parameters'!$G$10</f>
        <v>0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269</v>
      </c>
      <c r="C34" s="8">
        <v>3</v>
      </c>
      <c r="D34" s="9">
        <v>1</v>
      </c>
      <c r="E34" s="9">
        <v>1</v>
      </c>
      <c r="F34" s="9">
        <v>1</v>
      </c>
      <c r="G34" s="9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IF(F34=1,'Indirect Model Parameters'!$G$22,'Indirect Model Parameters'!$G$23)</f>
        <v>0.49</v>
      </c>
      <c r="I34" s="9">
        <f>IF(AND(C34&lt;3,D34=1),1,IF(AND(C34&lt;3,D34=2),0,IF(AND(C34&gt;2,D34=1,E34 = 1),1-Model_Matched_Parameters!$K$4,IF(AND(C34&gt;2,D34=1,E34 = 2),Model_Matched_Parameters!$K$5,IF(AND(C34&gt;2, D34 = 2, E34 = 1),Model_Matched_Parameters!$K$4,Model_Matched_Parameters!$K$5)))))</f>
        <v>0.7</v>
      </c>
      <c r="J34" s="9">
        <f>SUMIFS('Indirect Model Parameters'!$G$11:$G$29,'Indirect Model Parameters'!$D$11:$D$29,Pop_Init!E6,'Indirect Model Parameters'!$E$11:$E$29,Pop_Init!F6)</f>
        <v>0.55000000000000004</v>
      </c>
      <c r="L34" s="9">
        <f t="shared" si="2"/>
        <v>0.18865000000000001</v>
      </c>
      <c r="M34" s="9">
        <f t="shared" si="3"/>
        <v>1.4777302564584626E-2</v>
      </c>
      <c r="N34" s="28">
        <f>M34*'Indirect Model Parameters'!$G$10</f>
        <v>1477.7302564584627</v>
      </c>
    </row>
    <row r="35" spans="1:14" ht="48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269</v>
      </c>
      <c r="C35" s="8">
        <v>3</v>
      </c>
      <c r="D35" s="9">
        <v>2</v>
      </c>
      <c r="E35" s="9">
        <v>1</v>
      </c>
      <c r="F35" s="9">
        <v>1</v>
      </c>
      <c r="G35" s="9" t="str">
        <f t="shared" si="5"/>
        <v>N,3,2,1,1</v>
      </c>
      <c r="H35" s="9">
        <f>IF(F35=1,'Indirect Model Parameters'!$G$22,'Indirect Model Parameters'!$G$23)</f>
        <v>0.49</v>
      </c>
      <c r="I35" s="9">
        <f>IF(AND(C35&lt;3,D35=1),1,IF(AND(C35&lt;3,D35=2),0,IF(AND(C35&gt;2,D35=1,E35 = 1),1-Model_Matched_Parameters!$K$4,IF(AND(C35&gt;2,D35=1,E35 = 2),Model_Matched_Parameters!$K$5,IF(AND(C35&gt;2, D35 = 2, E35 = 1),Model_Matched_Parameters!$K$4,Model_Matched_Parameters!$K$5)))))</f>
        <v>0.3</v>
      </c>
      <c r="J35" s="9">
        <f>SUMIFS('Indirect Model Parameters'!$G$11:$G$29,'Indirect Model Parameters'!$D$11:$D$29,Pop_Init!E7,'Indirect Model Parameters'!$E$11:$E$29,Pop_Init!F7)</f>
        <v>0.55000000000000004</v>
      </c>
      <c r="L35" s="9">
        <f t="shared" si="2"/>
        <v>8.0850000000000005E-2</v>
      </c>
      <c r="M35" s="9">
        <f t="shared" si="3"/>
        <v>6.3331296705362687E-3</v>
      </c>
      <c r="N35" s="28">
        <f>M35*'Indirect Model Parameters'!$G$10</f>
        <v>633.31296705362683</v>
      </c>
    </row>
    <row r="36" spans="1:14" ht="48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269</v>
      </c>
      <c r="C36" s="8">
        <v>3</v>
      </c>
      <c r="D36" s="9">
        <v>1</v>
      </c>
      <c r="E36" s="9">
        <v>1</v>
      </c>
      <c r="F36" s="9">
        <v>2</v>
      </c>
      <c r="G36" s="9" t="str">
        <f t="shared" si="5"/>
        <v>N,3,1,1,2</v>
      </c>
      <c r="H36" s="9">
        <f>IF(F36=1,'Indirect Model Parameters'!$G$22,'Indirect Model Parameters'!$G$23)</f>
        <v>0.49</v>
      </c>
      <c r="I36" s="9">
        <f>IF(AND(C36&lt;3,D36=1),1,IF(AND(C36&lt;3,D36=2),0,IF(AND(C36&gt;2,D36=1,E36 = 1),1-Model_Matched_Parameters!$K$4,IF(AND(C36&gt;2,D36=1,E36 = 2),Model_Matched_Parameters!$K$5,IF(AND(C36&gt;2, D36 = 2, E36 = 1),Model_Matched_Parameters!$K$4,Model_Matched_Parameters!$K$5)))))</f>
        <v>0.7</v>
      </c>
      <c r="J36" s="9">
        <f>SUMIFS('Indirect Model Parameters'!$G$11:$G$29,'Indirect Model Parameters'!$D$11:$D$29,Pop_Init!E70,'Indirect Model Parameters'!$E$11:$E$29,Pop_Init!F70)</f>
        <v>0.55000000000000004</v>
      </c>
      <c r="L36" s="9">
        <f t="shared" si="2"/>
        <v>0.18865000000000001</v>
      </c>
      <c r="M36" s="9">
        <f t="shared" si="3"/>
        <v>1.4777302564584626E-2</v>
      </c>
      <c r="N36" s="28">
        <f>M36*'Indirect Model Parameters'!$G$10</f>
        <v>1477.7302564584627</v>
      </c>
    </row>
    <row r="37" spans="1:14" ht="48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269</v>
      </c>
      <c r="C37" s="8">
        <v>3</v>
      </c>
      <c r="D37" s="9">
        <v>2</v>
      </c>
      <c r="E37" s="9">
        <v>1</v>
      </c>
      <c r="F37" s="9">
        <v>2</v>
      </c>
      <c r="G37" s="9" t="str">
        <f t="shared" si="5"/>
        <v>N,3,2,1,2</v>
      </c>
      <c r="H37" s="9">
        <f>IF(F37=1,'Indirect Model Parameters'!$G$22,'Indirect Model Parameters'!$G$23)</f>
        <v>0.49</v>
      </c>
      <c r="I37" s="9">
        <f>IF(AND(C37&lt;3,D37=1),1,IF(AND(C37&lt;3,D37=2),0,IF(AND(C37&gt;2,D37=1,E37 = 1),1-Model_Matched_Parameters!$K$4,IF(AND(C37&gt;2,D37=1,E37 = 2),Model_Matched_Parameters!$K$5,IF(AND(C37&gt;2, D37 = 2, E37 = 1),Model_Matched_Parameters!$K$4,Model_Matched_Parameters!$K$5)))))</f>
        <v>0.3</v>
      </c>
      <c r="J37" s="9">
        <f>SUMIFS('Indirect Model Parameters'!$G$11:$G$29,'Indirect Model Parameters'!$D$11:$D$29,Pop_Init!E71,'Indirect Model Parameters'!$E$11:$E$29,Pop_Init!F71)</f>
        <v>0.55000000000000004</v>
      </c>
      <c r="L37" s="9">
        <f t="shared" si="2"/>
        <v>8.0850000000000005E-2</v>
      </c>
      <c r="M37" s="9">
        <f t="shared" si="3"/>
        <v>6.3331296705362687E-3</v>
      </c>
      <c r="N37" s="28">
        <f>M37*'Indirect Model Parameters'!$G$10</f>
        <v>633.31296705362683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269</v>
      </c>
      <c r="C38" s="8">
        <v>3</v>
      </c>
      <c r="D38" s="9">
        <v>1</v>
      </c>
      <c r="E38" s="9">
        <v>2</v>
      </c>
      <c r="F38" s="9">
        <v>1</v>
      </c>
      <c r="G38" s="9" t="str">
        <f t="shared" si="5"/>
        <v>N,3,1,2,1</v>
      </c>
      <c r="H38" s="9">
        <f>IF(F38=1,'Indirect Model Parameters'!$G$24,'Indirect Model Parameters'!$G$25)</f>
        <v>0.5</v>
      </c>
      <c r="I38" s="9">
        <f>IF(AND(C38&lt;3,D38=1),1,IF(AND(C38&lt;3,D38=2),0,IF(AND(C38&gt;2,D38=1,E38 = 1),1-Model_Matched_Parameters!$K$4,IF(AND(C38&gt;2,D38=1,E38 = 2),Model_Matched_Parameters!$K$5,IF(AND(C38&gt;2, D38 = 2, E38 = 1),Model_Matched_Parameters!$K$4,Model_Matched_Parameters!$K$5)))))</f>
        <v>0.3</v>
      </c>
      <c r="J38" s="9">
        <f>SUMIFS('Indirect Model Parameters'!$G$11:$G$29,'Indirect Model Parameters'!$D$11:$D$29,Pop_Init!E22,'Indirect Model Parameters'!$E$11:$E$29,Pop_Init!F22)</f>
        <v>0.55000000000000004</v>
      </c>
      <c r="L38" s="9">
        <f t="shared" si="2"/>
        <v>8.2500000000000004E-2</v>
      </c>
      <c r="M38" s="9">
        <f t="shared" si="3"/>
        <v>6.4623772148329267E-3</v>
      </c>
      <c r="N38" s="28">
        <f>M38*'Indirect Model Parameters'!$G$10</f>
        <v>646.23772148329272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269</v>
      </c>
      <c r="C39" s="8">
        <v>3</v>
      </c>
      <c r="D39" s="9">
        <v>2</v>
      </c>
      <c r="E39" s="9">
        <v>2</v>
      </c>
      <c r="F39" s="9">
        <v>1</v>
      </c>
      <c r="G39" s="9" t="str">
        <f t="shared" si="5"/>
        <v>N,3,2,2,1</v>
      </c>
      <c r="H39" s="9">
        <f>IF(F39=1,'Indirect Model Parameters'!$G$24,'Indirect Model Parameters'!$G$25)</f>
        <v>0.5</v>
      </c>
      <c r="I39" s="9">
        <f>IF(AND(C39&lt;3,D39=1),1,IF(AND(C39&lt;3,D39=2),0,IF(AND(C39&gt;2,D39=1,E39 = 1),1-Model_Matched_Parameters!$K$4,IF(AND(C39&gt;2,D39=1,E39 = 2),Model_Matched_Parameters!$K$5,IF(AND(C39&gt;2, D39 = 2, E39 = 1),Model_Matched_Parameters!$K$4,Model_Matched_Parameters!$K$5)))))</f>
        <v>0.3</v>
      </c>
      <c r="J39" s="9">
        <f>SUMIFS('Indirect Model Parameters'!$G$11:$G$29,'Indirect Model Parameters'!$D$11:$D$29,Pop_Init!E23,'Indirect Model Parameters'!$E$11:$E$29,Pop_Init!F23)</f>
        <v>0.55000000000000004</v>
      </c>
      <c r="L39" s="9">
        <f t="shared" si="2"/>
        <v>8.2500000000000004E-2</v>
      </c>
      <c r="M39" s="9">
        <f t="shared" si="3"/>
        <v>6.4623772148329267E-3</v>
      </c>
      <c r="N39" s="28">
        <f>M39*'Indirect Model Parameters'!$G$10</f>
        <v>646.23772148329272</v>
      </c>
    </row>
    <row r="40" spans="1:14" ht="48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269</v>
      </c>
      <c r="C40" s="8">
        <v>3</v>
      </c>
      <c r="D40" s="9">
        <v>1</v>
      </c>
      <c r="E40" s="9">
        <v>2</v>
      </c>
      <c r="F40" s="9">
        <v>2</v>
      </c>
      <c r="G40" s="9" t="str">
        <f t="shared" si="5"/>
        <v>N,3,1,2,2</v>
      </c>
      <c r="H40" s="9">
        <f>IF(F40=1,'Indirect Model Parameters'!$G$24,'Indirect Model Parameters'!$G$25)</f>
        <v>0.5</v>
      </c>
      <c r="I40" s="9">
        <f>IF(AND(C40&lt;3,D40=1),1,IF(AND(C40&lt;3,D40=2),0,IF(AND(C40&gt;2,D40=1,E40 = 1),1-Model_Matched_Parameters!$K$4,IF(AND(C40&gt;2,D40=1,E40 = 2),Model_Matched_Parameters!$K$5,IF(AND(C40&gt;2, D40 = 2, E40 = 1),Model_Matched_Parameters!$K$4,Model_Matched_Parameters!$K$5)))))</f>
        <v>0.3</v>
      </c>
      <c r="J40" s="9">
        <f>SUMIFS('Indirect Model Parameters'!$G$11:$G$29,'Indirect Model Parameters'!$D$11:$D$29,Pop_Init!E86,'Indirect Model Parameters'!$E$11:$E$29,Pop_Init!F86)</f>
        <v>0.55000000000000004</v>
      </c>
      <c r="L40" s="9">
        <f t="shared" si="2"/>
        <v>8.2500000000000004E-2</v>
      </c>
      <c r="M40" s="9">
        <f t="shared" si="3"/>
        <v>6.4623772148329267E-3</v>
      </c>
      <c r="N40" s="28">
        <f>M40*'Indirect Model Parameters'!$G$10</f>
        <v>646.23772148329272</v>
      </c>
    </row>
    <row r="41" spans="1:14" ht="48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269</v>
      </c>
      <c r="C41" s="8">
        <v>3</v>
      </c>
      <c r="D41" s="9">
        <v>2</v>
      </c>
      <c r="E41" s="9">
        <v>2</v>
      </c>
      <c r="F41" s="9">
        <v>2</v>
      </c>
      <c r="G41" s="9" t="str">
        <f t="shared" si="5"/>
        <v>N,3,2,2,2</v>
      </c>
      <c r="H41" s="9">
        <f>IF(F41=1,'Indirect Model Parameters'!$G$24,'Indirect Model Parameters'!$G$25)</f>
        <v>0.5</v>
      </c>
      <c r="I41" s="9">
        <f>IF(AND(C41&lt;3,D41=1),1,IF(AND(C41&lt;3,D41=2),0,IF(AND(C41&gt;2,D41=1,E41 = 1),1-Model_Matched_Parameters!$K$4,IF(AND(C41&gt;2,D41=1,E41 = 2),Model_Matched_Parameters!$K$5,IF(AND(C41&gt;2, D41 = 2, E41 = 1),Model_Matched_Parameters!$K$4,Model_Matched_Parameters!$K$5)))))</f>
        <v>0.3</v>
      </c>
      <c r="J41" s="9">
        <f>SUMIFS('Indirect Model Parameters'!$G$11:$G$29,'Indirect Model Parameters'!$D$11:$D$29,Pop_Init!E87,'Indirect Model Parameters'!$E$11:$E$29,Pop_Init!F87)</f>
        <v>0.55000000000000004</v>
      </c>
      <c r="L41" s="9">
        <f t="shared" si="2"/>
        <v>8.2500000000000004E-2</v>
      </c>
      <c r="M41" s="9">
        <f t="shared" si="3"/>
        <v>6.4623772148329267E-3</v>
      </c>
      <c r="N41" s="28">
        <f>M41*'Indirect Model Parameters'!$G$10</f>
        <v>646.23772148329272</v>
      </c>
    </row>
    <row r="42" spans="1:14" ht="48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269</v>
      </c>
      <c r="C42" s="8">
        <v>3</v>
      </c>
      <c r="D42" s="9">
        <v>1</v>
      </c>
      <c r="E42" s="9">
        <v>3</v>
      </c>
      <c r="F42" s="9">
        <v>1</v>
      </c>
      <c r="G42" s="9" t="str">
        <f t="shared" si="5"/>
        <v>N,3,1,3,1</v>
      </c>
      <c r="H42" s="9">
        <f>IF(F42=1,'Indirect Model Parameters'!$G$24,'Indirect Model Parameters'!$G$25)</f>
        <v>0.5</v>
      </c>
      <c r="I42" s="9">
        <f>IF(AND(C42&lt;3,D42=1),1,IF(AND(C42&lt;3,D42=2),0,IF(AND(C42&gt;2,D42=1,E42 = 1),1-Model_Matched_Parameters!$K$4,IF(AND(C42&gt;2,D42=1,E42 = 2),Model_Matched_Parameters!$K$5,IF(AND(C42&gt;2, D42 = 2, E42 = 1),Model_Matched_Parameters!$K$4,Model_Matched_Parameters!$K$5)))))</f>
        <v>0.3</v>
      </c>
      <c r="J42" s="9">
        <f>SUMIFS('Indirect Model Parameters'!$G$11:$G$29,'Indirect Model Parameters'!$D$11:$D$29,Pop_Init!E38,'Indirect Model Parameters'!$E$11:$E$29,Pop_Init!F38)</f>
        <v>0.55000000000000004</v>
      </c>
      <c r="L42" s="9">
        <f t="shared" si="2"/>
        <v>8.2500000000000004E-2</v>
      </c>
      <c r="M42" s="9">
        <f t="shared" si="3"/>
        <v>6.4623772148329267E-3</v>
      </c>
      <c r="N42" s="28">
        <f>M42*'Indirect Model Parameters'!$G$10</f>
        <v>646.23772148329272</v>
      </c>
    </row>
    <row r="43" spans="1:14" ht="48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269</v>
      </c>
      <c r="C43" s="8">
        <v>3</v>
      </c>
      <c r="D43" s="9">
        <v>2</v>
      </c>
      <c r="E43" s="9">
        <v>3</v>
      </c>
      <c r="F43" s="9">
        <v>1</v>
      </c>
      <c r="G43" s="9" t="str">
        <f t="shared" si="5"/>
        <v>N,3,2,3,1</v>
      </c>
      <c r="H43" s="9">
        <f>IF(F43=1,'Indirect Model Parameters'!$G$24,'Indirect Model Parameters'!$G$25)</f>
        <v>0.5</v>
      </c>
      <c r="I43" s="9">
        <f>IF(AND(C43&lt;3,D43=1),1,IF(AND(C43&lt;3,D43=2),0,IF(AND(C43&gt;2,D43=1,E43 = 1),1-Model_Matched_Parameters!$K$4,IF(AND(C43&gt;2,D43=1,E43 = 2),Model_Matched_Parameters!$K$5,IF(AND(C43&gt;2, D43 = 2, E43 = 1),Model_Matched_Parameters!$K$4,Model_Matched_Parameters!$K$5)))))</f>
        <v>0.3</v>
      </c>
      <c r="J43" s="9">
        <f>SUMIFS('Indirect Model Parameters'!$G$11:$G$29,'Indirect Model Parameters'!$D$11:$D$29,Pop_Init!E39,'Indirect Model Parameters'!$E$11:$E$29,Pop_Init!F39)</f>
        <v>0.55000000000000004</v>
      </c>
      <c r="L43" s="9">
        <f t="shared" si="2"/>
        <v>8.2500000000000004E-2</v>
      </c>
      <c r="M43" s="9">
        <f t="shared" si="3"/>
        <v>6.4623772148329267E-3</v>
      </c>
      <c r="N43" s="28">
        <f>M43*'Indirect Model Parameters'!$G$10</f>
        <v>646.23772148329272</v>
      </c>
    </row>
    <row r="44" spans="1:14" ht="48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269</v>
      </c>
      <c r="C44" s="8">
        <v>3</v>
      </c>
      <c r="D44" s="9">
        <v>1</v>
      </c>
      <c r="E44" s="9">
        <v>3</v>
      </c>
      <c r="F44" s="9">
        <v>2</v>
      </c>
      <c r="G44" s="9" t="str">
        <f t="shared" si="5"/>
        <v>N,3,1,3,2</v>
      </c>
      <c r="H44" s="9">
        <f>IF(F44=1,'Indirect Model Parameters'!$G$24,'Indirect Model Parameters'!$G$25)</f>
        <v>0.5</v>
      </c>
      <c r="I44" s="9">
        <f>IF(AND(C44&lt;3,D44=1),1,IF(AND(C44&lt;3,D44=2),0,IF(AND(C44&gt;2,D44=1,E44 = 1),1-Model_Matched_Parameters!$K$4,IF(AND(C44&gt;2,D44=1,E44 = 2),Model_Matched_Parameters!$K$5,IF(AND(C44&gt;2, D44 = 2, E44 = 1),Model_Matched_Parameters!$K$4,Model_Matched_Parameters!$K$5)))))</f>
        <v>0.3</v>
      </c>
      <c r="J44" s="9">
        <f>SUMIFS('Indirect Model Parameters'!$G$11:$G$29,'Indirect Model Parameters'!$D$11:$D$29,Pop_Init!E102,'Indirect Model Parameters'!$E$11:$E$29,Pop_Init!F102)</f>
        <v>0.55000000000000004</v>
      </c>
      <c r="L44" s="9">
        <f t="shared" si="2"/>
        <v>8.2500000000000004E-2</v>
      </c>
      <c r="M44" s="9">
        <f t="shared" si="3"/>
        <v>6.4623772148329267E-3</v>
      </c>
      <c r="N44" s="28">
        <f>M44*'Indirect Model Parameters'!$G$10</f>
        <v>646.23772148329272</v>
      </c>
    </row>
    <row r="45" spans="1:14" ht="48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269</v>
      </c>
      <c r="C45" s="8">
        <v>3</v>
      </c>
      <c r="D45" s="9">
        <v>2</v>
      </c>
      <c r="E45" s="9">
        <v>3</v>
      </c>
      <c r="F45" s="9">
        <v>2</v>
      </c>
      <c r="G45" s="9" t="str">
        <f t="shared" si="5"/>
        <v>N,3,2,3,2</v>
      </c>
      <c r="H45" s="9">
        <f>IF(F45=1,'Indirect Model Parameters'!$G$24,'Indirect Model Parameters'!$G$25)</f>
        <v>0.5</v>
      </c>
      <c r="I45" s="9">
        <f>IF(AND(C45&lt;3,D45=1),1,IF(AND(C45&lt;3,D45=2),0,IF(AND(C45&gt;2,D45=1,E45 = 1),1-Model_Matched_Parameters!$K$4,IF(AND(C45&gt;2,D45=1,E45 = 2),Model_Matched_Parameters!$K$5,IF(AND(C45&gt;2, D45 = 2, E45 = 1),Model_Matched_Parameters!$K$4,Model_Matched_Parameters!$K$5)))))</f>
        <v>0.3</v>
      </c>
      <c r="J45" s="9">
        <f>SUMIFS('Indirect Model Parameters'!$G$11:$G$29,'Indirect Model Parameters'!$D$11:$D$29,Pop_Init!E103,'Indirect Model Parameters'!$E$11:$E$29,Pop_Init!F103)</f>
        <v>0.55000000000000004</v>
      </c>
      <c r="L45" s="9">
        <f t="shared" si="2"/>
        <v>8.2500000000000004E-2</v>
      </c>
      <c r="M45" s="9">
        <f t="shared" si="3"/>
        <v>6.4623772148329267E-3</v>
      </c>
      <c r="N45" s="28">
        <f>M45*'Indirect Model Parameters'!$G$10</f>
        <v>646.23772148329272</v>
      </c>
    </row>
    <row r="46" spans="1:14" ht="48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269</v>
      </c>
      <c r="C46" s="8">
        <v>3</v>
      </c>
      <c r="D46" s="9">
        <v>1</v>
      </c>
      <c r="E46" s="9">
        <v>4</v>
      </c>
      <c r="F46" s="9">
        <v>1</v>
      </c>
      <c r="G46" s="9" t="str">
        <f t="shared" si="5"/>
        <v>N,3,1,4,1</v>
      </c>
      <c r="H46" s="9">
        <f>IF(F46=1,'Indirect Model Parameters'!$G$24,'Indirect Model Parameters'!$G$25)</f>
        <v>0.5</v>
      </c>
      <c r="I46" s="9">
        <f>IF(AND(C46&lt;3,D46=1),1,IF(AND(C46&lt;3,D46=2),0,IF(AND(C46&gt;2,D46=1,E46 = 1),1-Model_Matched_Parameters!$K$4,IF(AND(C46&gt;2,D46=1,E46 = 2),Model_Matched_Parameters!$K$5,IF(AND(C46&gt;2, D46 = 2, E46 = 1),Model_Matched_Parameters!$K$4,Model_Matched_Parameters!$K$5)))))</f>
        <v>0.3</v>
      </c>
      <c r="J46" s="9">
        <f>SUMIFS('Indirect Model Parameters'!$G$11:$G$29,'Indirect Model Parameters'!$D$11:$D$29,Pop_Init!E54,'Indirect Model Parameters'!$E$11:$E$29,Pop_Init!F54)</f>
        <v>0.55000000000000004</v>
      </c>
      <c r="L46" s="9">
        <f t="shared" si="2"/>
        <v>8.2500000000000004E-2</v>
      </c>
      <c r="M46" s="9">
        <f t="shared" si="3"/>
        <v>6.4623772148329267E-3</v>
      </c>
      <c r="N46" s="28">
        <f>M46*'Indirect Model Parameters'!$G$10</f>
        <v>646.23772148329272</v>
      </c>
    </row>
    <row r="47" spans="1:14" ht="48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269</v>
      </c>
      <c r="C47" s="8">
        <v>3</v>
      </c>
      <c r="D47" s="9">
        <v>2</v>
      </c>
      <c r="E47" s="9">
        <v>4</v>
      </c>
      <c r="F47" s="9">
        <v>1</v>
      </c>
      <c r="G47" s="9" t="str">
        <f t="shared" si="5"/>
        <v>N,3,2,4,1</v>
      </c>
      <c r="H47" s="9">
        <f>IF(F47=1,'Indirect Model Parameters'!$G$24,'Indirect Model Parameters'!$G$25)</f>
        <v>0.5</v>
      </c>
      <c r="I47" s="9">
        <f>IF(AND(C47&lt;3,D47=1),1,IF(AND(C47&lt;3,D47=2),0,IF(AND(C47&gt;2,D47=1,E47 = 1),1-Model_Matched_Parameters!$K$4,IF(AND(C47&gt;2,D47=1,E47 = 2),Model_Matched_Parameters!$K$5,IF(AND(C47&gt;2, D47 = 2, E47 = 1),Model_Matched_Parameters!$K$4,Model_Matched_Parameters!$K$5)))))</f>
        <v>0.3</v>
      </c>
      <c r="J47" s="9">
        <f>SUMIFS('Indirect Model Parameters'!$G$11:$G$29,'Indirect Model Parameters'!$D$11:$D$29,Pop_Init!E55,'Indirect Model Parameters'!$E$11:$E$29,Pop_Init!F55)</f>
        <v>0.55000000000000004</v>
      </c>
      <c r="L47" s="9">
        <f t="shared" si="2"/>
        <v>8.2500000000000004E-2</v>
      </c>
      <c r="M47" s="9">
        <f t="shared" si="3"/>
        <v>6.4623772148329267E-3</v>
      </c>
      <c r="N47" s="28">
        <f>M47*'Indirect Model Parameters'!$G$10</f>
        <v>646.23772148329272</v>
      </c>
    </row>
    <row r="48" spans="1:14" ht="48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269</v>
      </c>
      <c r="C48" s="8">
        <v>3</v>
      </c>
      <c r="D48" s="9">
        <v>1</v>
      </c>
      <c r="E48" s="9">
        <v>4</v>
      </c>
      <c r="F48" s="9">
        <v>2</v>
      </c>
      <c r="G48" s="9" t="str">
        <f t="shared" si="5"/>
        <v>N,3,1,4,2</v>
      </c>
      <c r="H48" s="9">
        <f>IF(F48=1,'Indirect Model Parameters'!$G$24,'Indirect Model Parameters'!$G$25)</f>
        <v>0.5</v>
      </c>
      <c r="I48" s="9">
        <f>IF(AND(C48&lt;3,D48=1),1,IF(AND(C48&lt;3,D48=2),0,IF(AND(C48&gt;2,D48=1,E48 = 1),1-Model_Matched_Parameters!$K$4,IF(AND(C48&gt;2,D48=1,E48 = 2),Model_Matched_Parameters!$K$5,IF(AND(C48&gt;2, D48 = 2, E48 = 1),Model_Matched_Parameters!$K$4,Model_Matched_Parameters!$K$5)))))</f>
        <v>0.3</v>
      </c>
      <c r="J48" s="9">
        <f>SUMIFS('Indirect Model Parameters'!$G$11:$G$29,'Indirect Model Parameters'!$D$11:$D$29,Pop_Init!E118,'Indirect Model Parameters'!$E$11:$E$29,Pop_Init!F118)</f>
        <v>0.55000000000000004</v>
      </c>
      <c r="L48" s="9">
        <f t="shared" si="2"/>
        <v>8.2500000000000004E-2</v>
      </c>
      <c r="M48" s="9">
        <f t="shared" si="3"/>
        <v>6.4623772148329267E-3</v>
      </c>
      <c r="N48" s="28">
        <f>M48*'Indirect Model Parameters'!$G$10</f>
        <v>646.23772148329272</v>
      </c>
    </row>
    <row r="49" spans="1:14" ht="48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269</v>
      </c>
      <c r="C49" s="8">
        <v>3</v>
      </c>
      <c r="D49" s="9">
        <v>2</v>
      </c>
      <c r="E49" s="9">
        <v>4</v>
      </c>
      <c r="F49" s="9">
        <v>2</v>
      </c>
      <c r="G49" s="9" t="str">
        <f t="shared" si="5"/>
        <v>N,3,2,4,2</v>
      </c>
      <c r="H49" s="9">
        <f>IF(F49=1,'Indirect Model Parameters'!$G$24,'Indirect Model Parameters'!$G$25)</f>
        <v>0.5</v>
      </c>
      <c r="I49" s="9">
        <f>IF(AND(C49&lt;3,D49=1),1,IF(AND(C49&lt;3,D49=2),0,IF(AND(C49&gt;2,D49=1,E49 = 1),1-Model_Matched_Parameters!$K$4,IF(AND(C49&gt;2,D49=1,E49 = 2),Model_Matched_Parameters!$K$5,IF(AND(C49&gt;2, D49 = 2, E49 = 1),Model_Matched_Parameters!$K$4,Model_Matched_Parameters!$K$5)))))</f>
        <v>0.3</v>
      </c>
      <c r="J49" s="9">
        <f>SUMIFS('Indirect Model Parameters'!$G$11:$G$29,'Indirect Model Parameters'!$D$11:$D$29,Pop_Init!E119,'Indirect Model Parameters'!$E$11:$E$29,Pop_Init!F119)</f>
        <v>0.55000000000000004</v>
      </c>
      <c r="L49" s="9">
        <f t="shared" si="2"/>
        <v>8.2500000000000004E-2</v>
      </c>
      <c r="M49" s="9">
        <f t="shared" si="3"/>
        <v>6.4623772148329267E-3</v>
      </c>
      <c r="N49" s="28">
        <f>M49*'Indirect Model Parameters'!$G$10</f>
        <v>646.23772148329272</v>
      </c>
    </row>
    <row r="50" spans="1:14" ht="32">
      <c r="A50" s="1" t="str">
        <f t="shared" si="4"/>
        <v>Population in TB compartment  LTBI, infected remotely with Drug-susceptible (DS) in HIV compartment  HIV-negative and Male</v>
      </c>
      <c r="B50" s="8" t="s">
        <v>269</v>
      </c>
      <c r="C50" s="8">
        <v>4</v>
      </c>
      <c r="D50" s="9">
        <v>1</v>
      </c>
      <c r="E50" s="9">
        <v>1</v>
      </c>
      <c r="F50" s="9">
        <v>1</v>
      </c>
      <c r="G50" s="9" t="str">
        <f t="shared" si="5"/>
        <v>N,4,1,1,1</v>
      </c>
      <c r="H50" s="9">
        <f>IF(F50=1,'Indirect Model Parameters'!$G$22,'Indirect Model Parameters'!$G$23)</f>
        <v>0.49</v>
      </c>
      <c r="I50" s="9">
        <f>IF(AND(C50&lt;3,D50=1),1,IF(AND(C50&lt;3,D50=2),0,IF(AND(C50&gt;2,D50=1,E50 = 1),1-Model_Matched_Parameters!$K$4,IF(AND(C50&gt;2,D50=1,E50 = 2),Model_Matched_Parameters!$K$5,IF(AND(C50&gt;2, D50 = 2, E50 = 1),Model_Matched_Parameters!$K$4,Model_Matched_Parameters!$K$5)))))</f>
        <v>0.7</v>
      </c>
      <c r="J50" s="9">
        <f>SUMIFS('Indirect Model Parameters'!$G$11:$G$29,'Indirect Model Parameters'!$D$11:$D$29,Pop_Init!E8,'Indirect Model Parameters'!$E$11:$E$29,Pop_Init!F8)</f>
        <v>0.55000000000000004</v>
      </c>
      <c r="L50" s="9">
        <f t="shared" si="2"/>
        <v>0.18865000000000001</v>
      </c>
      <c r="M50" s="9">
        <f t="shared" si="3"/>
        <v>1.4777302564584626E-2</v>
      </c>
      <c r="N50" s="28">
        <f>M50*'Indirect Model Parameters'!$G$10</f>
        <v>1477.7302564584627</v>
      </c>
    </row>
    <row r="51" spans="1:14" ht="48">
      <c r="A51" s="1" t="str">
        <f t="shared" si="4"/>
        <v>Population in TB compartment  LTBI, infected remotely with  Multidrug-resistant (MDR-TB) in HIV compartment  HIV-negative and Male</v>
      </c>
      <c r="B51" s="8" t="s">
        <v>269</v>
      </c>
      <c r="C51" s="8">
        <v>4</v>
      </c>
      <c r="D51" s="9">
        <v>2</v>
      </c>
      <c r="E51" s="9">
        <v>1</v>
      </c>
      <c r="F51" s="9">
        <v>1</v>
      </c>
      <c r="G51" s="9" t="str">
        <f t="shared" si="5"/>
        <v>N,4,2,1,1</v>
      </c>
      <c r="H51" s="9">
        <f>IF(F51=1,'Indirect Model Parameters'!$G$22,'Indirect Model Parameters'!$G$23)</f>
        <v>0.49</v>
      </c>
      <c r="I51" s="9">
        <f>IF(AND(C51&lt;3,D51=1),1,IF(AND(C51&lt;3,D51=2),0,IF(AND(C51&gt;2,D51=1,E51 = 1),1-Model_Matched_Parameters!$K$4,IF(AND(C51&gt;2,D51=1,E51 = 2),Model_Matched_Parameters!$K$5,IF(AND(C51&gt;2, D51 = 2, E51 = 1),Model_Matched_Parameters!$K$4,Model_Matched_Parameters!$K$5)))))</f>
        <v>0.3</v>
      </c>
      <c r="J51" s="9">
        <f>SUMIFS('Indirect Model Parameters'!$G$11:$G$29,'Indirect Model Parameters'!$D$11:$D$29,Pop_Init!E9,'Indirect Model Parameters'!$E$11:$E$29,Pop_Init!F9)</f>
        <v>0.55000000000000004</v>
      </c>
      <c r="L51" s="9">
        <f t="shared" si="2"/>
        <v>8.0850000000000005E-2</v>
      </c>
      <c r="M51" s="9">
        <f t="shared" si="3"/>
        <v>6.3331296705362687E-3</v>
      </c>
      <c r="N51" s="28">
        <f>M51*'Indirect Model Parameters'!$G$10</f>
        <v>633.31296705362683</v>
      </c>
    </row>
    <row r="52" spans="1:14" ht="32">
      <c r="A52" s="1" t="str">
        <f t="shared" si="4"/>
        <v>Population in TB compartment  LTBI, infected remotely with Drug-susceptible (DS) in HIV compartment  HIV-negative and Female</v>
      </c>
      <c r="B52" s="8" t="s">
        <v>269</v>
      </c>
      <c r="C52" s="8">
        <v>4</v>
      </c>
      <c r="D52" s="9">
        <v>1</v>
      </c>
      <c r="E52" s="9">
        <v>1</v>
      </c>
      <c r="F52" s="9">
        <v>2</v>
      </c>
      <c r="G52" s="9" t="str">
        <f t="shared" si="5"/>
        <v>N,4,1,1,2</v>
      </c>
      <c r="H52" s="9">
        <f>IF(F52=1,'Indirect Model Parameters'!$G$22,'Indirect Model Parameters'!$G$23)</f>
        <v>0.49</v>
      </c>
      <c r="I52" s="9">
        <f>IF(AND(C52&lt;3,D52=1),1,IF(AND(C52&lt;3,D52=2),0,IF(AND(C52&gt;2,D52=1,E52 = 1),1-Model_Matched_Parameters!$K$4,IF(AND(C52&gt;2,D52=1,E52 = 2),Model_Matched_Parameters!$K$5,IF(AND(C52&gt;2, D52 = 2, E52 = 1),Model_Matched_Parameters!$K$4,Model_Matched_Parameters!$K$5)))))</f>
        <v>0.7</v>
      </c>
      <c r="J52" s="9">
        <f>SUMIFS('Indirect Model Parameters'!$G$11:$G$29,'Indirect Model Parameters'!$D$11:$D$29,Pop_Init!E72,'Indirect Model Parameters'!$E$11:$E$29,Pop_Init!F72)</f>
        <v>0.55000000000000004</v>
      </c>
      <c r="L52" s="9">
        <f t="shared" si="2"/>
        <v>0.18865000000000001</v>
      </c>
      <c r="M52" s="9">
        <f t="shared" si="3"/>
        <v>1.4777302564584626E-2</v>
      </c>
      <c r="N52" s="28">
        <f>M52*'Indirect Model Parameters'!$G$10</f>
        <v>1477.7302564584627</v>
      </c>
    </row>
    <row r="53" spans="1:14" ht="48">
      <c r="A53" s="1" t="str">
        <f t="shared" si="4"/>
        <v>Population in TB compartment  LTBI, infected remotely with  Multidrug-resistant (MDR-TB) in HIV compartment  HIV-negative and Female</v>
      </c>
      <c r="B53" s="8" t="s">
        <v>269</v>
      </c>
      <c r="C53" s="8">
        <v>4</v>
      </c>
      <c r="D53" s="9">
        <v>2</v>
      </c>
      <c r="E53" s="9">
        <v>1</v>
      </c>
      <c r="F53" s="9">
        <v>2</v>
      </c>
      <c r="G53" s="9" t="str">
        <f t="shared" si="5"/>
        <v>N,4,2,1,2</v>
      </c>
      <c r="H53" s="9">
        <f>IF(F53=1,'Indirect Model Parameters'!$G$22,'Indirect Model Parameters'!$G$23)</f>
        <v>0.49</v>
      </c>
      <c r="I53" s="9">
        <f>IF(AND(C53&lt;3,D53=1),1,IF(AND(C53&lt;3,D53=2),0,IF(AND(C53&gt;2,D53=1,E53 = 1),1-Model_Matched_Parameters!$K$4,IF(AND(C53&gt;2,D53=1,E53 = 2),Model_Matched_Parameters!$K$5,IF(AND(C53&gt;2, D53 = 2, E53 = 1),Model_Matched_Parameters!$K$4,Model_Matched_Parameters!$K$5)))))</f>
        <v>0.3</v>
      </c>
      <c r="J53" s="9">
        <f>SUMIFS('Indirect Model Parameters'!$G$11:$G$29,'Indirect Model Parameters'!$D$11:$D$29,Pop_Init!E73,'Indirect Model Parameters'!$E$11:$E$29,Pop_Init!F73)</f>
        <v>0.55000000000000004</v>
      </c>
      <c r="L53" s="9">
        <f t="shared" si="2"/>
        <v>8.0850000000000005E-2</v>
      </c>
      <c r="M53" s="9">
        <f t="shared" si="3"/>
        <v>6.3331296705362687E-3</v>
      </c>
      <c r="N53" s="28">
        <f>M53*'Indirect Model Parameters'!$G$10</f>
        <v>633.31296705362683</v>
      </c>
    </row>
    <row r="54" spans="1:14" ht="48">
      <c r="A54" s="1" t="str">
        <f t="shared" si="4"/>
        <v>Population in TB compartment  LTBI, infected remotely with Drug-susceptible (DS) in HIV compartment  PLHIV not on ART, CD4&gt;200 and Male</v>
      </c>
      <c r="B54" s="8" t="s">
        <v>269</v>
      </c>
      <c r="C54" s="8">
        <v>4</v>
      </c>
      <c r="D54" s="9">
        <v>1</v>
      </c>
      <c r="E54" s="9">
        <v>2</v>
      </c>
      <c r="F54" s="9">
        <v>1</v>
      </c>
      <c r="G54" s="9" t="str">
        <f t="shared" si="5"/>
        <v>N,4,1,2,1</v>
      </c>
      <c r="H54" s="9">
        <f>IF(F54=1,'Indirect Model Parameters'!$G$24,'Indirect Model Parameters'!$G$25)</f>
        <v>0.5</v>
      </c>
      <c r="I54" s="9">
        <f>IF(AND(C54&lt;3,D54=1),1,IF(AND(C54&lt;3,D54=2),0,IF(AND(C54&gt;2,D54=1,E54 = 1),1-Model_Matched_Parameters!$K$4,IF(AND(C54&gt;2,D54=1,E54 = 2),Model_Matched_Parameters!$K$5,IF(AND(C54&gt;2, D54 = 2, E54 = 1),Model_Matched_Parameters!$K$4,Model_Matched_Parameters!$K$5)))))</f>
        <v>0.3</v>
      </c>
      <c r="J54" s="9">
        <f>SUMIFS('Indirect Model Parameters'!$G$11:$G$29,'Indirect Model Parameters'!$D$11:$D$29,Pop_Init!E24,'Indirect Model Parameters'!$E$11:$E$29,Pop_Init!F24)</f>
        <v>0.55000000000000004</v>
      </c>
      <c r="L54" s="9">
        <f t="shared" si="2"/>
        <v>8.2500000000000004E-2</v>
      </c>
      <c r="M54" s="9">
        <f t="shared" si="3"/>
        <v>6.4623772148329267E-3</v>
      </c>
      <c r="N54" s="28">
        <f>M54*'Indirect Model Parameters'!$G$10</f>
        <v>646.23772148329272</v>
      </c>
    </row>
    <row r="55" spans="1:14" ht="48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269</v>
      </c>
      <c r="C55" s="8">
        <v>4</v>
      </c>
      <c r="D55" s="9">
        <v>2</v>
      </c>
      <c r="E55" s="9">
        <v>2</v>
      </c>
      <c r="F55" s="9">
        <v>1</v>
      </c>
      <c r="G55" s="9" t="str">
        <f t="shared" si="5"/>
        <v>N,4,2,2,1</v>
      </c>
      <c r="H55" s="9">
        <f>IF(F55=1,'Indirect Model Parameters'!$G$24,'Indirect Model Parameters'!$G$25)</f>
        <v>0.5</v>
      </c>
      <c r="I55" s="9">
        <f>IF(AND(C55&lt;3,D55=1),1,IF(AND(C55&lt;3,D55=2),0,IF(AND(C55&gt;2,D55=1,E55 = 1),1-Model_Matched_Parameters!$K$4,IF(AND(C55&gt;2,D55=1,E55 = 2),Model_Matched_Parameters!$K$5,IF(AND(C55&gt;2, D55 = 2, E55 = 1),Model_Matched_Parameters!$K$4,Model_Matched_Parameters!$K$5)))))</f>
        <v>0.3</v>
      </c>
      <c r="J55" s="9">
        <f>SUMIFS('Indirect Model Parameters'!$G$11:$G$29,'Indirect Model Parameters'!$D$11:$D$29,Pop_Init!E25,'Indirect Model Parameters'!$E$11:$E$29,Pop_Init!F25)</f>
        <v>0.55000000000000004</v>
      </c>
      <c r="L55" s="9">
        <f t="shared" si="2"/>
        <v>8.2500000000000004E-2</v>
      </c>
      <c r="M55" s="9">
        <f t="shared" si="3"/>
        <v>6.4623772148329267E-3</v>
      </c>
      <c r="N55" s="28">
        <f>M55*'Indirect Model Parameters'!$G$10</f>
        <v>646.23772148329272</v>
      </c>
    </row>
    <row r="56" spans="1:14" ht="48">
      <c r="A56" s="1" t="str">
        <f t="shared" si="4"/>
        <v>Population in TB compartment  LTBI, infected remotely with Drug-susceptible (DS) in HIV compartment  PLHIV not on ART, CD4&gt;200 and Female</v>
      </c>
      <c r="B56" s="8" t="s">
        <v>269</v>
      </c>
      <c r="C56" s="8">
        <v>4</v>
      </c>
      <c r="D56" s="9">
        <v>1</v>
      </c>
      <c r="E56" s="9">
        <v>2</v>
      </c>
      <c r="F56" s="9">
        <v>2</v>
      </c>
      <c r="G56" s="9" t="str">
        <f t="shared" si="5"/>
        <v>N,4,1,2,2</v>
      </c>
      <c r="H56" s="9">
        <f>IF(F56=1,'Indirect Model Parameters'!$G$24,'Indirect Model Parameters'!$G$25)</f>
        <v>0.5</v>
      </c>
      <c r="I56" s="9">
        <f>IF(AND(C56&lt;3,D56=1),1,IF(AND(C56&lt;3,D56=2),0,IF(AND(C56&gt;2,D56=1,E56 = 1),1-Model_Matched_Parameters!$K$4,IF(AND(C56&gt;2,D56=1,E56 = 2),Model_Matched_Parameters!$K$5,IF(AND(C56&gt;2, D56 = 2, E56 = 1),Model_Matched_Parameters!$K$4,Model_Matched_Parameters!$K$5)))))</f>
        <v>0.3</v>
      </c>
      <c r="J56" s="9">
        <f>SUMIFS('Indirect Model Parameters'!$G$11:$G$29,'Indirect Model Parameters'!$D$11:$D$29,Pop_Init!E88,'Indirect Model Parameters'!$E$11:$E$29,Pop_Init!F88)</f>
        <v>0.55000000000000004</v>
      </c>
      <c r="L56" s="9">
        <f t="shared" si="2"/>
        <v>8.2500000000000004E-2</v>
      </c>
      <c r="M56" s="9">
        <f t="shared" si="3"/>
        <v>6.4623772148329267E-3</v>
      </c>
      <c r="N56" s="28">
        <f>M56*'Indirect Model Parameters'!$G$10</f>
        <v>646.23772148329272</v>
      </c>
    </row>
    <row r="57" spans="1:14" ht="48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269</v>
      </c>
      <c r="C57" s="8">
        <v>4</v>
      </c>
      <c r="D57" s="9">
        <v>2</v>
      </c>
      <c r="E57" s="9">
        <v>2</v>
      </c>
      <c r="F57" s="9">
        <v>2</v>
      </c>
      <c r="G57" s="9" t="str">
        <f t="shared" si="5"/>
        <v>N,4,2,2,2</v>
      </c>
      <c r="H57" s="9">
        <f>IF(F57=1,'Indirect Model Parameters'!$G$24,'Indirect Model Parameters'!$G$25)</f>
        <v>0.5</v>
      </c>
      <c r="I57" s="9">
        <f>IF(AND(C57&lt;3,D57=1),1,IF(AND(C57&lt;3,D57=2),0,IF(AND(C57&gt;2,D57=1,E57 = 1),1-Model_Matched_Parameters!$K$4,IF(AND(C57&gt;2,D57=1,E57 = 2),Model_Matched_Parameters!$K$5,IF(AND(C57&gt;2, D57 = 2, E57 = 1),Model_Matched_Parameters!$K$4,Model_Matched_Parameters!$K$5)))))</f>
        <v>0.3</v>
      </c>
      <c r="J57" s="9">
        <f>SUMIFS('Indirect Model Parameters'!$G$11:$G$29,'Indirect Model Parameters'!$D$11:$D$29,Pop_Init!E89,'Indirect Model Parameters'!$E$11:$E$29,Pop_Init!F89)</f>
        <v>0.55000000000000004</v>
      </c>
      <c r="L57" s="9">
        <f t="shared" si="2"/>
        <v>8.2500000000000004E-2</v>
      </c>
      <c r="M57" s="9">
        <f t="shared" si="3"/>
        <v>6.4623772148329267E-3</v>
      </c>
      <c r="N57" s="28">
        <f>M57*'Indirect Model Parameters'!$G$10</f>
        <v>646.23772148329272</v>
      </c>
    </row>
    <row r="58" spans="1:14" ht="48">
      <c r="A58" s="1" t="str">
        <f t="shared" si="4"/>
        <v>Population in TB compartment  LTBI, infected remotely with Drug-susceptible (DS) in HIV compartment  PLHIV not on ART, CD4≤200 and Male</v>
      </c>
      <c r="B58" s="8" t="s">
        <v>269</v>
      </c>
      <c r="C58" s="8">
        <v>4</v>
      </c>
      <c r="D58" s="9">
        <v>1</v>
      </c>
      <c r="E58" s="9">
        <v>3</v>
      </c>
      <c r="F58" s="9">
        <v>1</v>
      </c>
      <c r="G58" s="9" t="str">
        <f t="shared" si="5"/>
        <v>N,4,1,3,1</v>
      </c>
      <c r="H58" s="9">
        <f>IF(F58=1,'Indirect Model Parameters'!$G$24,'Indirect Model Parameters'!$G$25)</f>
        <v>0.5</v>
      </c>
      <c r="I58" s="9">
        <f>IF(AND(C58&lt;3,D58=1),1,IF(AND(C58&lt;3,D58=2),0,IF(AND(C58&gt;2,D58=1,E58 = 1),1-Model_Matched_Parameters!$K$4,IF(AND(C58&gt;2,D58=1,E58 = 2),Model_Matched_Parameters!$K$5,IF(AND(C58&gt;2, D58 = 2, E58 = 1),Model_Matched_Parameters!$K$4,Model_Matched_Parameters!$K$5)))))</f>
        <v>0.3</v>
      </c>
      <c r="J58" s="9">
        <f>SUMIFS('Indirect Model Parameters'!$G$11:$G$29,'Indirect Model Parameters'!$D$11:$D$29,Pop_Init!E40,'Indirect Model Parameters'!$E$11:$E$29,Pop_Init!F40)</f>
        <v>0.55000000000000004</v>
      </c>
      <c r="L58" s="9">
        <f t="shared" si="2"/>
        <v>8.2500000000000004E-2</v>
      </c>
      <c r="M58" s="9">
        <f t="shared" si="3"/>
        <v>6.4623772148329267E-3</v>
      </c>
      <c r="N58" s="28">
        <f>M58*'Indirect Model Parameters'!$G$10</f>
        <v>646.23772148329272</v>
      </c>
    </row>
    <row r="59" spans="1:14" ht="48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269</v>
      </c>
      <c r="C59" s="8">
        <v>4</v>
      </c>
      <c r="D59" s="9">
        <v>2</v>
      </c>
      <c r="E59" s="9">
        <v>3</v>
      </c>
      <c r="F59" s="9">
        <v>1</v>
      </c>
      <c r="G59" s="9" t="str">
        <f t="shared" si="5"/>
        <v>N,4,2,3,1</v>
      </c>
      <c r="H59" s="9">
        <f>IF(F59=1,'Indirect Model Parameters'!$G$24,'Indirect Model Parameters'!$G$25)</f>
        <v>0.5</v>
      </c>
      <c r="I59" s="9">
        <f>IF(AND(C59&lt;3,D59=1),1,IF(AND(C59&lt;3,D59=2),0,IF(AND(C59&gt;2,D59=1,E59 = 1),1-Model_Matched_Parameters!$K$4,IF(AND(C59&gt;2,D59=1,E59 = 2),Model_Matched_Parameters!$K$5,IF(AND(C59&gt;2, D59 = 2, E59 = 1),Model_Matched_Parameters!$K$4,Model_Matched_Parameters!$K$5)))))</f>
        <v>0.3</v>
      </c>
      <c r="J59" s="9">
        <f>SUMIFS('Indirect Model Parameters'!$G$11:$G$29,'Indirect Model Parameters'!$D$11:$D$29,Pop_Init!E41,'Indirect Model Parameters'!$E$11:$E$29,Pop_Init!F41)</f>
        <v>0.55000000000000004</v>
      </c>
      <c r="L59" s="9">
        <f t="shared" si="2"/>
        <v>8.2500000000000004E-2</v>
      </c>
      <c r="M59" s="9">
        <f t="shared" si="3"/>
        <v>6.4623772148329267E-3</v>
      </c>
      <c r="N59" s="28">
        <f>M59*'Indirect Model Parameters'!$G$10</f>
        <v>646.23772148329272</v>
      </c>
    </row>
    <row r="60" spans="1:14" ht="48">
      <c r="A60" s="1" t="str">
        <f t="shared" si="4"/>
        <v>Population in TB compartment  LTBI, infected remotely with Drug-susceptible (DS) in HIV compartment  PLHIV not on ART, CD4≤200 and Female</v>
      </c>
      <c r="B60" s="8" t="s">
        <v>269</v>
      </c>
      <c r="C60" s="8">
        <v>4</v>
      </c>
      <c r="D60" s="9">
        <v>1</v>
      </c>
      <c r="E60" s="9">
        <v>3</v>
      </c>
      <c r="F60" s="9">
        <v>2</v>
      </c>
      <c r="G60" s="9" t="str">
        <f t="shared" si="5"/>
        <v>N,4,1,3,2</v>
      </c>
      <c r="H60" s="9">
        <f>IF(F60=1,'Indirect Model Parameters'!$G$24,'Indirect Model Parameters'!$G$25)</f>
        <v>0.5</v>
      </c>
      <c r="I60" s="9">
        <f>IF(AND(C60&lt;3,D60=1),1,IF(AND(C60&lt;3,D60=2),0,IF(AND(C60&gt;2,D60=1,E60 = 1),1-Model_Matched_Parameters!$K$4,IF(AND(C60&gt;2,D60=1,E60 = 2),Model_Matched_Parameters!$K$5,IF(AND(C60&gt;2, D60 = 2, E60 = 1),Model_Matched_Parameters!$K$4,Model_Matched_Parameters!$K$5)))))</f>
        <v>0.3</v>
      </c>
      <c r="J60" s="9">
        <f>SUMIFS('Indirect Model Parameters'!$G$11:$G$29,'Indirect Model Parameters'!$D$11:$D$29,Pop_Init!E104,'Indirect Model Parameters'!$E$11:$E$29,Pop_Init!F104)</f>
        <v>0.55000000000000004</v>
      </c>
      <c r="L60" s="9">
        <f t="shared" si="2"/>
        <v>8.2500000000000004E-2</v>
      </c>
      <c r="M60" s="9">
        <f t="shared" si="3"/>
        <v>6.4623772148329267E-3</v>
      </c>
      <c r="N60" s="28">
        <f>M60*'Indirect Model Parameters'!$G$10</f>
        <v>646.23772148329272</v>
      </c>
    </row>
    <row r="61" spans="1:14" ht="48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269</v>
      </c>
      <c r="C61" s="8">
        <v>4</v>
      </c>
      <c r="D61" s="9">
        <v>2</v>
      </c>
      <c r="E61" s="9">
        <v>3</v>
      </c>
      <c r="F61" s="9">
        <v>2</v>
      </c>
      <c r="G61" s="9" t="str">
        <f t="shared" si="5"/>
        <v>N,4,2,3,2</v>
      </c>
      <c r="H61" s="9">
        <f>IF(F61=1,'Indirect Model Parameters'!$G$24,'Indirect Model Parameters'!$G$25)</f>
        <v>0.5</v>
      </c>
      <c r="I61" s="9">
        <f>IF(AND(C61&lt;3,D61=1),1,IF(AND(C61&lt;3,D61=2),0,IF(AND(C61&gt;2,D61=1,E61 = 1),1-Model_Matched_Parameters!$K$4,IF(AND(C61&gt;2,D61=1,E61 = 2),Model_Matched_Parameters!$K$5,IF(AND(C61&gt;2, D61 = 2, E61 = 1),Model_Matched_Parameters!$K$4,Model_Matched_Parameters!$K$5)))))</f>
        <v>0.3</v>
      </c>
      <c r="J61" s="9">
        <f>SUMIFS('Indirect Model Parameters'!$G$11:$G$29,'Indirect Model Parameters'!$D$11:$D$29,Pop_Init!E105,'Indirect Model Parameters'!$E$11:$E$29,Pop_Init!F105)</f>
        <v>0.55000000000000004</v>
      </c>
      <c r="L61" s="9">
        <f t="shared" si="2"/>
        <v>8.2500000000000004E-2</v>
      </c>
      <c r="M61" s="9">
        <f t="shared" si="3"/>
        <v>6.4623772148329267E-3</v>
      </c>
      <c r="N61" s="28">
        <f>M61*'Indirect Model Parameters'!$G$10</f>
        <v>646.23772148329272</v>
      </c>
    </row>
    <row r="62" spans="1:14" ht="32">
      <c r="A62" s="1" t="str">
        <f t="shared" si="4"/>
        <v>Population in TB compartment  LTBI, infected remotely with Drug-susceptible (DS) in HIV compartment  PLHIV and on ART and Male</v>
      </c>
      <c r="B62" s="8" t="s">
        <v>269</v>
      </c>
      <c r="C62" s="8">
        <v>4</v>
      </c>
      <c r="D62" s="9">
        <v>1</v>
      </c>
      <c r="E62" s="9">
        <v>4</v>
      </c>
      <c r="F62" s="9">
        <v>1</v>
      </c>
      <c r="G62" s="9" t="str">
        <f t="shared" si="5"/>
        <v>N,4,1,4,1</v>
      </c>
      <c r="H62" s="9">
        <f>IF(F62=1,'Indirect Model Parameters'!$G$24,'Indirect Model Parameters'!$G$25)</f>
        <v>0.5</v>
      </c>
      <c r="I62" s="9">
        <f>IF(AND(C62&lt;3,D62=1),1,IF(AND(C62&lt;3,D62=2),0,IF(AND(C62&gt;2,D62=1,E62 = 1),1-Model_Matched_Parameters!$K$4,IF(AND(C62&gt;2,D62=1,E62 = 2),Model_Matched_Parameters!$K$5,IF(AND(C62&gt;2, D62 = 2, E62 = 1),Model_Matched_Parameters!$K$4,Model_Matched_Parameters!$K$5)))))</f>
        <v>0.3</v>
      </c>
      <c r="J62" s="9">
        <f>SUMIFS('Indirect Model Parameters'!$G$11:$G$29,'Indirect Model Parameters'!$D$11:$D$29,Pop_Init!E56,'Indirect Model Parameters'!$E$11:$E$29,Pop_Init!F56)</f>
        <v>0.55000000000000004</v>
      </c>
      <c r="L62" s="9">
        <f t="shared" si="2"/>
        <v>8.2500000000000004E-2</v>
      </c>
      <c r="M62" s="9">
        <f t="shared" si="3"/>
        <v>6.4623772148329267E-3</v>
      </c>
      <c r="N62" s="28">
        <f>M62*'Indirect Model Parameters'!$G$10</f>
        <v>646.23772148329272</v>
      </c>
    </row>
    <row r="63" spans="1:14" ht="48">
      <c r="A63" s="1" t="str">
        <f t="shared" si="4"/>
        <v>Population in TB compartment  LTBI, infected remotely with  Multidrug-resistant (MDR-TB) in HIV compartment  PLHIV and on ART and Male</v>
      </c>
      <c r="B63" s="8" t="s">
        <v>269</v>
      </c>
      <c r="C63" s="8">
        <v>4</v>
      </c>
      <c r="D63" s="9">
        <v>2</v>
      </c>
      <c r="E63" s="9">
        <v>4</v>
      </c>
      <c r="F63" s="9">
        <v>1</v>
      </c>
      <c r="G63" s="9" t="str">
        <f t="shared" si="5"/>
        <v>N,4,2,4,1</v>
      </c>
      <c r="H63" s="9">
        <f>IF(F63=1,'Indirect Model Parameters'!$G$24,'Indirect Model Parameters'!$G$25)</f>
        <v>0.5</v>
      </c>
      <c r="I63" s="9">
        <f>IF(AND(C63&lt;3,D63=1),1,IF(AND(C63&lt;3,D63=2),0,IF(AND(C63&gt;2,D63=1,E63 = 1),1-Model_Matched_Parameters!$K$4,IF(AND(C63&gt;2,D63=1,E63 = 2),Model_Matched_Parameters!$K$5,IF(AND(C63&gt;2, D63 = 2, E63 = 1),Model_Matched_Parameters!$K$4,Model_Matched_Parameters!$K$5)))))</f>
        <v>0.3</v>
      </c>
      <c r="J63" s="9">
        <f>SUMIFS('Indirect Model Parameters'!$G$11:$G$29,'Indirect Model Parameters'!$D$11:$D$29,Pop_Init!E57,'Indirect Model Parameters'!$E$11:$E$29,Pop_Init!F57)</f>
        <v>0.55000000000000004</v>
      </c>
      <c r="L63" s="9">
        <f t="shared" si="2"/>
        <v>8.2500000000000004E-2</v>
      </c>
      <c r="M63" s="9">
        <f t="shared" si="3"/>
        <v>6.4623772148329267E-3</v>
      </c>
      <c r="N63" s="28">
        <f>M63*'Indirect Model Parameters'!$G$10</f>
        <v>646.23772148329272</v>
      </c>
    </row>
    <row r="64" spans="1:14" ht="48">
      <c r="A64" s="1" t="str">
        <f t="shared" si="4"/>
        <v>Population in TB compartment  LTBI, infected remotely with Drug-susceptible (DS) in HIV compartment  PLHIV and on ART and Female</v>
      </c>
      <c r="B64" s="8" t="s">
        <v>269</v>
      </c>
      <c r="C64" s="8">
        <v>4</v>
      </c>
      <c r="D64" s="9">
        <v>1</v>
      </c>
      <c r="E64" s="9">
        <v>4</v>
      </c>
      <c r="F64" s="9">
        <v>2</v>
      </c>
      <c r="G64" s="9" t="str">
        <f t="shared" si="5"/>
        <v>N,4,1,4,2</v>
      </c>
      <c r="H64" s="9">
        <f>IF(F64=1,'Indirect Model Parameters'!$G$24,'Indirect Model Parameters'!$G$25)</f>
        <v>0.5</v>
      </c>
      <c r="I64" s="9">
        <f>IF(AND(C64&lt;3,D64=1),1,IF(AND(C64&lt;3,D64=2),0,IF(AND(C64&gt;2,D64=1,E64 = 1),1-Model_Matched_Parameters!$K$4,IF(AND(C64&gt;2,D64=1,E64 = 2),Model_Matched_Parameters!$K$5,IF(AND(C64&gt;2, D64 = 2, E64 = 1),Model_Matched_Parameters!$K$4,Model_Matched_Parameters!$K$5)))))</f>
        <v>0.3</v>
      </c>
      <c r="J64" s="9">
        <f>SUMIFS('Indirect Model Parameters'!$G$11:$G$29,'Indirect Model Parameters'!$D$11:$D$29,Pop_Init!E120,'Indirect Model Parameters'!$E$11:$E$29,Pop_Init!F120)</f>
        <v>0.55000000000000004</v>
      </c>
      <c r="L64" s="9">
        <f t="shared" si="2"/>
        <v>8.2500000000000004E-2</v>
      </c>
      <c r="M64" s="9">
        <f t="shared" si="3"/>
        <v>6.4623772148329267E-3</v>
      </c>
      <c r="N64" s="28">
        <f>M64*'Indirect Model Parameters'!$G$10</f>
        <v>646.23772148329272</v>
      </c>
    </row>
    <row r="65" spans="1:14" ht="48">
      <c r="A65" s="1" t="str">
        <f t="shared" si="4"/>
        <v>Population in TB compartment  LTBI, infected remotely with  Multidrug-resistant (MDR-TB) in HIV compartment  PLHIV and on ART and Female</v>
      </c>
      <c r="B65" s="8" t="s">
        <v>269</v>
      </c>
      <c r="C65" s="8">
        <v>4</v>
      </c>
      <c r="D65" s="9">
        <v>2</v>
      </c>
      <c r="E65" s="9">
        <v>4</v>
      </c>
      <c r="F65" s="9">
        <v>2</v>
      </c>
      <c r="G65" s="9" t="str">
        <f t="shared" si="5"/>
        <v>N,4,2,4,2</v>
      </c>
      <c r="H65" s="9">
        <f>IF(F65=1,'Indirect Model Parameters'!$G$24,'Indirect Model Parameters'!$G$25)</f>
        <v>0.5</v>
      </c>
      <c r="I65" s="9">
        <f>IF(AND(C65&lt;3,D65=1),1,IF(AND(C65&lt;3,D65=2),0,IF(AND(C65&gt;2,D65=1,E65 = 1),1-Model_Matched_Parameters!$K$4,IF(AND(C65&gt;2,D65=1,E65 = 2),Model_Matched_Parameters!$K$5,IF(AND(C65&gt;2, D65 = 2, E65 = 1),Model_Matched_Parameters!$K$4,Model_Matched_Parameters!$K$5)))))</f>
        <v>0.3</v>
      </c>
      <c r="J65" s="9">
        <f>SUMIFS('Indirect Model Parameters'!$G$11:$G$29,'Indirect Model Parameters'!$D$11:$D$29,Pop_Init!E121,'Indirect Model Parameters'!$E$11:$E$29,Pop_Init!F121)</f>
        <v>0.55000000000000004</v>
      </c>
      <c r="L65" s="9">
        <f t="shared" si="2"/>
        <v>8.2500000000000004E-2</v>
      </c>
      <c r="M65" s="9">
        <f t="shared" si="3"/>
        <v>6.4623772148329267E-3</v>
      </c>
      <c r="N65" s="28">
        <f>M65*'Indirect Model Parameters'!$G$10</f>
        <v>646.23772148329272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269</v>
      </c>
      <c r="C66" s="8">
        <v>5</v>
      </c>
      <c r="D66" s="9">
        <v>1</v>
      </c>
      <c r="E66" s="9">
        <v>1</v>
      </c>
      <c r="F66" s="9">
        <v>1</v>
      </c>
      <c r="G66" s="9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IF(F66=1,'Indirect Model Parameters'!$G$22,'Indirect Model Parameters'!$G$23)</f>
        <v>0.49</v>
      </c>
      <c r="I66" s="9">
        <f>IF(AND(C66&lt;3,D66=1),1,IF(AND(C66&lt;3,D66=2),0,IF(AND(C66&gt;2,D66=1,E66 = 1),1-Model_Matched_Parameters!$K$4,IF(AND(C66&gt;2,D66=1,E66 = 2),Model_Matched_Parameters!$K$5,IF(AND(C66&gt;2, D66 = 2, E66 = 1),Model_Matched_Parameters!$K$4,Model_Matched_Parameters!$K$5)))))</f>
        <v>0.7</v>
      </c>
      <c r="J66" s="9">
        <f>SUMIFS('Indirect Model Parameters'!$G$11:$G$29,'Indirect Model Parameters'!$D$11:$D$29,Pop_Init!E10,'Indirect Model Parameters'!$E$11:$E$29,Pop_Init!F10)</f>
        <v>0.17999999999999994</v>
      </c>
      <c r="L66" s="9">
        <f t="shared" si="2"/>
        <v>6.1739999999999975E-2</v>
      </c>
      <c r="M66" s="9">
        <f t="shared" si="3"/>
        <v>4.836208112045875E-3</v>
      </c>
      <c r="N66" s="28">
        <f>M66*'Indirect Model Parameters'!$G$10</f>
        <v>483.62081120458748</v>
      </c>
    </row>
    <row r="67" spans="1:14" ht="32">
      <c r="A67" s="1" t="str">
        <f t="shared" si="6"/>
        <v>Population in TB compartment  LTBI, on IPT with  Multidrug-resistant (MDR-TB) in HIV compartment  HIV-negative and Male</v>
      </c>
      <c r="B67" s="8" t="s">
        <v>269</v>
      </c>
      <c r="C67" s="8">
        <v>5</v>
      </c>
      <c r="D67" s="9">
        <v>2</v>
      </c>
      <c r="E67" s="9">
        <v>1</v>
      </c>
      <c r="F67" s="9">
        <v>1</v>
      </c>
      <c r="G67" s="9" t="str">
        <f t="shared" si="7"/>
        <v>N,5,2,1,1</v>
      </c>
      <c r="H67" s="9">
        <f>IF(F67=1,'Indirect Model Parameters'!$G$22,'Indirect Model Parameters'!$G$23)</f>
        <v>0.49</v>
      </c>
      <c r="I67" s="9">
        <f>IF(AND(C67&lt;3,D67=1),1,IF(AND(C67&lt;3,D67=2),0,IF(AND(C67&gt;2,D67=1,E67 = 1),1-Model_Matched_Parameters!$K$4,IF(AND(C67&gt;2,D67=1,E67 = 2),Model_Matched_Parameters!$K$5,IF(AND(C67&gt;2, D67 = 2, E67 = 1),Model_Matched_Parameters!$K$4,Model_Matched_Parameters!$K$5)))))</f>
        <v>0.3</v>
      </c>
      <c r="J67" s="9">
        <f>SUMIFS('Indirect Model Parameters'!$G$11:$G$29,'Indirect Model Parameters'!$D$11:$D$29,Pop_Init!E11,'Indirect Model Parameters'!$E$11:$E$29,Pop_Init!F11)</f>
        <v>0.17999999999999994</v>
      </c>
      <c r="L67" s="9">
        <f t="shared" ref="L67:L129" si="8">PRODUCT(H67:J67)</f>
        <v>2.645999999999999E-2</v>
      </c>
      <c r="M67" s="9">
        <f t="shared" ref="M67:M129" si="9">L67/SUM($L$2:$L$129)</f>
        <v>2.0726606194482323E-3</v>
      </c>
      <c r="N67" s="28">
        <f>M67*'Indirect Model Parameters'!$G$10</f>
        <v>207.26606194482324</v>
      </c>
    </row>
    <row r="68" spans="1:14" ht="32">
      <c r="A68" s="1" t="str">
        <f t="shared" si="6"/>
        <v>Population in TB compartment  LTBI, on IPT with Drug-susceptible (DS) in HIV compartment  HIV-negative and Female</v>
      </c>
      <c r="B68" s="8" t="s">
        <v>269</v>
      </c>
      <c r="C68" s="8">
        <v>5</v>
      </c>
      <c r="D68" s="9">
        <v>1</v>
      </c>
      <c r="E68" s="9">
        <v>1</v>
      </c>
      <c r="F68" s="9">
        <v>2</v>
      </c>
      <c r="G68" s="9" t="str">
        <f t="shared" si="7"/>
        <v>N,5,1,1,2</v>
      </c>
      <c r="H68" s="9">
        <f>IF(F68=1,'Indirect Model Parameters'!$G$22,'Indirect Model Parameters'!$G$23)</f>
        <v>0.49</v>
      </c>
      <c r="I68" s="9">
        <f>IF(AND(C68&lt;3,D68=1),1,IF(AND(C68&lt;3,D68=2),0,IF(AND(C68&gt;2,D68=1,E68 = 1),1-Model_Matched_Parameters!$K$4,IF(AND(C68&gt;2,D68=1,E68 = 2),Model_Matched_Parameters!$K$5,IF(AND(C68&gt;2, D68 = 2, E68 = 1),Model_Matched_Parameters!$K$4,Model_Matched_Parameters!$K$5)))))</f>
        <v>0.7</v>
      </c>
      <c r="J68" s="9">
        <f>SUMIFS('Indirect Model Parameters'!$G$11:$G$29,'Indirect Model Parameters'!$D$11:$D$29,Pop_Init!E74,'Indirect Model Parameters'!$E$11:$E$29,Pop_Init!F74)</f>
        <v>0.17999999999999994</v>
      </c>
      <c r="L68" s="9">
        <f t="shared" si="8"/>
        <v>6.1739999999999975E-2</v>
      </c>
      <c r="M68" s="9">
        <f t="shared" si="9"/>
        <v>4.836208112045875E-3</v>
      </c>
      <c r="N68" s="28">
        <f>M68*'Indirect Model Parameters'!$G$10</f>
        <v>483.62081120458748</v>
      </c>
    </row>
    <row r="69" spans="1:14" ht="32">
      <c r="A69" s="1" t="str">
        <f t="shared" si="6"/>
        <v>Population in TB compartment  LTBI, on IPT with  Multidrug-resistant (MDR-TB) in HIV compartment  HIV-negative and Female</v>
      </c>
      <c r="B69" s="8" t="s">
        <v>269</v>
      </c>
      <c r="C69" s="8">
        <v>5</v>
      </c>
      <c r="D69" s="9">
        <v>2</v>
      </c>
      <c r="E69" s="9">
        <v>1</v>
      </c>
      <c r="F69" s="9">
        <v>2</v>
      </c>
      <c r="G69" s="9" t="str">
        <f t="shared" si="7"/>
        <v>N,5,2,1,2</v>
      </c>
      <c r="H69" s="9">
        <f>IF(F69=1,'Indirect Model Parameters'!$G$22,'Indirect Model Parameters'!$G$23)</f>
        <v>0.49</v>
      </c>
      <c r="I69" s="9">
        <f>IF(AND(C69&lt;3,D69=1),1,IF(AND(C69&lt;3,D69=2),0,IF(AND(C69&gt;2,D69=1,E69 = 1),1-Model_Matched_Parameters!$K$4,IF(AND(C69&gt;2,D69=1,E69 = 2),Model_Matched_Parameters!$K$5,IF(AND(C69&gt;2, D69 = 2, E69 = 1),Model_Matched_Parameters!$K$4,Model_Matched_Parameters!$K$5)))))</f>
        <v>0.3</v>
      </c>
      <c r="J69" s="9">
        <f>SUMIFS('Indirect Model Parameters'!$G$11:$G$29,'Indirect Model Parameters'!$D$11:$D$29,Pop_Init!E75,'Indirect Model Parameters'!$E$11:$E$29,Pop_Init!F75)</f>
        <v>0.17999999999999994</v>
      </c>
      <c r="L69" s="9">
        <f t="shared" si="8"/>
        <v>2.645999999999999E-2</v>
      </c>
      <c r="M69" s="9">
        <f t="shared" si="9"/>
        <v>2.0726606194482323E-3</v>
      </c>
      <c r="N69" s="28">
        <f>M69*'Indirect Model Parameters'!$G$10</f>
        <v>207.26606194482324</v>
      </c>
    </row>
    <row r="70" spans="1:14" ht="32">
      <c r="A70" s="1" t="str">
        <f t="shared" si="6"/>
        <v>Population in TB compartment  LTBI, on IPT with Drug-susceptible (DS) in HIV compartment  PLHIV not on ART, CD4&gt;200 and Male</v>
      </c>
      <c r="B70" s="8" t="s">
        <v>269</v>
      </c>
      <c r="C70" s="8">
        <v>5</v>
      </c>
      <c r="D70" s="9">
        <v>1</v>
      </c>
      <c r="E70" s="9">
        <v>2</v>
      </c>
      <c r="F70" s="9">
        <v>1</v>
      </c>
      <c r="G70" s="9" t="str">
        <f t="shared" si="7"/>
        <v>N,5,1,2,1</v>
      </c>
      <c r="H70" s="9">
        <f>IF(F70=1,'Indirect Model Parameters'!$G$24,'Indirect Model Parameters'!$G$25)</f>
        <v>0.5</v>
      </c>
      <c r="I70" s="9">
        <f>IF(AND(C70&lt;3,D70=1),1,IF(AND(C70&lt;3,D70=2),0,IF(AND(C70&gt;2,D70=1,E70 = 1),1-Model_Matched_Parameters!$K$4,IF(AND(C70&gt;2,D70=1,E70 = 2),Model_Matched_Parameters!$K$5,IF(AND(C70&gt;2, D70 = 2, E70 = 1),Model_Matched_Parameters!$K$4,Model_Matched_Parameters!$K$5)))))</f>
        <v>0.3</v>
      </c>
      <c r="J70" s="9">
        <f>SUMIFS('Indirect Model Parameters'!$G$11:$G$29,'Indirect Model Parameters'!$D$11:$D$29,Pop_Init!E26,'Indirect Model Parameters'!$E$11:$E$29,Pop_Init!F26)</f>
        <v>0.17999999999999994</v>
      </c>
      <c r="L70" s="9">
        <f t="shared" si="8"/>
        <v>2.6999999999999989E-2</v>
      </c>
      <c r="M70" s="9">
        <f t="shared" si="9"/>
        <v>2.1149598157635023E-3</v>
      </c>
      <c r="N70" s="28">
        <f>M70*'Indirect Model Parameters'!$G$10</f>
        <v>211.49598157635023</v>
      </c>
    </row>
    <row r="71" spans="1:14" ht="48">
      <c r="A71" s="1" t="str">
        <f t="shared" si="6"/>
        <v>Population in TB compartment  LTBI, on IPT with  Multidrug-resistant (MDR-TB) in HIV compartment  PLHIV not on ART, CD4&gt;200 and Male</v>
      </c>
      <c r="B71" s="8" t="s">
        <v>269</v>
      </c>
      <c r="C71" s="8">
        <v>5</v>
      </c>
      <c r="D71" s="9">
        <v>2</v>
      </c>
      <c r="E71" s="9">
        <v>2</v>
      </c>
      <c r="F71" s="9">
        <v>1</v>
      </c>
      <c r="G71" s="9" t="str">
        <f t="shared" si="7"/>
        <v>N,5,2,2,1</v>
      </c>
      <c r="H71" s="9">
        <f>IF(F71=1,'Indirect Model Parameters'!$G$24,'Indirect Model Parameters'!$G$25)</f>
        <v>0.5</v>
      </c>
      <c r="I71" s="9">
        <f>IF(AND(C71&lt;3,D71=1),1,IF(AND(C71&lt;3,D71=2),0,IF(AND(C71&gt;2,D71=1,E71 = 1),1-Model_Matched_Parameters!$K$4,IF(AND(C71&gt;2,D71=1,E71 = 2),Model_Matched_Parameters!$K$5,IF(AND(C71&gt;2, D71 = 2, E71 = 1),Model_Matched_Parameters!$K$4,Model_Matched_Parameters!$K$5)))))</f>
        <v>0.3</v>
      </c>
      <c r="J71" s="9">
        <f>SUMIFS('Indirect Model Parameters'!$G$11:$G$29,'Indirect Model Parameters'!$D$11:$D$29,Pop_Init!E27,'Indirect Model Parameters'!$E$11:$E$29,Pop_Init!F27)</f>
        <v>0.17999999999999994</v>
      </c>
      <c r="L71" s="9">
        <f t="shared" si="8"/>
        <v>2.6999999999999989E-2</v>
      </c>
      <c r="M71" s="9">
        <f t="shared" si="9"/>
        <v>2.1149598157635023E-3</v>
      </c>
      <c r="N71" s="28">
        <f>M71*'Indirect Model Parameters'!$G$10</f>
        <v>211.49598157635023</v>
      </c>
    </row>
    <row r="72" spans="1:14" ht="32">
      <c r="A72" s="1" t="str">
        <f t="shared" si="6"/>
        <v>Population in TB compartment  LTBI, on IPT with Drug-susceptible (DS) in HIV compartment  PLHIV not on ART, CD4&gt;200 and Female</v>
      </c>
      <c r="B72" s="8" t="s">
        <v>269</v>
      </c>
      <c r="C72" s="8">
        <v>5</v>
      </c>
      <c r="D72" s="9">
        <v>1</v>
      </c>
      <c r="E72" s="9">
        <v>2</v>
      </c>
      <c r="F72" s="9">
        <v>2</v>
      </c>
      <c r="G72" s="9" t="str">
        <f t="shared" si="7"/>
        <v>N,5,1,2,2</v>
      </c>
      <c r="H72" s="9">
        <f>IF(F72=1,'Indirect Model Parameters'!$G$24,'Indirect Model Parameters'!$G$25)</f>
        <v>0.5</v>
      </c>
      <c r="I72" s="9">
        <f>IF(AND(C72&lt;3,D72=1),1,IF(AND(C72&lt;3,D72=2),0,IF(AND(C72&gt;2,D72=1,E72 = 1),1-Model_Matched_Parameters!$K$4,IF(AND(C72&gt;2,D72=1,E72 = 2),Model_Matched_Parameters!$K$5,IF(AND(C72&gt;2, D72 = 2, E72 = 1),Model_Matched_Parameters!$K$4,Model_Matched_Parameters!$K$5)))))</f>
        <v>0.3</v>
      </c>
      <c r="J72" s="9">
        <f>SUMIFS('Indirect Model Parameters'!$G$11:$G$29,'Indirect Model Parameters'!$D$11:$D$29,Pop_Init!E90,'Indirect Model Parameters'!$E$11:$E$29,Pop_Init!F90)</f>
        <v>0.17999999999999994</v>
      </c>
      <c r="L72" s="9">
        <f t="shared" si="8"/>
        <v>2.6999999999999989E-2</v>
      </c>
      <c r="M72" s="9">
        <f t="shared" si="9"/>
        <v>2.1149598157635023E-3</v>
      </c>
      <c r="N72" s="28">
        <f>M72*'Indirect Model Parameters'!$G$10</f>
        <v>211.49598157635023</v>
      </c>
    </row>
    <row r="73" spans="1:14" ht="48">
      <c r="A73" s="1" t="str">
        <f t="shared" si="6"/>
        <v>Population in TB compartment  LTBI, on IPT with  Multidrug-resistant (MDR-TB) in HIV compartment  PLHIV not on ART, CD4&gt;200 and Female</v>
      </c>
      <c r="B73" s="8" t="s">
        <v>269</v>
      </c>
      <c r="C73" s="8">
        <v>5</v>
      </c>
      <c r="D73" s="9">
        <v>2</v>
      </c>
      <c r="E73" s="9">
        <v>2</v>
      </c>
      <c r="F73" s="9">
        <v>2</v>
      </c>
      <c r="G73" s="9" t="str">
        <f t="shared" si="7"/>
        <v>N,5,2,2,2</v>
      </c>
      <c r="H73" s="9">
        <f>IF(F73=1,'Indirect Model Parameters'!$G$24,'Indirect Model Parameters'!$G$25)</f>
        <v>0.5</v>
      </c>
      <c r="I73" s="9">
        <f>IF(AND(C73&lt;3,D73=1),1,IF(AND(C73&lt;3,D73=2),0,IF(AND(C73&gt;2,D73=1,E73 = 1),1-Model_Matched_Parameters!$K$4,IF(AND(C73&gt;2,D73=1,E73 = 2),Model_Matched_Parameters!$K$5,IF(AND(C73&gt;2, D73 = 2, E73 = 1),Model_Matched_Parameters!$K$4,Model_Matched_Parameters!$K$5)))))</f>
        <v>0.3</v>
      </c>
      <c r="J73" s="9">
        <f>SUMIFS('Indirect Model Parameters'!$G$11:$G$29,'Indirect Model Parameters'!$D$11:$D$29,Pop_Init!E91,'Indirect Model Parameters'!$E$11:$E$29,Pop_Init!F91)</f>
        <v>0.17999999999999994</v>
      </c>
      <c r="L73" s="9">
        <f t="shared" si="8"/>
        <v>2.6999999999999989E-2</v>
      </c>
      <c r="M73" s="9">
        <f t="shared" si="9"/>
        <v>2.1149598157635023E-3</v>
      </c>
      <c r="N73" s="28">
        <f>M73*'Indirect Model Parameters'!$G$10</f>
        <v>211.49598157635023</v>
      </c>
    </row>
    <row r="74" spans="1:14" ht="32">
      <c r="A74" s="1" t="str">
        <f t="shared" si="6"/>
        <v>Population in TB compartment  LTBI, on IPT with Drug-susceptible (DS) in HIV compartment  PLHIV not on ART, CD4≤200 and Male</v>
      </c>
      <c r="B74" s="8" t="s">
        <v>269</v>
      </c>
      <c r="C74" s="8">
        <v>5</v>
      </c>
      <c r="D74" s="9">
        <v>1</v>
      </c>
      <c r="E74" s="9">
        <v>3</v>
      </c>
      <c r="F74" s="9">
        <v>1</v>
      </c>
      <c r="G74" s="9" t="str">
        <f t="shared" si="7"/>
        <v>N,5,1,3,1</v>
      </c>
      <c r="H74" s="9">
        <f>IF(F74=1,'Indirect Model Parameters'!$G$24,'Indirect Model Parameters'!$G$25)</f>
        <v>0.5</v>
      </c>
      <c r="I74" s="9">
        <f>IF(AND(C74&lt;3,D74=1),1,IF(AND(C74&lt;3,D74=2),0,IF(AND(C74&gt;2,D74=1,E74 = 1),1-Model_Matched_Parameters!$K$4,IF(AND(C74&gt;2,D74=1,E74 = 2),Model_Matched_Parameters!$K$5,IF(AND(C74&gt;2, D74 = 2, E74 = 1),Model_Matched_Parameters!$K$4,Model_Matched_Parameters!$K$5)))))</f>
        <v>0.3</v>
      </c>
      <c r="J74" s="9">
        <f>SUMIFS('Indirect Model Parameters'!$G$11:$G$29,'Indirect Model Parameters'!$D$11:$D$29,Pop_Init!E42,'Indirect Model Parameters'!$E$11:$E$29,Pop_Init!F42)</f>
        <v>0.17999999999999994</v>
      </c>
      <c r="L74" s="9">
        <f t="shared" si="8"/>
        <v>2.6999999999999989E-2</v>
      </c>
      <c r="M74" s="9">
        <f t="shared" si="9"/>
        <v>2.1149598157635023E-3</v>
      </c>
      <c r="N74" s="28">
        <f>M74*'Indirect Model Parameters'!$G$10</f>
        <v>211.49598157635023</v>
      </c>
    </row>
    <row r="75" spans="1:14" ht="48">
      <c r="A75" s="1" t="str">
        <f t="shared" si="6"/>
        <v>Population in TB compartment  LTBI, on IPT with  Multidrug-resistant (MDR-TB) in HIV compartment  PLHIV not on ART, CD4≤200 and Male</v>
      </c>
      <c r="B75" s="8" t="s">
        <v>269</v>
      </c>
      <c r="C75" s="8">
        <v>5</v>
      </c>
      <c r="D75" s="9">
        <v>2</v>
      </c>
      <c r="E75" s="9">
        <v>3</v>
      </c>
      <c r="F75" s="9">
        <v>1</v>
      </c>
      <c r="G75" s="9" t="str">
        <f t="shared" si="7"/>
        <v>N,5,2,3,1</v>
      </c>
      <c r="H75" s="9">
        <f>IF(F75=1,'Indirect Model Parameters'!$G$24,'Indirect Model Parameters'!$G$25)</f>
        <v>0.5</v>
      </c>
      <c r="I75" s="9">
        <f>IF(AND(C75&lt;3,D75=1),1,IF(AND(C75&lt;3,D75=2),0,IF(AND(C75&gt;2,D75=1,E75 = 1),1-Model_Matched_Parameters!$K$4,IF(AND(C75&gt;2,D75=1,E75 = 2),Model_Matched_Parameters!$K$5,IF(AND(C75&gt;2, D75 = 2, E75 = 1),Model_Matched_Parameters!$K$4,Model_Matched_Parameters!$K$5)))))</f>
        <v>0.3</v>
      </c>
      <c r="J75" s="9">
        <f>SUMIFS('Indirect Model Parameters'!$G$11:$G$29,'Indirect Model Parameters'!$D$11:$D$29,Pop_Init!E43,'Indirect Model Parameters'!$E$11:$E$29,Pop_Init!F43)</f>
        <v>0.17999999999999994</v>
      </c>
      <c r="L75" s="9">
        <f t="shared" si="8"/>
        <v>2.6999999999999989E-2</v>
      </c>
      <c r="M75" s="9">
        <f t="shared" si="9"/>
        <v>2.1149598157635023E-3</v>
      </c>
      <c r="N75" s="28">
        <f>M75*'Indirect Model Parameters'!$G$10</f>
        <v>211.49598157635023</v>
      </c>
    </row>
    <row r="76" spans="1:14" ht="32">
      <c r="A76" s="1" t="str">
        <f t="shared" si="6"/>
        <v>Population in TB compartment  LTBI, on IPT with Drug-susceptible (DS) in HIV compartment  PLHIV not on ART, CD4≤200 and Female</v>
      </c>
      <c r="B76" s="8" t="s">
        <v>269</v>
      </c>
      <c r="C76" s="8">
        <v>5</v>
      </c>
      <c r="D76" s="9">
        <v>1</v>
      </c>
      <c r="E76" s="9">
        <v>3</v>
      </c>
      <c r="F76" s="9">
        <v>2</v>
      </c>
      <c r="G76" s="9" t="str">
        <f t="shared" si="7"/>
        <v>N,5,1,3,2</v>
      </c>
      <c r="H76" s="9">
        <f>IF(F76=1,'Indirect Model Parameters'!$G$24,'Indirect Model Parameters'!$G$25)</f>
        <v>0.5</v>
      </c>
      <c r="I76" s="9">
        <f>IF(AND(C76&lt;3,D76=1),1,IF(AND(C76&lt;3,D76=2),0,IF(AND(C76&gt;2,D76=1,E76 = 1),1-Model_Matched_Parameters!$K$4,IF(AND(C76&gt;2,D76=1,E76 = 2),Model_Matched_Parameters!$K$5,IF(AND(C76&gt;2, D76 = 2, E76 = 1),Model_Matched_Parameters!$K$4,Model_Matched_Parameters!$K$5)))))</f>
        <v>0.3</v>
      </c>
      <c r="J76" s="9">
        <f>SUMIFS('Indirect Model Parameters'!$G$11:$G$29,'Indirect Model Parameters'!$D$11:$D$29,Pop_Init!E106,'Indirect Model Parameters'!$E$11:$E$29,Pop_Init!F106)</f>
        <v>0.17999999999999994</v>
      </c>
      <c r="L76" s="9">
        <f t="shared" si="8"/>
        <v>2.6999999999999989E-2</v>
      </c>
      <c r="M76" s="9">
        <f t="shared" si="9"/>
        <v>2.1149598157635023E-3</v>
      </c>
      <c r="N76" s="28">
        <f>M76*'Indirect Model Parameters'!$G$10</f>
        <v>211.49598157635023</v>
      </c>
    </row>
    <row r="77" spans="1:14" ht="48">
      <c r="A77" s="1" t="str">
        <f t="shared" si="6"/>
        <v>Population in TB compartment  LTBI, on IPT with  Multidrug-resistant (MDR-TB) in HIV compartment  PLHIV not on ART, CD4≤200 and Female</v>
      </c>
      <c r="B77" s="8" t="s">
        <v>269</v>
      </c>
      <c r="C77" s="8">
        <v>5</v>
      </c>
      <c r="D77" s="9">
        <v>2</v>
      </c>
      <c r="E77" s="9">
        <v>3</v>
      </c>
      <c r="F77" s="9">
        <v>2</v>
      </c>
      <c r="G77" s="9" t="str">
        <f t="shared" si="7"/>
        <v>N,5,2,3,2</v>
      </c>
      <c r="H77" s="9">
        <f>IF(F77=1,'Indirect Model Parameters'!$G$24,'Indirect Model Parameters'!$G$25)</f>
        <v>0.5</v>
      </c>
      <c r="I77" s="9">
        <f>IF(AND(C77&lt;3,D77=1),1,IF(AND(C77&lt;3,D77=2),0,IF(AND(C77&gt;2,D77=1,E77 = 1),1-Model_Matched_Parameters!$K$4,IF(AND(C77&gt;2,D77=1,E77 = 2),Model_Matched_Parameters!$K$5,IF(AND(C77&gt;2, D77 = 2, E77 = 1),Model_Matched_Parameters!$K$4,Model_Matched_Parameters!$K$5)))))</f>
        <v>0.3</v>
      </c>
      <c r="J77" s="9">
        <f>SUMIFS('Indirect Model Parameters'!$G$11:$G$29,'Indirect Model Parameters'!$D$11:$D$29,Pop_Init!E107,'Indirect Model Parameters'!$E$11:$E$29,Pop_Init!F107)</f>
        <v>0.17999999999999994</v>
      </c>
      <c r="L77" s="9">
        <f t="shared" si="8"/>
        <v>2.6999999999999989E-2</v>
      </c>
      <c r="M77" s="9">
        <f t="shared" si="9"/>
        <v>2.1149598157635023E-3</v>
      </c>
      <c r="N77" s="28">
        <f>M77*'Indirect Model Parameters'!$G$10</f>
        <v>211.49598157635023</v>
      </c>
    </row>
    <row r="78" spans="1:14" ht="32">
      <c r="A78" s="1" t="str">
        <f t="shared" si="6"/>
        <v>Population in TB compartment  LTBI, on IPT with Drug-susceptible (DS) in HIV compartment  PLHIV and on ART and Male</v>
      </c>
      <c r="B78" s="8" t="s">
        <v>269</v>
      </c>
      <c r="C78" s="8">
        <v>5</v>
      </c>
      <c r="D78" s="9">
        <v>1</v>
      </c>
      <c r="E78" s="9">
        <v>4</v>
      </c>
      <c r="F78" s="9">
        <v>1</v>
      </c>
      <c r="G78" s="9" t="str">
        <f t="shared" si="7"/>
        <v>N,5,1,4,1</v>
      </c>
      <c r="H78" s="9">
        <f>IF(F78=1,'Indirect Model Parameters'!$G$24,'Indirect Model Parameters'!$G$25)</f>
        <v>0.5</v>
      </c>
      <c r="I78" s="9">
        <f>IF(AND(C78&lt;3,D78=1),1,IF(AND(C78&lt;3,D78=2),0,IF(AND(C78&gt;2,D78=1,E78 = 1),1-Model_Matched_Parameters!$K$4,IF(AND(C78&gt;2,D78=1,E78 = 2),Model_Matched_Parameters!$K$5,IF(AND(C78&gt;2, D78 = 2, E78 = 1),Model_Matched_Parameters!$K$4,Model_Matched_Parameters!$K$5)))))</f>
        <v>0.3</v>
      </c>
      <c r="J78" s="9">
        <f>SUMIFS('Indirect Model Parameters'!$G$11:$G$29,'Indirect Model Parameters'!$D$11:$D$29,Pop_Init!E58,'Indirect Model Parameters'!$E$11:$E$29,Pop_Init!F58)</f>
        <v>0.17999999999999994</v>
      </c>
      <c r="L78" s="9">
        <f t="shared" si="8"/>
        <v>2.6999999999999989E-2</v>
      </c>
      <c r="M78" s="9">
        <f t="shared" si="9"/>
        <v>2.1149598157635023E-3</v>
      </c>
      <c r="N78" s="28">
        <f>M78*'Indirect Model Parameters'!$G$10</f>
        <v>211.49598157635023</v>
      </c>
    </row>
    <row r="79" spans="1:14" ht="48">
      <c r="A79" s="1" t="str">
        <f t="shared" si="6"/>
        <v>Population in TB compartment  LTBI, on IPT with  Multidrug-resistant (MDR-TB) in HIV compartment  PLHIV and on ART and Male</v>
      </c>
      <c r="B79" s="8" t="s">
        <v>269</v>
      </c>
      <c r="C79" s="8">
        <v>5</v>
      </c>
      <c r="D79" s="9">
        <v>2</v>
      </c>
      <c r="E79" s="9">
        <v>4</v>
      </c>
      <c r="F79" s="9">
        <v>1</v>
      </c>
      <c r="G79" s="9" t="str">
        <f t="shared" si="7"/>
        <v>N,5,2,4,1</v>
      </c>
      <c r="H79" s="9">
        <f>IF(F79=1,'Indirect Model Parameters'!$G$24,'Indirect Model Parameters'!$G$25)</f>
        <v>0.5</v>
      </c>
      <c r="I79" s="9">
        <f>IF(AND(C79&lt;3,D79=1),1,IF(AND(C79&lt;3,D79=2),0,IF(AND(C79&gt;2,D79=1,E79 = 1),1-Model_Matched_Parameters!$K$4,IF(AND(C79&gt;2,D79=1,E79 = 2),Model_Matched_Parameters!$K$5,IF(AND(C79&gt;2, D79 = 2, E79 = 1),Model_Matched_Parameters!$K$4,Model_Matched_Parameters!$K$5)))))</f>
        <v>0.3</v>
      </c>
      <c r="J79" s="9">
        <f>SUMIFS('Indirect Model Parameters'!$G$11:$G$29,'Indirect Model Parameters'!$D$11:$D$29,Pop_Init!E59,'Indirect Model Parameters'!$E$11:$E$29,Pop_Init!F59)</f>
        <v>0.17999999999999994</v>
      </c>
      <c r="L79" s="9">
        <f t="shared" si="8"/>
        <v>2.6999999999999989E-2</v>
      </c>
      <c r="M79" s="9">
        <f t="shared" si="9"/>
        <v>2.1149598157635023E-3</v>
      </c>
      <c r="N79" s="28">
        <f>M79*'Indirect Model Parameters'!$G$10</f>
        <v>211.49598157635023</v>
      </c>
    </row>
    <row r="80" spans="1:14" ht="32">
      <c r="A80" s="1" t="str">
        <f t="shared" si="6"/>
        <v>Population in TB compartment  LTBI, on IPT with Drug-susceptible (DS) in HIV compartment  PLHIV and on ART and Female</v>
      </c>
      <c r="B80" s="8" t="s">
        <v>269</v>
      </c>
      <c r="C80" s="8">
        <v>5</v>
      </c>
      <c r="D80" s="9">
        <v>1</v>
      </c>
      <c r="E80" s="9">
        <v>4</v>
      </c>
      <c r="F80" s="9">
        <v>2</v>
      </c>
      <c r="G80" s="9" t="str">
        <f t="shared" si="7"/>
        <v>N,5,1,4,2</v>
      </c>
      <c r="H80" s="9">
        <f>IF(F80=1,'Indirect Model Parameters'!$G$24,'Indirect Model Parameters'!$G$25)</f>
        <v>0.5</v>
      </c>
      <c r="I80" s="9">
        <f>IF(AND(C80&lt;3,D80=1),1,IF(AND(C80&lt;3,D80=2),0,IF(AND(C80&gt;2,D80=1,E80 = 1),1-Model_Matched_Parameters!$K$4,IF(AND(C80&gt;2,D80=1,E80 = 2),Model_Matched_Parameters!$K$5,IF(AND(C80&gt;2, D80 = 2, E80 = 1),Model_Matched_Parameters!$K$4,Model_Matched_Parameters!$K$5)))))</f>
        <v>0.3</v>
      </c>
      <c r="J80" s="9">
        <f>SUMIFS('Indirect Model Parameters'!$G$11:$G$29,'Indirect Model Parameters'!$D$11:$D$29,Pop_Init!E122,'Indirect Model Parameters'!$E$11:$E$29,Pop_Init!F122)</f>
        <v>0.17999999999999994</v>
      </c>
      <c r="L80" s="9">
        <f t="shared" si="8"/>
        <v>2.6999999999999989E-2</v>
      </c>
      <c r="M80" s="9">
        <f t="shared" si="9"/>
        <v>2.1149598157635023E-3</v>
      </c>
      <c r="N80" s="28">
        <f>M80*'Indirect Model Parameters'!$G$10</f>
        <v>211.49598157635023</v>
      </c>
    </row>
    <row r="81" spans="1:14" ht="48">
      <c r="A81" s="1" t="str">
        <f t="shared" si="6"/>
        <v>Population in TB compartment  LTBI, on IPT with  Multidrug-resistant (MDR-TB) in HIV compartment  PLHIV and on ART and Female</v>
      </c>
      <c r="B81" s="8" t="s">
        <v>269</v>
      </c>
      <c r="C81" s="8">
        <v>5</v>
      </c>
      <c r="D81" s="9">
        <v>2</v>
      </c>
      <c r="E81" s="9">
        <v>4</v>
      </c>
      <c r="F81" s="9">
        <v>2</v>
      </c>
      <c r="G81" s="9" t="str">
        <f t="shared" si="7"/>
        <v>N,5,2,4,2</v>
      </c>
      <c r="H81" s="9">
        <f>IF(F81=1,'Indirect Model Parameters'!$G$24,'Indirect Model Parameters'!$G$25)</f>
        <v>0.5</v>
      </c>
      <c r="I81" s="9">
        <f>IF(AND(C81&lt;3,D81=1),1,IF(AND(C81&lt;3,D81=2),0,IF(AND(C81&gt;2,D81=1,E81 = 1),1-Model_Matched_Parameters!$K$4,IF(AND(C81&gt;2,D81=1,E81 = 2),Model_Matched_Parameters!$K$5,IF(AND(C81&gt;2, D81 = 2, E81 = 1),Model_Matched_Parameters!$K$4,Model_Matched_Parameters!$K$5)))))</f>
        <v>0.3</v>
      </c>
      <c r="J81" s="9">
        <f>SUMIFS('Indirect Model Parameters'!$G$11:$G$29,'Indirect Model Parameters'!$D$11:$D$29,Pop_Init!E123,'Indirect Model Parameters'!$E$11:$E$29,Pop_Init!F123)</f>
        <v>0.17999999999999994</v>
      </c>
      <c r="L81" s="9">
        <f t="shared" si="8"/>
        <v>2.6999999999999989E-2</v>
      </c>
      <c r="M81" s="9">
        <f t="shared" si="9"/>
        <v>2.1149598157635023E-3</v>
      </c>
      <c r="N81" s="28">
        <f>M81*'Indirect Model Parameters'!$G$10</f>
        <v>211.49598157635023</v>
      </c>
    </row>
    <row r="82" spans="1:14" ht="32">
      <c r="A82" s="1" t="str">
        <f t="shared" si="6"/>
        <v>Population in TB compartment  Active with Drug-susceptible (DS) in HIV compartment  HIV-negative and Male</v>
      </c>
      <c r="B82" s="8" t="s">
        <v>269</v>
      </c>
      <c r="C82" s="8">
        <v>6</v>
      </c>
      <c r="D82" s="9">
        <v>1</v>
      </c>
      <c r="E82" s="9">
        <v>1</v>
      </c>
      <c r="F82" s="9">
        <v>1</v>
      </c>
      <c r="G82" s="9" t="str">
        <f t="shared" si="7"/>
        <v>N,6,1,1,1</v>
      </c>
      <c r="H82" s="9">
        <f>IF(F82=1,'Indirect Model Parameters'!$G$26,'Indirect Model Parameters'!$G$27)</f>
        <v>0.01</v>
      </c>
      <c r="I82" s="9">
        <f>IF(AND(C82&lt;3,D82=1),1,IF(AND(C82&lt;3,D82=2),0,IF(AND(C82&gt;2,D82=1,E82 = 1),1-Model_Matched_Parameters!$K$4,IF(AND(C82&gt;2,D82=1,E82 = 2),Model_Matched_Parameters!$K$5,IF(AND(C82&gt;2, D82 = 2, E82 = 1),Model_Matched_Parameters!$K$4,Model_Matched_Parameters!$K$5)))))</f>
        <v>0.7</v>
      </c>
      <c r="J82" s="9">
        <f>SUMIFS('Indirect Model Parameters'!$G$11:$G$29,'Indirect Model Parameters'!$D$11:$D$29,Pop_Init!E12,'Indirect Model Parameters'!$E$11:$E$29,Pop_Init!F12)</f>
        <v>0.17999999999999994</v>
      </c>
      <c r="L82" s="9">
        <f t="shared" si="8"/>
        <v>1.2599999999999994E-3</v>
      </c>
      <c r="M82" s="9">
        <f t="shared" si="9"/>
        <v>9.8698124735630105E-5</v>
      </c>
      <c r="N82" s="28">
        <f>M82*'Indirect Model Parameters'!$G$10</f>
        <v>9.8698124735630106</v>
      </c>
    </row>
    <row r="83" spans="1:14" ht="32">
      <c r="A83" s="1" t="str">
        <f t="shared" si="6"/>
        <v>Population in TB compartment  Active with  Multidrug-resistant (MDR-TB) in HIV compartment  HIV-negative and Male</v>
      </c>
      <c r="B83" s="8" t="s">
        <v>269</v>
      </c>
      <c r="C83" s="8">
        <v>6</v>
      </c>
      <c r="D83" s="9">
        <v>2</v>
      </c>
      <c r="E83" s="9">
        <v>1</v>
      </c>
      <c r="F83" s="9">
        <v>1</v>
      </c>
      <c r="G83" s="9" t="str">
        <f t="shared" si="7"/>
        <v>N,6,2,1,1</v>
      </c>
      <c r="H83" s="9">
        <f>IF(F83=1,'Indirect Model Parameters'!$G$26,'Indirect Model Parameters'!$G$27)</f>
        <v>0.01</v>
      </c>
      <c r="I83" s="9">
        <f>IF(AND(C83&lt;3,D83=1),1,IF(AND(C83&lt;3,D83=2),0,IF(AND(C83&gt;2,D83=1,E83 = 1),1-Model_Matched_Parameters!$K$4,IF(AND(C83&gt;2,D83=1,E83 = 2),Model_Matched_Parameters!$K$5,IF(AND(C83&gt;2, D83 = 2, E83 = 1),Model_Matched_Parameters!$K$4,Model_Matched_Parameters!$K$5)))))</f>
        <v>0.3</v>
      </c>
      <c r="J83" s="9">
        <f>SUMIFS('Indirect Model Parameters'!$G$11:$G$29,'Indirect Model Parameters'!$D$11:$D$29,Pop_Init!E13,'Indirect Model Parameters'!$E$11:$E$29,Pop_Init!F13)</f>
        <v>0.17999999999999994</v>
      </c>
      <c r="L83" s="9">
        <f t="shared" si="8"/>
        <v>5.3999999999999979E-4</v>
      </c>
      <c r="M83" s="9">
        <f t="shared" si="9"/>
        <v>4.2299196315270046E-5</v>
      </c>
      <c r="N83" s="28">
        <f>M83*'Indirect Model Parameters'!$G$10</f>
        <v>4.2299196315270047</v>
      </c>
    </row>
    <row r="84" spans="1:14" ht="32">
      <c r="A84" s="1" t="str">
        <f t="shared" si="6"/>
        <v>Population in TB compartment  Active with Drug-susceptible (DS) in HIV compartment  HIV-negative and Female</v>
      </c>
      <c r="B84" s="8" t="s">
        <v>269</v>
      </c>
      <c r="C84" s="8">
        <v>6</v>
      </c>
      <c r="D84" s="9">
        <v>1</v>
      </c>
      <c r="E84" s="9">
        <v>1</v>
      </c>
      <c r="F84" s="9">
        <v>2</v>
      </c>
      <c r="G84" s="9" t="str">
        <f t="shared" si="7"/>
        <v>N,6,1,1,2</v>
      </c>
      <c r="H84" s="9">
        <f>IF(F84=1,'Indirect Model Parameters'!$G$26,'Indirect Model Parameters'!$G$27)</f>
        <v>0.01</v>
      </c>
      <c r="I84" s="9">
        <f>IF(AND(C84&lt;3,D84=1),1,IF(AND(C84&lt;3,D84=2),0,IF(AND(C84&gt;2,D84=1,E84 = 1),1-Model_Matched_Parameters!$K$4,IF(AND(C84&gt;2,D84=1,E84 = 2),Model_Matched_Parameters!$K$5,IF(AND(C84&gt;2, D84 = 2, E84 = 1),Model_Matched_Parameters!$K$4,Model_Matched_Parameters!$K$5)))))</f>
        <v>0.7</v>
      </c>
      <c r="J84" s="9">
        <f>SUMIFS('Indirect Model Parameters'!$G$11:$G$29,'Indirect Model Parameters'!$D$11:$D$29,Pop_Init!E76,'Indirect Model Parameters'!$E$11:$E$29,Pop_Init!F76)</f>
        <v>0.17999999999999994</v>
      </c>
      <c r="L84" s="9">
        <f t="shared" si="8"/>
        <v>1.2599999999999994E-3</v>
      </c>
      <c r="M84" s="9">
        <f t="shared" si="9"/>
        <v>9.8698124735630105E-5</v>
      </c>
      <c r="N84" s="28">
        <f>M84*'Indirect Model Parameters'!$G$10</f>
        <v>9.8698124735630106</v>
      </c>
    </row>
    <row r="85" spans="1:14" ht="32">
      <c r="A85" s="1" t="str">
        <f t="shared" si="6"/>
        <v>Population in TB compartment  Active with  Multidrug-resistant (MDR-TB) in HIV compartment  HIV-negative and Female</v>
      </c>
      <c r="B85" s="8" t="s">
        <v>269</v>
      </c>
      <c r="C85" s="8">
        <v>6</v>
      </c>
      <c r="D85" s="9">
        <v>2</v>
      </c>
      <c r="E85" s="9">
        <v>1</v>
      </c>
      <c r="F85" s="9">
        <v>2</v>
      </c>
      <c r="G85" s="9" t="str">
        <f t="shared" si="7"/>
        <v>N,6,2,1,2</v>
      </c>
      <c r="H85" s="9">
        <f>IF(F85=1,'Indirect Model Parameters'!$G$26,'Indirect Model Parameters'!$G$27)</f>
        <v>0.01</v>
      </c>
      <c r="I85" s="9">
        <f>IF(AND(C85&lt;3,D85=1),1,IF(AND(C85&lt;3,D85=2),0,IF(AND(C85&gt;2,D85=1,E85 = 1),1-Model_Matched_Parameters!$K$4,IF(AND(C85&gt;2,D85=1,E85 = 2),Model_Matched_Parameters!$K$5,IF(AND(C85&gt;2, D85 = 2, E85 = 1),Model_Matched_Parameters!$K$4,Model_Matched_Parameters!$K$5)))))</f>
        <v>0.3</v>
      </c>
      <c r="J85" s="9">
        <f>SUMIFS('Indirect Model Parameters'!$G$11:$G$29,'Indirect Model Parameters'!$D$11:$D$29,Pop_Init!E77,'Indirect Model Parameters'!$E$11:$E$29,Pop_Init!F77)</f>
        <v>0.17999999999999994</v>
      </c>
      <c r="L85" s="9">
        <f t="shared" si="8"/>
        <v>5.3999999999999979E-4</v>
      </c>
      <c r="M85" s="9">
        <f t="shared" si="9"/>
        <v>4.2299196315270046E-5</v>
      </c>
      <c r="N85" s="28">
        <f>M85*'Indirect Model Parameters'!$G$10</f>
        <v>4.2299196315270047</v>
      </c>
    </row>
    <row r="86" spans="1:14" ht="32">
      <c r="A86" s="1" t="str">
        <f t="shared" si="6"/>
        <v>Population in TB compartment  Active with Drug-susceptible (DS) in HIV compartment  PLHIV not on ART, CD4&gt;200 and Male</v>
      </c>
      <c r="B86" s="8" t="s">
        <v>269</v>
      </c>
      <c r="C86" s="8">
        <v>6</v>
      </c>
      <c r="D86" s="9">
        <v>1</v>
      </c>
      <c r="E86" s="9">
        <v>2</v>
      </c>
      <c r="F86" s="9">
        <v>1</v>
      </c>
      <c r="G86" s="9" t="str">
        <f t="shared" si="7"/>
        <v>N,6,1,2,1</v>
      </c>
      <c r="H86" s="9">
        <f>IF(F86=1,'Indirect Model Parameters'!$G$28,'Indirect Model Parameters'!$G$29)</f>
        <v>0.6</v>
      </c>
      <c r="I86" s="9">
        <f>IF(AND(C86&lt;3,D86=1),1,IF(AND(C86&lt;3,D86=2),0,IF(AND(C86&gt;2,D86=1,E86 = 1),1-Model_Matched_Parameters!$K$4,IF(AND(C86&gt;2,D86=1,E86 = 2),Model_Matched_Parameters!$K$5,IF(AND(C86&gt;2, D86 = 2, E86 = 1),Model_Matched_Parameters!$K$4,Model_Matched_Parameters!$K$5)))))</f>
        <v>0.3</v>
      </c>
      <c r="J86" s="9">
        <f>SUMIFS('Indirect Model Parameters'!$G$11:$G$29,'Indirect Model Parameters'!$D$11:$D$29,Pop_Init!E28,'Indirect Model Parameters'!$E$11:$E$29,Pop_Init!F28)</f>
        <v>0.17999999999999994</v>
      </c>
      <c r="L86" s="9">
        <f t="shared" si="8"/>
        <v>3.2399999999999984E-2</v>
      </c>
      <c r="M86" s="9">
        <f t="shared" si="9"/>
        <v>2.5379517789162025E-3</v>
      </c>
      <c r="N86" s="28">
        <f>M86*'Indirect Model Parameters'!$G$10</f>
        <v>253.79517789162026</v>
      </c>
    </row>
    <row r="87" spans="1:14" ht="48">
      <c r="A87" s="1" t="str">
        <f t="shared" si="6"/>
        <v>Population in TB compartment  Active with  Multidrug-resistant (MDR-TB) in HIV compartment  PLHIV not on ART, CD4&gt;200 and Male</v>
      </c>
      <c r="B87" s="8" t="s">
        <v>269</v>
      </c>
      <c r="C87" s="8">
        <v>6</v>
      </c>
      <c r="D87" s="9">
        <v>2</v>
      </c>
      <c r="E87" s="9">
        <v>2</v>
      </c>
      <c r="F87" s="9">
        <v>1</v>
      </c>
      <c r="G87" s="9" t="str">
        <f t="shared" si="7"/>
        <v>N,6,2,2,1</v>
      </c>
      <c r="H87" s="9">
        <f>IF(F87=1,'Indirect Model Parameters'!$G$28,'Indirect Model Parameters'!$G$29)</f>
        <v>0.6</v>
      </c>
      <c r="I87" s="9">
        <f>IF(AND(C87&lt;3,D87=1),1,IF(AND(C87&lt;3,D87=2),0,IF(AND(C87&gt;2,D87=1,E87 = 1),1-Model_Matched_Parameters!$K$4,IF(AND(C87&gt;2,D87=1,E87 = 2),Model_Matched_Parameters!$K$5,IF(AND(C87&gt;2, D87 = 2, E87 = 1),Model_Matched_Parameters!$K$4,Model_Matched_Parameters!$K$5)))))</f>
        <v>0.3</v>
      </c>
      <c r="J87" s="9">
        <f>SUMIFS('Indirect Model Parameters'!$G$11:$G$29,'Indirect Model Parameters'!$D$11:$D$29,Pop_Init!E29,'Indirect Model Parameters'!$E$11:$E$29,Pop_Init!F29)</f>
        <v>0.17999999999999994</v>
      </c>
      <c r="L87" s="9">
        <f t="shared" si="8"/>
        <v>3.2399999999999984E-2</v>
      </c>
      <c r="M87" s="9">
        <f t="shared" si="9"/>
        <v>2.5379517789162025E-3</v>
      </c>
      <c r="N87" s="28">
        <f>M87*'Indirect Model Parameters'!$G$10</f>
        <v>253.79517789162026</v>
      </c>
    </row>
    <row r="88" spans="1:14" ht="32">
      <c r="A88" s="1" t="str">
        <f t="shared" si="6"/>
        <v>Population in TB compartment  Active with Drug-susceptible (DS) in HIV compartment  PLHIV not on ART, CD4&gt;200 and Female</v>
      </c>
      <c r="B88" s="8" t="s">
        <v>269</v>
      </c>
      <c r="C88" s="8">
        <v>6</v>
      </c>
      <c r="D88" s="9">
        <v>1</v>
      </c>
      <c r="E88" s="9">
        <v>2</v>
      </c>
      <c r="F88" s="9">
        <v>2</v>
      </c>
      <c r="G88" s="9" t="str">
        <f t="shared" si="7"/>
        <v>N,6,1,2,2</v>
      </c>
      <c r="H88" s="9">
        <f>IF(F88=1,'Indirect Model Parameters'!$G$28,'Indirect Model Parameters'!$G$29)</f>
        <v>0.8</v>
      </c>
      <c r="I88" s="9">
        <f>IF(AND(C88&lt;3,D88=1),1,IF(AND(C88&lt;3,D88=2),0,IF(AND(C88&gt;2,D88=1,E88 = 1),1-Model_Matched_Parameters!$K$4,IF(AND(C88&gt;2,D88=1,E88 = 2),Model_Matched_Parameters!$K$5,IF(AND(C88&gt;2, D88 = 2, E88 = 1),Model_Matched_Parameters!$K$4,Model_Matched_Parameters!$K$5)))))</f>
        <v>0.3</v>
      </c>
      <c r="J88" s="9">
        <f>SUMIFS('Indirect Model Parameters'!$G$11:$G$29,'Indirect Model Parameters'!$D$11:$D$29,Pop_Init!E92,'Indirect Model Parameters'!$E$11:$E$29,Pop_Init!F92)</f>
        <v>0.17999999999999994</v>
      </c>
      <c r="L88" s="9">
        <f t="shared" si="8"/>
        <v>4.3199999999999981E-2</v>
      </c>
      <c r="M88" s="9">
        <f t="shared" si="9"/>
        <v>3.3839357052216036E-3</v>
      </c>
      <c r="N88" s="28">
        <f>M88*'Indirect Model Parameters'!$G$10</f>
        <v>338.39357052216036</v>
      </c>
    </row>
    <row r="89" spans="1:14" ht="48">
      <c r="A89" s="1" t="str">
        <f t="shared" si="6"/>
        <v>Population in TB compartment  Active with  Multidrug-resistant (MDR-TB) in HIV compartment  PLHIV not on ART, CD4&gt;200 and Female</v>
      </c>
      <c r="B89" s="8" t="s">
        <v>269</v>
      </c>
      <c r="C89" s="8">
        <v>6</v>
      </c>
      <c r="D89" s="9">
        <v>2</v>
      </c>
      <c r="E89" s="9">
        <v>2</v>
      </c>
      <c r="F89" s="9">
        <v>2</v>
      </c>
      <c r="G89" s="9" t="str">
        <f t="shared" si="7"/>
        <v>N,6,2,2,2</v>
      </c>
      <c r="H89" s="9">
        <f>IF(F89=1,'Indirect Model Parameters'!$G$28,'Indirect Model Parameters'!$G$29)</f>
        <v>0.8</v>
      </c>
      <c r="I89" s="9">
        <f>IF(AND(C89&lt;3,D89=1),1,IF(AND(C89&lt;3,D89=2),0,IF(AND(C89&gt;2,D89=1,E89 = 1),1-Model_Matched_Parameters!$K$4,IF(AND(C89&gt;2,D89=1,E89 = 2),Model_Matched_Parameters!$K$5,IF(AND(C89&gt;2, D89 = 2, E89 = 1),Model_Matched_Parameters!$K$4,Model_Matched_Parameters!$K$5)))))</f>
        <v>0.3</v>
      </c>
      <c r="J89" s="9">
        <f>SUMIFS('Indirect Model Parameters'!$G$11:$G$29,'Indirect Model Parameters'!$D$11:$D$29,Pop_Init!E93,'Indirect Model Parameters'!$E$11:$E$29,Pop_Init!F93)</f>
        <v>0.17999999999999994</v>
      </c>
      <c r="L89" s="9">
        <f t="shared" si="8"/>
        <v>4.3199999999999981E-2</v>
      </c>
      <c r="M89" s="9">
        <f t="shared" si="9"/>
        <v>3.3839357052216036E-3</v>
      </c>
      <c r="N89" s="28">
        <f>M89*'Indirect Model Parameters'!$G$10</f>
        <v>338.39357052216036</v>
      </c>
    </row>
    <row r="90" spans="1:14" ht="32">
      <c r="A90" s="1" t="str">
        <f t="shared" si="6"/>
        <v>Population in TB compartment  Active with Drug-susceptible (DS) in HIV compartment  PLHIV not on ART, CD4≤200 and Male</v>
      </c>
      <c r="B90" s="8" t="s">
        <v>269</v>
      </c>
      <c r="C90" s="8">
        <v>6</v>
      </c>
      <c r="D90" s="9">
        <v>1</v>
      </c>
      <c r="E90" s="9">
        <v>3</v>
      </c>
      <c r="F90" s="9">
        <v>1</v>
      </c>
      <c r="G90" s="9" t="str">
        <f t="shared" si="7"/>
        <v>N,6,1,3,1</v>
      </c>
      <c r="H90" s="9">
        <f>IF(F90=1,'Indirect Model Parameters'!$G$28,'Indirect Model Parameters'!$G$29)</f>
        <v>0.6</v>
      </c>
      <c r="I90" s="9">
        <f>IF(AND(C90&lt;3,D90=1),1,IF(AND(C90&lt;3,D90=2),0,IF(AND(C90&gt;2,D90=1,E90 = 1),1-Model_Matched_Parameters!$K$4,IF(AND(C90&gt;2,D90=1,E90 = 2),Model_Matched_Parameters!$K$5,IF(AND(C90&gt;2, D90 = 2, E90 = 1),Model_Matched_Parameters!$K$4,Model_Matched_Parameters!$K$5)))))</f>
        <v>0.3</v>
      </c>
      <c r="J90" s="9">
        <f>SUMIFS('Indirect Model Parameters'!$G$11:$G$29,'Indirect Model Parameters'!$D$11:$D$29,Pop_Init!E44,'Indirect Model Parameters'!$E$11:$E$29,Pop_Init!F44)</f>
        <v>0.17999999999999994</v>
      </c>
      <c r="L90" s="9">
        <f t="shared" si="8"/>
        <v>3.2399999999999984E-2</v>
      </c>
      <c r="M90" s="9">
        <f t="shared" si="9"/>
        <v>2.5379517789162025E-3</v>
      </c>
      <c r="N90" s="28">
        <f>M90*'Indirect Model Parameters'!$G$10</f>
        <v>253.79517789162026</v>
      </c>
    </row>
    <row r="91" spans="1:14" ht="48">
      <c r="A91" s="1" t="str">
        <f t="shared" si="6"/>
        <v>Population in TB compartment  Active with  Multidrug-resistant (MDR-TB) in HIV compartment  PLHIV not on ART, CD4≤200 and Male</v>
      </c>
      <c r="B91" s="8" t="s">
        <v>269</v>
      </c>
      <c r="C91" s="8">
        <v>6</v>
      </c>
      <c r="D91" s="9">
        <v>2</v>
      </c>
      <c r="E91" s="9">
        <v>3</v>
      </c>
      <c r="F91" s="9">
        <v>1</v>
      </c>
      <c r="G91" s="9" t="str">
        <f t="shared" si="7"/>
        <v>N,6,2,3,1</v>
      </c>
      <c r="H91" s="9">
        <f>IF(F91=1,'Indirect Model Parameters'!$G$28,'Indirect Model Parameters'!$G$29)</f>
        <v>0.6</v>
      </c>
      <c r="I91" s="9">
        <f>IF(AND(C91&lt;3,D91=1),1,IF(AND(C91&lt;3,D91=2),0,IF(AND(C91&gt;2,D91=1,E91 = 1),1-Model_Matched_Parameters!$K$4,IF(AND(C91&gt;2,D91=1,E91 = 2),Model_Matched_Parameters!$K$5,IF(AND(C91&gt;2, D91 = 2, E91 = 1),Model_Matched_Parameters!$K$4,Model_Matched_Parameters!$K$5)))))</f>
        <v>0.3</v>
      </c>
      <c r="J91" s="9">
        <f>SUMIFS('Indirect Model Parameters'!$G$11:$G$29,'Indirect Model Parameters'!$D$11:$D$29,Pop_Init!E45,'Indirect Model Parameters'!$E$11:$E$29,Pop_Init!F45)</f>
        <v>0.17999999999999994</v>
      </c>
      <c r="L91" s="9">
        <f t="shared" si="8"/>
        <v>3.2399999999999984E-2</v>
      </c>
      <c r="M91" s="9">
        <f t="shared" si="9"/>
        <v>2.5379517789162025E-3</v>
      </c>
      <c r="N91" s="28">
        <f>M91*'Indirect Model Parameters'!$G$10</f>
        <v>253.79517789162026</v>
      </c>
    </row>
    <row r="92" spans="1:14" ht="32">
      <c r="A92" s="1" t="str">
        <f t="shared" si="6"/>
        <v>Population in TB compartment  Active with Drug-susceptible (DS) in HIV compartment  PLHIV not on ART, CD4≤200 and Female</v>
      </c>
      <c r="B92" s="8" t="s">
        <v>269</v>
      </c>
      <c r="C92" s="8">
        <v>6</v>
      </c>
      <c r="D92" s="9">
        <v>1</v>
      </c>
      <c r="E92" s="9">
        <v>3</v>
      </c>
      <c r="F92" s="9">
        <v>2</v>
      </c>
      <c r="G92" s="9" t="str">
        <f t="shared" si="7"/>
        <v>N,6,1,3,2</v>
      </c>
      <c r="H92" s="9">
        <f>IF(F92=1,'Indirect Model Parameters'!$G$28,'Indirect Model Parameters'!$G$29)</f>
        <v>0.8</v>
      </c>
      <c r="I92" s="9">
        <f>IF(AND(C92&lt;3,D92=1),1,IF(AND(C92&lt;3,D92=2),0,IF(AND(C92&gt;2,D92=1,E92 = 1),1-Model_Matched_Parameters!$K$4,IF(AND(C92&gt;2,D92=1,E92 = 2),Model_Matched_Parameters!$K$5,IF(AND(C92&gt;2, D92 = 2, E92 = 1),Model_Matched_Parameters!$K$4,Model_Matched_Parameters!$K$5)))))</f>
        <v>0.3</v>
      </c>
      <c r="J92" s="9">
        <f>SUMIFS('Indirect Model Parameters'!$G$11:$G$29,'Indirect Model Parameters'!$D$11:$D$29,Pop_Init!E108,'Indirect Model Parameters'!$E$11:$E$29,Pop_Init!F108)</f>
        <v>0.17999999999999994</v>
      </c>
      <c r="L92" s="9">
        <f t="shared" si="8"/>
        <v>4.3199999999999981E-2</v>
      </c>
      <c r="M92" s="9">
        <f t="shared" si="9"/>
        <v>3.3839357052216036E-3</v>
      </c>
      <c r="N92" s="28">
        <f>M92*'Indirect Model Parameters'!$G$10</f>
        <v>338.39357052216036</v>
      </c>
    </row>
    <row r="93" spans="1:14" ht="48">
      <c r="A93" s="1" t="str">
        <f t="shared" si="6"/>
        <v>Population in TB compartment  Active with  Multidrug-resistant (MDR-TB) in HIV compartment  PLHIV not on ART, CD4≤200 and Female</v>
      </c>
      <c r="B93" s="8" t="s">
        <v>269</v>
      </c>
      <c r="C93" s="8">
        <v>6</v>
      </c>
      <c r="D93" s="9">
        <v>2</v>
      </c>
      <c r="E93" s="9">
        <v>3</v>
      </c>
      <c r="F93" s="9">
        <v>2</v>
      </c>
      <c r="G93" s="9" t="str">
        <f t="shared" si="7"/>
        <v>N,6,2,3,2</v>
      </c>
      <c r="H93" s="9">
        <f>IF(F93=1,'Indirect Model Parameters'!$G$28,'Indirect Model Parameters'!$G$29)</f>
        <v>0.8</v>
      </c>
      <c r="I93" s="9">
        <f>IF(AND(C93&lt;3,D93=1),1,IF(AND(C93&lt;3,D93=2),0,IF(AND(C93&gt;2,D93=1,E93 = 1),1-Model_Matched_Parameters!$K$4,IF(AND(C93&gt;2,D93=1,E93 = 2),Model_Matched_Parameters!$K$5,IF(AND(C93&gt;2, D93 = 2, E93 = 1),Model_Matched_Parameters!$K$4,Model_Matched_Parameters!$K$5)))))</f>
        <v>0.3</v>
      </c>
      <c r="J93" s="9">
        <f>SUMIFS('Indirect Model Parameters'!$G$11:$G$29,'Indirect Model Parameters'!$D$11:$D$29,Pop_Init!E109,'Indirect Model Parameters'!$E$11:$E$29,Pop_Init!F109)</f>
        <v>0.17999999999999994</v>
      </c>
      <c r="L93" s="9">
        <f t="shared" si="8"/>
        <v>4.3199999999999981E-2</v>
      </c>
      <c r="M93" s="9">
        <f t="shared" si="9"/>
        <v>3.3839357052216036E-3</v>
      </c>
      <c r="N93" s="28">
        <f>M93*'Indirect Model Parameters'!$G$10</f>
        <v>338.39357052216036</v>
      </c>
    </row>
    <row r="94" spans="1:14" ht="32">
      <c r="A94" s="1" t="str">
        <f t="shared" si="6"/>
        <v>Population in TB compartment  Active with Drug-susceptible (DS) in HIV compartment  PLHIV and on ART and Male</v>
      </c>
      <c r="B94" s="8" t="s">
        <v>269</v>
      </c>
      <c r="C94" s="8">
        <v>6</v>
      </c>
      <c r="D94" s="9">
        <v>1</v>
      </c>
      <c r="E94" s="9">
        <v>4</v>
      </c>
      <c r="F94" s="9">
        <v>1</v>
      </c>
      <c r="G94" s="9" t="str">
        <f t="shared" si="7"/>
        <v>N,6,1,4,1</v>
      </c>
      <c r="H94" s="9">
        <f>IF(F94=1,'Indirect Model Parameters'!$G$28,'Indirect Model Parameters'!$G$29)</f>
        <v>0.6</v>
      </c>
      <c r="I94" s="9">
        <f>IF(AND(C94&lt;3,D94=1),1,IF(AND(C94&lt;3,D94=2),0,IF(AND(C94&gt;2,D94=1,E94 = 1),1-Model_Matched_Parameters!$K$4,IF(AND(C94&gt;2,D94=1,E94 = 2),Model_Matched_Parameters!$K$5,IF(AND(C94&gt;2, D94 = 2, E94 = 1),Model_Matched_Parameters!$K$4,Model_Matched_Parameters!$K$5)))))</f>
        <v>0.3</v>
      </c>
      <c r="J94" s="9">
        <f>SUMIFS('Indirect Model Parameters'!$G$11:$G$29,'Indirect Model Parameters'!$D$11:$D$29,Pop_Init!E60,'Indirect Model Parameters'!$E$11:$E$29,Pop_Init!F60)</f>
        <v>0.17999999999999994</v>
      </c>
      <c r="L94" s="9">
        <f t="shared" si="8"/>
        <v>3.2399999999999984E-2</v>
      </c>
      <c r="M94" s="9">
        <f t="shared" si="9"/>
        <v>2.5379517789162025E-3</v>
      </c>
      <c r="N94" s="28">
        <f>M94*'Indirect Model Parameters'!$G$10</f>
        <v>253.79517789162026</v>
      </c>
    </row>
    <row r="95" spans="1:14" ht="32">
      <c r="A95" s="1" t="str">
        <f t="shared" si="6"/>
        <v>Population in TB compartment  Active with  Multidrug-resistant (MDR-TB) in HIV compartment  PLHIV and on ART and Male</v>
      </c>
      <c r="B95" s="8" t="s">
        <v>269</v>
      </c>
      <c r="C95" s="8">
        <v>6</v>
      </c>
      <c r="D95" s="9">
        <v>2</v>
      </c>
      <c r="E95" s="9">
        <v>4</v>
      </c>
      <c r="F95" s="9">
        <v>1</v>
      </c>
      <c r="G95" s="9" t="str">
        <f t="shared" si="7"/>
        <v>N,6,2,4,1</v>
      </c>
      <c r="H95" s="9">
        <f>IF(F95=1,'Indirect Model Parameters'!$G$28,'Indirect Model Parameters'!$G$29)</f>
        <v>0.6</v>
      </c>
      <c r="I95" s="9">
        <f>IF(AND(C95&lt;3,D95=1),1,IF(AND(C95&lt;3,D95=2),0,IF(AND(C95&gt;2,D95=1,E95 = 1),1-Model_Matched_Parameters!$K$4,IF(AND(C95&gt;2,D95=1,E95 = 2),Model_Matched_Parameters!$K$5,IF(AND(C95&gt;2, D95 = 2, E95 = 1),Model_Matched_Parameters!$K$4,Model_Matched_Parameters!$K$5)))))</f>
        <v>0.3</v>
      </c>
      <c r="J95" s="9">
        <f>SUMIFS('Indirect Model Parameters'!$G$11:$G$29,'Indirect Model Parameters'!$D$11:$D$29,Pop_Init!E61,'Indirect Model Parameters'!$E$11:$E$29,Pop_Init!F61)</f>
        <v>0.17999999999999994</v>
      </c>
      <c r="L95" s="9">
        <f t="shared" si="8"/>
        <v>3.2399999999999984E-2</v>
      </c>
      <c r="M95" s="9">
        <f t="shared" si="9"/>
        <v>2.5379517789162025E-3</v>
      </c>
      <c r="N95" s="28">
        <f>M95*'Indirect Model Parameters'!$G$10</f>
        <v>253.79517789162026</v>
      </c>
    </row>
    <row r="96" spans="1:14" ht="32">
      <c r="A96" s="1" t="str">
        <f t="shared" si="6"/>
        <v>Population in TB compartment  Active with Drug-susceptible (DS) in HIV compartment  PLHIV and on ART and Female</v>
      </c>
      <c r="B96" s="8" t="s">
        <v>269</v>
      </c>
      <c r="C96" s="8">
        <v>6</v>
      </c>
      <c r="D96" s="9">
        <v>1</v>
      </c>
      <c r="E96" s="9">
        <v>4</v>
      </c>
      <c r="F96" s="9">
        <v>2</v>
      </c>
      <c r="G96" s="9" t="str">
        <f t="shared" si="7"/>
        <v>N,6,1,4,2</v>
      </c>
      <c r="H96" s="9">
        <f>IF(F96=1,'Indirect Model Parameters'!$G$28,'Indirect Model Parameters'!$G$29)</f>
        <v>0.8</v>
      </c>
      <c r="I96" s="9">
        <f>IF(AND(C96&lt;3,D96=1),1,IF(AND(C96&lt;3,D96=2),0,IF(AND(C96&gt;2,D96=1,E96 = 1),1-Model_Matched_Parameters!$K$4,IF(AND(C96&gt;2,D96=1,E96 = 2),Model_Matched_Parameters!$K$5,IF(AND(C96&gt;2, D96 = 2, E96 = 1),Model_Matched_Parameters!$K$4,Model_Matched_Parameters!$K$5)))))</f>
        <v>0.3</v>
      </c>
      <c r="J96" s="9">
        <f>SUMIFS('Indirect Model Parameters'!$G$11:$G$29,'Indirect Model Parameters'!$D$11:$D$29,Pop_Init!E124,'Indirect Model Parameters'!$E$11:$E$29,Pop_Init!F124)</f>
        <v>0.17999999999999994</v>
      </c>
      <c r="L96" s="9">
        <f t="shared" si="8"/>
        <v>4.3199999999999981E-2</v>
      </c>
      <c r="M96" s="9">
        <f t="shared" si="9"/>
        <v>3.3839357052216036E-3</v>
      </c>
      <c r="N96" s="28">
        <f>M96*'Indirect Model Parameters'!$G$10</f>
        <v>338.39357052216036</v>
      </c>
    </row>
    <row r="97" spans="1:14" ht="32">
      <c r="A97" s="1" t="str">
        <f t="shared" si="6"/>
        <v>Population in TB compartment  Active with  Multidrug-resistant (MDR-TB) in HIV compartment  PLHIV and on ART and Female</v>
      </c>
      <c r="B97" s="8" t="s">
        <v>269</v>
      </c>
      <c r="C97" s="8">
        <v>6</v>
      </c>
      <c r="D97" s="9">
        <v>2</v>
      </c>
      <c r="E97" s="9">
        <v>4</v>
      </c>
      <c r="F97" s="9">
        <v>2</v>
      </c>
      <c r="G97" s="9" t="str">
        <f t="shared" si="7"/>
        <v>N,6,2,4,2</v>
      </c>
      <c r="H97" s="9">
        <f>IF(F97=1,'Indirect Model Parameters'!$G$28,'Indirect Model Parameters'!$G$29)</f>
        <v>0.8</v>
      </c>
      <c r="I97" s="9">
        <f>IF(AND(C97&lt;3,D97=1),1,IF(AND(C97&lt;3,D97=2),0,IF(AND(C97&gt;2,D97=1,E97 = 1),1-Model_Matched_Parameters!$K$4,IF(AND(C97&gt;2,D97=1,E97 = 2),Model_Matched_Parameters!$K$5,IF(AND(C97&gt;2, D97 = 2, E97 = 1),Model_Matched_Parameters!$K$4,Model_Matched_Parameters!$K$5)))))</f>
        <v>0.3</v>
      </c>
      <c r="J97" s="9">
        <f>SUMIFS('Indirect Model Parameters'!$G$11:$G$29,'Indirect Model Parameters'!$D$11:$D$29,Pop_Init!E125,'Indirect Model Parameters'!$E$11:$E$29,Pop_Init!F125)</f>
        <v>0.17999999999999994</v>
      </c>
      <c r="L97" s="9">
        <f t="shared" si="8"/>
        <v>4.3199999999999981E-2</v>
      </c>
      <c r="M97" s="9">
        <f t="shared" si="9"/>
        <v>3.3839357052216036E-3</v>
      </c>
      <c r="N97" s="28">
        <f>M97*'Indirect Model Parameters'!$G$10</f>
        <v>338.39357052216036</v>
      </c>
    </row>
    <row r="98" spans="1:14" ht="3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269</v>
      </c>
      <c r="C98" s="8">
        <v>7</v>
      </c>
      <c r="D98" s="9">
        <v>1</v>
      </c>
      <c r="E98" s="9">
        <v>1</v>
      </c>
      <c r="F98" s="9">
        <v>1</v>
      </c>
      <c r="G98" s="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1),1-Model_Matched_Parameters!$K$4,IF(AND(C98&gt;2,D98=1,E98 = 2),Model_Matched_Parameters!$K$5,IF(AND(C98&gt;2, D98 = 2, E98 = 1),Model_Matched_Parameters!$K$4,Model_Matched_Parameters!$K$5)))))</f>
        <v>0.7</v>
      </c>
      <c r="J98" s="9">
        <f>SUMIFS('Indirect Model Parameters'!$G$11:$G$29,'Indirect Model Parameters'!$D$11:$D$29,Pop_Init!E14,'Indirect Model Parameters'!$E$11:$E$29,Pop_Init!F14)</f>
        <v>0.27</v>
      </c>
      <c r="L98" s="9">
        <f t="shared" si="8"/>
        <v>0</v>
      </c>
      <c r="M98" s="9">
        <f t="shared" si="9"/>
        <v>0</v>
      </c>
      <c r="N98" s="28">
        <f>M98*'Indirect Model Parameters'!$G$10</f>
        <v>0</v>
      </c>
    </row>
    <row r="99" spans="1:14" ht="48">
      <c r="A99" s="1" t="str">
        <f t="shared" si="10"/>
        <v>Population in TB compartment  Recovered/Treated with  Multidrug-resistant (MDR-TB) in HIV compartment  HIV-negative and Male</v>
      </c>
      <c r="B99" s="8" t="s">
        <v>269</v>
      </c>
      <c r="C99" s="8">
        <v>7</v>
      </c>
      <c r="D99" s="9">
        <v>2</v>
      </c>
      <c r="E99" s="9">
        <v>1</v>
      </c>
      <c r="F99" s="9">
        <v>1</v>
      </c>
      <c r="G99" s="9" t="str">
        <f t="shared" si="11"/>
        <v>N,7,2,1,1</v>
      </c>
      <c r="H99" s="9">
        <v>0</v>
      </c>
      <c r="I99" s="9">
        <f>IF(AND(C99&lt;3,D99=1),1,IF(AND(C99&lt;3,D99=2),0,IF(AND(C99&gt;2,D99=1,E99 = 1),1-Model_Matched_Parameters!$K$4,IF(AND(C99&gt;2,D99=1,E99 = 2),Model_Matched_Parameters!$K$5,IF(AND(C99&gt;2, D99 = 2, E99 = 1),Model_Matched_Parameters!$K$4,Model_Matched_Parameters!$K$5)))))</f>
        <v>0.3</v>
      </c>
      <c r="J99" s="9">
        <f>SUMIFS('Indirect Model Parameters'!$G$11:$G$29,'Indirect Model Parameters'!$D$11:$D$29,Pop_Init!E15,'Indirect Model Parameters'!$E$11:$E$29,Pop_Init!F15)</f>
        <v>0.27</v>
      </c>
      <c r="L99" s="9">
        <f t="shared" si="8"/>
        <v>0</v>
      </c>
      <c r="M99" s="9">
        <f t="shared" si="9"/>
        <v>0</v>
      </c>
      <c r="N99" s="28">
        <f>M99*'Indirect Model Parameters'!$G$10</f>
        <v>0</v>
      </c>
    </row>
    <row r="100" spans="1:14" ht="32">
      <c r="A100" s="1" t="str">
        <f t="shared" si="10"/>
        <v>Population in TB compartment  Recovered/Treated with Drug-susceptible (DS) in HIV compartment  HIV-negative and Female</v>
      </c>
      <c r="B100" s="8" t="s">
        <v>269</v>
      </c>
      <c r="C100" s="8">
        <v>7</v>
      </c>
      <c r="D100" s="9">
        <v>1</v>
      </c>
      <c r="E100" s="9">
        <v>1</v>
      </c>
      <c r="F100" s="9">
        <v>2</v>
      </c>
      <c r="G100" s="9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1),1-Model_Matched_Parameters!$K$4,IF(AND(C100&gt;2,D100=1,E100 = 2),Model_Matched_Parameters!$K$5,IF(AND(C100&gt;2, D100 = 2, E100 = 1),Model_Matched_Parameters!$K$4,Model_Matched_Parameters!$K$5)))))</f>
        <v>0.7</v>
      </c>
      <c r="J100" s="9">
        <f>SUMIFS('Indirect Model Parameters'!$G$11:$G$29,'Indirect Model Parameters'!$D$11:$D$29,Pop_Init!E78,'Indirect Model Parameters'!$E$11:$E$29,Pop_Init!F78)</f>
        <v>0.27</v>
      </c>
      <c r="L100" s="9">
        <f t="shared" si="8"/>
        <v>0</v>
      </c>
      <c r="M100" s="9">
        <f t="shared" si="9"/>
        <v>0</v>
      </c>
      <c r="N100" s="28">
        <f>M100*'Indirect Model Parameters'!$G$10</f>
        <v>0</v>
      </c>
    </row>
    <row r="101" spans="1:14" ht="48">
      <c r="A101" s="1" t="str">
        <f t="shared" si="10"/>
        <v>Population in TB compartment  Recovered/Treated with  Multidrug-resistant (MDR-TB) in HIV compartment  HIV-negative and Female</v>
      </c>
      <c r="B101" s="8" t="s">
        <v>269</v>
      </c>
      <c r="C101" s="8">
        <v>7</v>
      </c>
      <c r="D101" s="9">
        <v>2</v>
      </c>
      <c r="E101" s="9">
        <v>1</v>
      </c>
      <c r="F101" s="9">
        <v>2</v>
      </c>
      <c r="G101" s="9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1),1-Model_Matched_Parameters!$K$4,IF(AND(C101&gt;2,D101=1,E101 = 2),Model_Matched_Parameters!$K$5,IF(AND(C101&gt;2, D101 = 2, E101 = 1),Model_Matched_Parameters!$K$4,Model_Matched_Parameters!$K$5)))))</f>
        <v>0.3</v>
      </c>
      <c r="J101" s="9">
        <f>SUMIFS('Indirect Model Parameters'!$G$11:$G$29,'Indirect Model Parameters'!$D$11:$D$29,Pop_Init!E79,'Indirect Model Parameters'!$E$11:$E$29,Pop_Init!F79)</f>
        <v>0.27</v>
      </c>
      <c r="L101" s="9">
        <f t="shared" si="8"/>
        <v>0</v>
      </c>
      <c r="M101" s="9">
        <f t="shared" si="9"/>
        <v>0</v>
      </c>
      <c r="N101" s="28">
        <f>M101*'Indirect Model Parameters'!$G$10</f>
        <v>0</v>
      </c>
    </row>
    <row r="102" spans="1:14" ht="48">
      <c r="A102" s="1" t="str">
        <f t="shared" si="10"/>
        <v>Population in TB compartment  Recovered/Treated with Drug-susceptible (DS) in HIV compartment  PLHIV not on ART, CD4&gt;200 and Male</v>
      </c>
      <c r="B102" s="8" t="s">
        <v>269</v>
      </c>
      <c r="C102" s="8">
        <v>7</v>
      </c>
      <c r="D102" s="9">
        <v>1</v>
      </c>
      <c r="E102" s="9">
        <v>2</v>
      </c>
      <c r="F102" s="9">
        <v>1</v>
      </c>
      <c r="G102" s="9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1),1-Model_Matched_Parameters!$K$4,IF(AND(C102&gt;2,D102=1,E102 = 2),Model_Matched_Parameters!$K$5,IF(AND(C102&gt;2, D102 = 2, E102 = 1),Model_Matched_Parameters!$K$4,Model_Matched_Parameters!$K$5)))))</f>
        <v>0.3</v>
      </c>
      <c r="J102" s="9">
        <f>SUMIFS('Indirect Model Parameters'!$G$11:$G$29,'Indirect Model Parameters'!$D$11:$D$29,Pop_Init!E30,'Indirect Model Parameters'!$E$11:$E$29,Pop_Init!F30)</f>
        <v>0.27</v>
      </c>
      <c r="L102" s="9">
        <f t="shared" si="8"/>
        <v>0</v>
      </c>
      <c r="M102" s="9">
        <f t="shared" si="9"/>
        <v>0</v>
      </c>
      <c r="N102" s="28">
        <f>M102*'Indirect Model Parameters'!$G$10</f>
        <v>0</v>
      </c>
    </row>
    <row r="103" spans="1:14" ht="48">
      <c r="A103" s="1" t="str">
        <f t="shared" si="10"/>
        <v>Population in TB compartment  Recovered/Treated with  Multidrug-resistant (MDR-TB) in HIV compartment  PLHIV not on ART, CD4&gt;200 and Male</v>
      </c>
      <c r="B103" s="8" t="s">
        <v>269</v>
      </c>
      <c r="C103" s="8">
        <v>7</v>
      </c>
      <c r="D103" s="9">
        <v>2</v>
      </c>
      <c r="E103" s="9">
        <v>2</v>
      </c>
      <c r="F103" s="9">
        <v>1</v>
      </c>
      <c r="G103" s="9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1),1-Model_Matched_Parameters!$K$4,IF(AND(C103&gt;2,D103=1,E103 = 2),Model_Matched_Parameters!$K$5,IF(AND(C103&gt;2, D103 = 2, E103 = 1),Model_Matched_Parameters!$K$4,Model_Matched_Parameters!$K$5)))))</f>
        <v>0.3</v>
      </c>
      <c r="J103" s="9">
        <f>SUMIFS('Indirect Model Parameters'!$G$11:$G$29,'Indirect Model Parameters'!$D$11:$D$29,Pop_Init!E31,'Indirect Model Parameters'!$E$11:$E$29,Pop_Init!F31)</f>
        <v>0.27</v>
      </c>
      <c r="L103" s="9">
        <f t="shared" si="8"/>
        <v>0</v>
      </c>
      <c r="M103" s="9">
        <f t="shared" si="9"/>
        <v>0</v>
      </c>
      <c r="N103" s="28">
        <f>M103*'Indirect Model Parameters'!$G$10</f>
        <v>0</v>
      </c>
    </row>
    <row r="104" spans="1:14" ht="48">
      <c r="A104" s="1" t="str">
        <f t="shared" si="10"/>
        <v>Population in TB compartment  Recovered/Treated with Drug-susceptible (DS) in HIV compartment  PLHIV not on ART, CD4&gt;200 and Female</v>
      </c>
      <c r="B104" s="8" t="s">
        <v>269</v>
      </c>
      <c r="C104" s="8">
        <v>7</v>
      </c>
      <c r="D104" s="9">
        <v>1</v>
      </c>
      <c r="E104" s="9">
        <v>2</v>
      </c>
      <c r="F104" s="9">
        <v>2</v>
      </c>
      <c r="G104" s="9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1),1-Model_Matched_Parameters!$K$4,IF(AND(C104&gt;2,D104=1,E104 = 2),Model_Matched_Parameters!$K$5,IF(AND(C104&gt;2, D104 = 2, E104 = 1),Model_Matched_Parameters!$K$4,Model_Matched_Parameters!$K$5)))))</f>
        <v>0.3</v>
      </c>
      <c r="J104" s="9">
        <f>SUMIFS('Indirect Model Parameters'!$G$11:$G$29,'Indirect Model Parameters'!$D$11:$D$29,Pop_Init!E94,'Indirect Model Parameters'!$E$11:$E$29,Pop_Init!F94)</f>
        <v>0.27</v>
      </c>
      <c r="L104" s="9">
        <f t="shared" si="8"/>
        <v>0</v>
      </c>
      <c r="M104" s="9">
        <f t="shared" si="9"/>
        <v>0</v>
      </c>
      <c r="N104" s="28">
        <f>M104*'Indirect Model Parameters'!$G$10</f>
        <v>0</v>
      </c>
    </row>
    <row r="105" spans="1:14" ht="48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269</v>
      </c>
      <c r="C105" s="8">
        <v>7</v>
      </c>
      <c r="D105" s="9">
        <v>2</v>
      </c>
      <c r="E105" s="9">
        <v>2</v>
      </c>
      <c r="F105" s="9">
        <v>2</v>
      </c>
      <c r="G105" s="9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1),1-Model_Matched_Parameters!$K$4,IF(AND(C105&gt;2,D105=1,E105 = 2),Model_Matched_Parameters!$K$5,IF(AND(C105&gt;2, D105 = 2, E105 = 1),Model_Matched_Parameters!$K$4,Model_Matched_Parameters!$K$5)))))</f>
        <v>0.3</v>
      </c>
      <c r="J105" s="9">
        <f>SUMIFS('Indirect Model Parameters'!$G$11:$G$29,'Indirect Model Parameters'!$D$11:$D$29,Pop_Init!E95,'Indirect Model Parameters'!$E$11:$E$29,Pop_Init!F95)</f>
        <v>0.27</v>
      </c>
      <c r="L105" s="9">
        <f t="shared" si="8"/>
        <v>0</v>
      </c>
      <c r="M105" s="9">
        <f t="shared" si="9"/>
        <v>0</v>
      </c>
      <c r="N105" s="28">
        <f>M105*'Indirect Model Parameters'!$G$10</f>
        <v>0</v>
      </c>
    </row>
    <row r="106" spans="1:14" ht="48">
      <c r="A106" s="1" t="str">
        <f t="shared" si="10"/>
        <v>Population in TB compartment  Recovered/Treated with Drug-susceptible (DS) in HIV compartment  PLHIV not on ART, CD4≤200 and Male</v>
      </c>
      <c r="B106" s="8" t="s">
        <v>269</v>
      </c>
      <c r="C106" s="8">
        <v>7</v>
      </c>
      <c r="D106" s="9">
        <v>1</v>
      </c>
      <c r="E106" s="9">
        <v>3</v>
      </c>
      <c r="F106" s="9">
        <v>1</v>
      </c>
      <c r="G106" s="9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1),1-Model_Matched_Parameters!$K$4,IF(AND(C106&gt;2,D106=1,E106 = 2),Model_Matched_Parameters!$K$5,IF(AND(C106&gt;2, D106 = 2, E106 = 1),Model_Matched_Parameters!$K$4,Model_Matched_Parameters!$K$5)))))</f>
        <v>0.3</v>
      </c>
      <c r="J106" s="9">
        <f>SUMIFS('Indirect Model Parameters'!$G$11:$G$29,'Indirect Model Parameters'!$D$11:$D$29,Pop_Init!E46,'Indirect Model Parameters'!$E$11:$E$29,Pop_Init!F46)</f>
        <v>0.27</v>
      </c>
      <c r="L106" s="9">
        <f t="shared" si="8"/>
        <v>0</v>
      </c>
      <c r="M106" s="9">
        <f t="shared" si="9"/>
        <v>0</v>
      </c>
      <c r="N106" s="28">
        <f>M106*'Indirect Model Parameters'!$G$10</f>
        <v>0</v>
      </c>
    </row>
    <row r="107" spans="1:14" ht="48">
      <c r="A107" s="1" t="str">
        <f t="shared" si="10"/>
        <v>Population in TB compartment  Recovered/Treated with  Multidrug-resistant (MDR-TB) in HIV compartment  PLHIV not on ART, CD4≤200 and Male</v>
      </c>
      <c r="B107" s="8" t="s">
        <v>269</v>
      </c>
      <c r="C107" s="8">
        <v>7</v>
      </c>
      <c r="D107" s="9">
        <v>2</v>
      </c>
      <c r="E107" s="9">
        <v>3</v>
      </c>
      <c r="F107" s="9">
        <v>1</v>
      </c>
      <c r="G107" s="9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1),1-Model_Matched_Parameters!$K$4,IF(AND(C107&gt;2,D107=1,E107 = 2),Model_Matched_Parameters!$K$5,IF(AND(C107&gt;2, D107 = 2, E107 = 1),Model_Matched_Parameters!$K$4,Model_Matched_Parameters!$K$5)))))</f>
        <v>0.3</v>
      </c>
      <c r="J107" s="9">
        <f>SUMIFS('Indirect Model Parameters'!$G$11:$G$29,'Indirect Model Parameters'!$D$11:$D$29,Pop_Init!E47,'Indirect Model Parameters'!$E$11:$E$29,Pop_Init!F47)</f>
        <v>0.27</v>
      </c>
      <c r="L107" s="9">
        <f t="shared" si="8"/>
        <v>0</v>
      </c>
      <c r="M107" s="9">
        <f t="shared" si="9"/>
        <v>0</v>
      </c>
      <c r="N107" s="28">
        <f>M107*'Indirect Model Parameters'!$G$10</f>
        <v>0</v>
      </c>
    </row>
    <row r="108" spans="1:14" ht="48">
      <c r="A108" s="1" t="str">
        <f t="shared" si="10"/>
        <v>Population in TB compartment  Recovered/Treated with Drug-susceptible (DS) in HIV compartment  PLHIV not on ART, CD4≤200 and Female</v>
      </c>
      <c r="B108" s="8" t="s">
        <v>269</v>
      </c>
      <c r="C108" s="8">
        <v>7</v>
      </c>
      <c r="D108" s="9">
        <v>1</v>
      </c>
      <c r="E108" s="9">
        <v>3</v>
      </c>
      <c r="F108" s="9">
        <v>2</v>
      </c>
      <c r="G108" s="9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1),1-Model_Matched_Parameters!$K$4,IF(AND(C108&gt;2,D108=1,E108 = 2),Model_Matched_Parameters!$K$5,IF(AND(C108&gt;2, D108 = 2, E108 = 1),Model_Matched_Parameters!$K$4,Model_Matched_Parameters!$K$5)))))</f>
        <v>0.3</v>
      </c>
      <c r="J108" s="9">
        <f>SUMIFS('Indirect Model Parameters'!$G$11:$G$29,'Indirect Model Parameters'!$D$11:$D$29,Pop_Init!E110,'Indirect Model Parameters'!$E$11:$E$29,Pop_Init!F110)</f>
        <v>0.27</v>
      </c>
      <c r="L108" s="9">
        <f t="shared" si="8"/>
        <v>0</v>
      </c>
      <c r="M108" s="9">
        <f t="shared" si="9"/>
        <v>0</v>
      </c>
      <c r="N108" s="28">
        <f>M108*'Indirect Model Parameters'!$G$10</f>
        <v>0</v>
      </c>
    </row>
    <row r="109" spans="1:14" ht="48">
      <c r="A109" s="1" t="str">
        <f t="shared" si="10"/>
        <v>Population in TB compartment  Recovered/Treated with  Multidrug-resistant (MDR-TB) in HIV compartment  PLHIV not on ART, CD4≤200 and Female</v>
      </c>
      <c r="B109" s="8" t="s">
        <v>269</v>
      </c>
      <c r="C109" s="8">
        <v>7</v>
      </c>
      <c r="D109" s="9">
        <v>2</v>
      </c>
      <c r="E109" s="9">
        <v>3</v>
      </c>
      <c r="F109" s="9">
        <v>2</v>
      </c>
      <c r="G109" s="9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1),1-Model_Matched_Parameters!$K$4,IF(AND(C109&gt;2,D109=1,E109 = 2),Model_Matched_Parameters!$K$5,IF(AND(C109&gt;2, D109 = 2, E109 = 1),Model_Matched_Parameters!$K$4,Model_Matched_Parameters!$K$5)))))</f>
        <v>0.3</v>
      </c>
      <c r="J109" s="9">
        <f>SUMIFS('Indirect Model Parameters'!$G$11:$G$29,'Indirect Model Parameters'!$D$11:$D$29,Pop_Init!E111,'Indirect Model Parameters'!$E$11:$E$29,Pop_Init!F111)</f>
        <v>0.27</v>
      </c>
      <c r="L109" s="9">
        <f t="shared" si="8"/>
        <v>0</v>
      </c>
      <c r="M109" s="9">
        <f t="shared" si="9"/>
        <v>0</v>
      </c>
      <c r="N109" s="28">
        <f>M109*'Indirect Model Parameters'!$G$10</f>
        <v>0</v>
      </c>
    </row>
    <row r="110" spans="1:14" ht="32">
      <c r="A110" s="1" t="str">
        <f t="shared" si="10"/>
        <v>Population in TB compartment  Recovered/Treated with Drug-susceptible (DS) in HIV compartment  PLHIV and on ART and Male</v>
      </c>
      <c r="B110" s="8" t="s">
        <v>269</v>
      </c>
      <c r="C110" s="8">
        <v>7</v>
      </c>
      <c r="D110" s="9">
        <v>1</v>
      </c>
      <c r="E110" s="9">
        <v>4</v>
      </c>
      <c r="F110" s="9">
        <v>1</v>
      </c>
      <c r="G110" s="9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1),1-Model_Matched_Parameters!$K$4,IF(AND(C110&gt;2,D110=1,E110 = 2),Model_Matched_Parameters!$K$5,IF(AND(C110&gt;2, D110 = 2, E110 = 1),Model_Matched_Parameters!$K$4,Model_Matched_Parameters!$K$5)))))</f>
        <v>0.3</v>
      </c>
      <c r="J110" s="9">
        <f>SUMIFS('Indirect Model Parameters'!$G$11:$G$29,'Indirect Model Parameters'!$D$11:$D$29,Pop_Init!E62,'Indirect Model Parameters'!$E$11:$E$29,Pop_Init!F62)</f>
        <v>0.27</v>
      </c>
      <c r="L110" s="9">
        <f t="shared" si="8"/>
        <v>0</v>
      </c>
      <c r="M110" s="9">
        <f t="shared" si="9"/>
        <v>0</v>
      </c>
      <c r="N110" s="28">
        <f>M110*'Indirect Model Parameters'!$G$10</f>
        <v>0</v>
      </c>
    </row>
    <row r="111" spans="1:14" ht="48">
      <c r="A111" s="1" t="str">
        <f t="shared" si="10"/>
        <v>Population in TB compartment  Recovered/Treated with  Multidrug-resistant (MDR-TB) in HIV compartment  PLHIV and on ART and Male</v>
      </c>
      <c r="B111" s="8" t="s">
        <v>269</v>
      </c>
      <c r="C111" s="8">
        <v>7</v>
      </c>
      <c r="D111" s="9">
        <v>2</v>
      </c>
      <c r="E111" s="9">
        <v>4</v>
      </c>
      <c r="F111" s="9">
        <v>1</v>
      </c>
      <c r="G111" s="9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1),1-Model_Matched_Parameters!$K$4,IF(AND(C111&gt;2,D111=1,E111 = 2),Model_Matched_Parameters!$K$5,IF(AND(C111&gt;2, D111 = 2, E111 = 1),Model_Matched_Parameters!$K$4,Model_Matched_Parameters!$K$5)))))</f>
        <v>0.3</v>
      </c>
      <c r="J111" s="9">
        <f>SUMIFS('Indirect Model Parameters'!$G$11:$G$29,'Indirect Model Parameters'!$D$11:$D$29,Pop_Init!E63,'Indirect Model Parameters'!$E$11:$E$29,Pop_Init!F63)</f>
        <v>0.27</v>
      </c>
      <c r="L111" s="9">
        <f t="shared" si="8"/>
        <v>0</v>
      </c>
      <c r="M111" s="9">
        <f t="shared" si="9"/>
        <v>0</v>
      </c>
      <c r="N111" s="28">
        <f>M111*'Indirect Model Parameters'!$G$10</f>
        <v>0</v>
      </c>
    </row>
    <row r="112" spans="1:14" ht="48">
      <c r="A112" s="1" t="str">
        <f t="shared" si="10"/>
        <v>Population in TB compartment  Recovered/Treated with Drug-susceptible (DS) in HIV compartment  PLHIV and on ART and Female</v>
      </c>
      <c r="B112" s="8" t="s">
        <v>269</v>
      </c>
      <c r="C112" s="8">
        <v>7</v>
      </c>
      <c r="D112" s="9">
        <v>1</v>
      </c>
      <c r="E112" s="9">
        <v>4</v>
      </c>
      <c r="F112" s="9">
        <v>2</v>
      </c>
      <c r="G112" s="9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1),1-Model_Matched_Parameters!$K$4,IF(AND(C112&gt;2,D112=1,E112 = 2),Model_Matched_Parameters!$K$5,IF(AND(C112&gt;2, D112 = 2, E112 = 1),Model_Matched_Parameters!$K$4,Model_Matched_Parameters!$K$5)))))</f>
        <v>0.3</v>
      </c>
      <c r="J112" s="9">
        <f>SUMIFS('Indirect Model Parameters'!$G$11:$G$29,'Indirect Model Parameters'!$D$11:$D$29,Pop_Init!E126,'Indirect Model Parameters'!$E$11:$E$29,Pop_Init!F126)</f>
        <v>0.27</v>
      </c>
      <c r="L112" s="9">
        <f t="shared" si="8"/>
        <v>0</v>
      </c>
      <c r="M112" s="9">
        <f t="shared" si="9"/>
        <v>0</v>
      </c>
      <c r="N112" s="28">
        <f>M112*'Indirect Model Parameters'!$G$10</f>
        <v>0</v>
      </c>
    </row>
    <row r="113" spans="1:14" ht="48">
      <c r="A113" s="1" t="str">
        <f t="shared" si="10"/>
        <v>Population in TB compartment  Recovered/Treated with  Multidrug-resistant (MDR-TB) in HIV compartment  PLHIV and on ART and Female</v>
      </c>
      <c r="B113" s="8" t="s">
        <v>269</v>
      </c>
      <c r="C113" s="8">
        <v>7</v>
      </c>
      <c r="D113" s="9">
        <v>2</v>
      </c>
      <c r="E113" s="9">
        <v>4</v>
      </c>
      <c r="F113" s="9">
        <v>2</v>
      </c>
      <c r="G113" s="9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1),1-Model_Matched_Parameters!$K$4,IF(AND(C113&gt;2,D113=1,E113 = 2),Model_Matched_Parameters!$K$5,IF(AND(C113&gt;2, D113 = 2, E113 = 1),Model_Matched_Parameters!$K$4,Model_Matched_Parameters!$K$5)))))</f>
        <v>0.3</v>
      </c>
      <c r="J113" s="9">
        <f>SUMIFS('Indirect Model Parameters'!$G$11:$G$29,'Indirect Model Parameters'!$D$11:$D$29,Pop_Init!E127,'Indirect Model Parameters'!$E$11:$E$29,Pop_Init!F127)</f>
        <v>0.27</v>
      </c>
      <c r="L113" s="9">
        <f t="shared" si="8"/>
        <v>0</v>
      </c>
      <c r="M113" s="9">
        <f t="shared" si="9"/>
        <v>0</v>
      </c>
      <c r="N113" s="28">
        <f>M113*'Indirect Model Parameters'!$G$10</f>
        <v>0</v>
      </c>
    </row>
    <row r="114" spans="1:14" ht="32">
      <c r="A114" s="1" t="str">
        <f t="shared" si="10"/>
        <v>Population in TB compartment  LTBI, after IPT with Drug-susceptible (DS) in HIV compartment  HIV-negative and Male</v>
      </c>
      <c r="B114" s="8" t="s">
        <v>269</v>
      </c>
      <c r="C114" s="8">
        <v>8</v>
      </c>
      <c r="D114" s="9">
        <v>1</v>
      </c>
      <c r="E114" s="9">
        <v>1</v>
      </c>
      <c r="F114" s="9">
        <v>1</v>
      </c>
      <c r="G114" s="9" t="str">
        <f t="shared" si="11"/>
        <v>N,8,1,1,1</v>
      </c>
      <c r="H114" s="9">
        <f>IF(F114=1,'Indirect Model Parameters'!$G$22,'Indirect Model Parameters'!$G$23)</f>
        <v>0.49</v>
      </c>
      <c r="I114" s="9">
        <f>IF(AND(C114&lt;3,D114=1),1,IF(AND(C114&lt;3,D114=2),0,IF(AND(C114&gt;2,D114=1,E114 = 1),1-Model_Matched_Parameters!$K$4,IF(AND(C114&gt;2,D114=1,E114 = 2),Model_Matched_Parameters!$K$5,IF(AND(C114&gt;2, D114 = 2, E114 = 1),Model_Matched_Parameters!$K$4,Model_Matched_Parameters!$K$5)))))</f>
        <v>0.7</v>
      </c>
      <c r="J114" s="9">
        <f>SUMIFS('Indirect Model Parameters'!$G$11:$G$29,'Indirect Model Parameters'!$D$11:$D$29,Pop_Init!E16,'Indirect Model Parameters'!$E$11:$E$29,Pop_Init!F16)</f>
        <v>0.27</v>
      </c>
      <c r="L114" s="9">
        <f t="shared" si="8"/>
        <v>9.2609999999999998E-2</v>
      </c>
      <c r="M114" s="9">
        <f t="shared" si="9"/>
        <v>7.2543121680688155E-3</v>
      </c>
      <c r="N114" s="28">
        <f>M114*'Indirect Model Parameters'!$G$10</f>
        <v>725.43121680688159</v>
      </c>
    </row>
    <row r="115" spans="1:14" ht="32">
      <c r="A115" s="1" t="str">
        <f t="shared" si="10"/>
        <v>Population in TB compartment  LTBI, after IPT with  Multidrug-resistant (MDR-TB) in HIV compartment  HIV-negative and Male</v>
      </c>
      <c r="B115" s="8" t="s">
        <v>269</v>
      </c>
      <c r="C115" s="8">
        <v>8</v>
      </c>
      <c r="D115" s="9">
        <v>2</v>
      </c>
      <c r="E115" s="9">
        <v>1</v>
      </c>
      <c r="F115" s="9">
        <v>1</v>
      </c>
      <c r="G115" s="9" t="str">
        <f t="shared" si="11"/>
        <v>N,8,2,1,1</v>
      </c>
      <c r="H115" s="9">
        <f>IF(F115=1,'Indirect Model Parameters'!$G$22,'Indirect Model Parameters'!$G$23)</f>
        <v>0.49</v>
      </c>
      <c r="I115" s="9">
        <f>IF(AND(C115&lt;3,D115=1),1,IF(AND(C115&lt;3,D115=2),0,IF(AND(C115&gt;2,D115=1,E115 = 1),1-Model_Matched_Parameters!$K$4,IF(AND(C115&gt;2,D115=1,E115 = 2),Model_Matched_Parameters!$K$5,IF(AND(C115&gt;2, D115 = 2, E115 = 1),Model_Matched_Parameters!$K$4,Model_Matched_Parameters!$K$5)))))</f>
        <v>0.3</v>
      </c>
      <c r="J115" s="9">
        <f>SUMIFS('Indirect Model Parameters'!$G$11:$G$29,'Indirect Model Parameters'!$D$11:$D$29,Pop_Init!E17,'Indirect Model Parameters'!$E$11:$E$29,Pop_Init!F17)</f>
        <v>0.27</v>
      </c>
      <c r="L115" s="9">
        <f t="shared" si="8"/>
        <v>3.9690000000000003E-2</v>
      </c>
      <c r="M115" s="9">
        <f t="shared" si="9"/>
        <v>3.10899092917235E-3</v>
      </c>
      <c r="N115" s="28">
        <f>M115*'Indirect Model Parameters'!$G$10</f>
        <v>310.89909291723501</v>
      </c>
    </row>
    <row r="116" spans="1:14" ht="32">
      <c r="A116" s="1" t="str">
        <f t="shared" si="10"/>
        <v>Population in TB compartment  LTBI, after IPT with Drug-susceptible (DS) in HIV compartment  HIV-negative and Female</v>
      </c>
      <c r="B116" s="8" t="s">
        <v>269</v>
      </c>
      <c r="C116" s="8">
        <v>8</v>
      </c>
      <c r="D116" s="9">
        <v>1</v>
      </c>
      <c r="E116" s="9">
        <v>1</v>
      </c>
      <c r="F116" s="9">
        <v>2</v>
      </c>
      <c r="G116" s="9" t="str">
        <f t="shared" si="11"/>
        <v>N,8,1,1,2</v>
      </c>
      <c r="H116" s="9">
        <f>IF(F116=1,'Indirect Model Parameters'!$G$22,'Indirect Model Parameters'!$G$23)</f>
        <v>0.49</v>
      </c>
      <c r="I116" s="9">
        <f>IF(AND(C116&lt;3,D116=1),1,IF(AND(C116&lt;3,D116=2),0,IF(AND(C116&gt;2,D116=1,E116 = 1),1-Model_Matched_Parameters!$K$4,IF(AND(C116&gt;2,D116=1,E116 = 2),Model_Matched_Parameters!$K$5,IF(AND(C116&gt;2, D116 = 2, E116 = 1),Model_Matched_Parameters!$K$4,Model_Matched_Parameters!$K$5)))))</f>
        <v>0.7</v>
      </c>
      <c r="J116" s="9">
        <f>SUMIFS('Indirect Model Parameters'!$G$11:$G$29,'Indirect Model Parameters'!$D$11:$D$29,Pop_Init!E80,'Indirect Model Parameters'!$E$11:$E$29,Pop_Init!F80)</f>
        <v>0.27</v>
      </c>
      <c r="L116" s="9">
        <f t="shared" si="8"/>
        <v>9.2609999999999998E-2</v>
      </c>
      <c r="M116" s="9">
        <f t="shared" si="9"/>
        <v>7.2543121680688155E-3</v>
      </c>
      <c r="N116" s="28">
        <f>M116*'Indirect Model Parameters'!$G$10</f>
        <v>725.43121680688159</v>
      </c>
    </row>
    <row r="117" spans="1:14" ht="32">
      <c r="A117" s="1" t="str">
        <f t="shared" si="10"/>
        <v>Population in TB compartment  LTBI, after IPT with  Multidrug-resistant (MDR-TB) in HIV compartment  HIV-negative and Female</v>
      </c>
      <c r="B117" s="8" t="s">
        <v>269</v>
      </c>
      <c r="C117" s="8">
        <v>8</v>
      </c>
      <c r="D117" s="9">
        <v>2</v>
      </c>
      <c r="E117" s="9">
        <v>1</v>
      </c>
      <c r="F117" s="9">
        <v>2</v>
      </c>
      <c r="G117" s="9" t="str">
        <f t="shared" si="11"/>
        <v>N,8,2,1,2</v>
      </c>
      <c r="H117" s="9">
        <f>IF(F117=1,'Indirect Model Parameters'!$G$22,'Indirect Model Parameters'!$G$23)</f>
        <v>0.49</v>
      </c>
      <c r="I117" s="9">
        <f>IF(AND(C117&lt;3,D117=1),1,IF(AND(C117&lt;3,D117=2),0,IF(AND(C117&gt;2,D117=1,E117 = 1),1-Model_Matched_Parameters!$K$4,IF(AND(C117&gt;2,D117=1,E117 = 2),Model_Matched_Parameters!$K$5,IF(AND(C117&gt;2, D117 = 2, E117 = 1),Model_Matched_Parameters!$K$4,Model_Matched_Parameters!$K$5)))))</f>
        <v>0.3</v>
      </c>
      <c r="J117" s="9">
        <f>SUMIFS('Indirect Model Parameters'!$G$11:$G$29,'Indirect Model Parameters'!$D$11:$D$29,Pop_Init!E81,'Indirect Model Parameters'!$E$11:$E$29,Pop_Init!F81)</f>
        <v>0.27</v>
      </c>
      <c r="L117" s="9">
        <f t="shared" si="8"/>
        <v>3.9690000000000003E-2</v>
      </c>
      <c r="M117" s="9">
        <f t="shared" si="9"/>
        <v>3.10899092917235E-3</v>
      </c>
      <c r="N117" s="28">
        <f>M117*'Indirect Model Parameters'!$G$10</f>
        <v>310.89909291723501</v>
      </c>
    </row>
    <row r="118" spans="1:14" ht="48">
      <c r="A118" s="1" t="str">
        <f t="shared" si="10"/>
        <v>Population in TB compartment  LTBI, after IPT with Drug-susceptible (DS) in HIV compartment  PLHIV not on ART, CD4&gt;200 and Male</v>
      </c>
      <c r="B118" s="8" t="s">
        <v>269</v>
      </c>
      <c r="C118" s="8">
        <v>8</v>
      </c>
      <c r="D118" s="9">
        <v>1</v>
      </c>
      <c r="E118" s="9">
        <v>2</v>
      </c>
      <c r="F118" s="9">
        <v>1</v>
      </c>
      <c r="G118" s="9" t="str">
        <f t="shared" si="11"/>
        <v>N,8,1,2,1</v>
      </c>
      <c r="H118" s="9">
        <f>IF(F118=1,'Indirect Model Parameters'!$G$24,'Indirect Model Parameters'!$G$25)</f>
        <v>0.5</v>
      </c>
      <c r="I118" s="9">
        <f>IF(AND(C118&lt;3,D118=1),1,IF(AND(C118&lt;3,D118=2),0,IF(AND(C118&gt;2,D118=1,E118 = 1),1-Model_Matched_Parameters!$K$4,IF(AND(C118&gt;2,D118=1,E118 = 2),Model_Matched_Parameters!$K$5,IF(AND(C118&gt;2, D118 = 2, E118 = 1),Model_Matched_Parameters!$K$4,Model_Matched_Parameters!$K$5)))))</f>
        <v>0.3</v>
      </c>
      <c r="J118" s="9">
        <f>SUMIFS('Indirect Model Parameters'!$G$11:$G$29,'Indirect Model Parameters'!$D$11:$D$29,Pop_Init!E32,'Indirect Model Parameters'!$E$11:$E$29,Pop_Init!F32)</f>
        <v>0.27</v>
      </c>
      <c r="L118" s="9">
        <f t="shared" si="8"/>
        <v>4.0500000000000001E-2</v>
      </c>
      <c r="M118" s="9">
        <f t="shared" si="9"/>
        <v>3.1724397236452548E-3</v>
      </c>
      <c r="N118" s="28">
        <f>M118*'Indirect Model Parameters'!$G$10</f>
        <v>317.24397236452546</v>
      </c>
    </row>
    <row r="119" spans="1:14" ht="48">
      <c r="A119" s="1" t="str">
        <f t="shared" si="10"/>
        <v>Population in TB compartment  LTBI, after IPT with  Multidrug-resistant (MDR-TB) in HIV compartment  PLHIV not on ART, CD4&gt;200 and Male</v>
      </c>
      <c r="B119" s="8" t="s">
        <v>269</v>
      </c>
      <c r="C119" s="8">
        <v>8</v>
      </c>
      <c r="D119" s="9">
        <v>2</v>
      </c>
      <c r="E119" s="9">
        <v>2</v>
      </c>
      <c r="F119" s="9">
        <v>1</v>
      </c>
      <c r="G119" s="9" t="str">
        <f t="shared" si="11"/>
        <v>N,8,2,2,1</v>
      </c>
      <c r="H119" s="9">
        <f>IF(F119=1,'Indirect Model Parameters'!$G$24,'Indirect Model Parameters'!$G$25)</f>
        <v>0.5</v>
      </c>
      <c r="I119" s="9">
        <f>IF(AND(C119&lt;3,D119=1),1,IF(AND(C119&lt;3,D119=2),0,IF(AND(C119&gt;2,D119=1,E119 = 1),1-Model_Matched_Parameters!$K$4,IF(AND(C119&gt;2,D119=1,E119 = 2),Model_Matched_Parameters!$K$5,IF(AND(C119&gt;2, D119 = 2, E119 = 1),Model_Matched_Parameters!$K$4,Model_Matched_Parameters!$K$5)))))</f>
        <v>0.3</v>
      </c>
      <c r="J119" s="9">
        <f>SUMIFS('Indirect Model Parameters'!$G$11:$G$29,'Indirect Model Parameters'!$D$11:$D$29,Pop_Init!E33,'Indirect Model Parameters'!$E$11:$E$29,Pop_Init!F33)</f>
        <v>0.27</v>
      </c>
      <c r="L119" s="9">
        <f t="shared" si="8"/>
        <v>4.0500000000000001E-2</v>
      </c>
      <c r="M119" s="9">
        <f t="shared" si="9"/>
        <v>3.1724397236452548E-3</v>
      </c>
      <c r="N119" s="28">
        <f>M119*'Indirect Model Parameters'!$G$10</f>
        <v>317.24397236452546</v>
      </c>
    </row>
    <row r="120" spans="1:14" ht="48">
      <c r="A120" s="1" t="str">
        <f t="shared" si="10"/>
        <v>Population in TB compartment  LTBI, after IPT with Drug-susceptible (DS) in HIV compartment  PLHIV not on ART, CD4&gt;200 and Female</v>
      </c>
      <c r="B120" s="8" t="s">
        <v>269</v>
      </c>
      <c r="C120" s="8">
        <v>8</v>
      </c>
      <c r="D120" s="9">
        <v>1</v>
      </c>
      <c r="E120" s="9">
        <v>2</v>
      </c>
      <c r="F120" s="9">
        <v>2</v>
      </c>
      <c r="G120" s="9" t="str">
        <f t="shared" si="11"/>
        <v>N,8,1,2,2</v>
      </c>
      <c r="H120" s="9">
        <f>IF(F120=1,'Indirect Model Parameters'!$G$24,'Indirect Model Parameters'!$G$25)</f>
        <v>0.5</v>
      </c>
      <c r="I120" s="9">
        <f>IF(AND(C120&lt;3,D120=1),1,IF(AND(C120&lt;3,D120=2),0,IF(AND(C120&gt;2,D120=1,E120 = 1),1-Model_Matched_Parameters!$K$4,IF(AND(C120&gt;2,D120=1,E120 = 2),Model_Matched_Parameters!$K$5,IF(AND(C120&gt;2, D120 = 2, E120 = 1),Model_Matched_Parameters!$K$4,Model_Matched_Parameters!$K$5)))))</f>
        <v>0.3</v>
      </c>
      <c r="J120" s="9">
        <f>SUMIFS('Indirect Model Parameters'!$G$11:$G$29,'Indirect Model Parameters'!$D$11:$D$29,Pop_Init!E96,'Indirect Model Parameters'!$E$11:$E$29,Pop_Init!F96)</f>
        <v>0.27</v>
      </c>
      <c r="L120" s="9">
        <f t="shared" si="8"/>
        <v>4.0500000000000001E-2</v>
      </c>
      <c r="M120" s="9">
        <f t="shared" si="9"/>
        <v>3.1724397236452548E-3</v>
      </c>
      <c r="N120" s="28">
        <f>M120*'Indirect Model Parameters'!$G$10</f>
        <v>317.24397236452546</v>
      </c>
    </row>
    <row r="121" spans="1:14" ht="48">
      <c r="A121" s="1" t="str">
        <f t="shared" si="10"/>
        <v>Population in TB compartment  LTBI, after IPT with  Multidrug-resistant (MDR-TB) in HIV compartment  PLHIV not on ART, CD4&gt;200 and Female</v>
      </c>
      <c r="B121" s="8" t="s">
        <v>269</v>
      </c>
      <c r="C121" s="8">
        <v>8</v>
      </c>
      <c r="D121" s="9">
        <v>2</v>
      </c>
      <c r="E121" s="9">
        <v>2</v>
      </c>
      <c r="F121" s="9">
        <v>2</v>
      </c>
      <c r="G121" s="9" t="str">
        <f t="shared" si="11"/>
        <v>N,8,2,2,2</v>
      </c>
      <c r="H121" s="9">
        <f>IF(F121=1,'Indirect Model Parameters'!$G$24,'Indirect Model Parameters'!$G$25)</f>
        <v>0.5</v>
      </c>
      <c r="I121" s="9">
        <f>IF(AND(C121&lt;3,D121=1),1,IF(AND(C121&lt;3,D121=2),0,IF(AND(C121&gt;2,D121=1,E121 = 1),1-Model_Matched_Parameters!$K$4,IF(AND(C121&gt;2,D121=1,E121 = 2),Model_Matched_Parameters!$K$5,IF(AND(C121&gt;2, D121 = 2, E121 = 1),Model_Matched_Parameters!$K$4,Model_Matched_Parameters!$K$5)))))</f>
        <v>0.3</v>
      </c>
      <c r="J121" s="9">
        <f>SUMIFS('Indirect Model Parameters'!$G$11:$G$29,'Indirect Model Parameters'!$D$11:$D$29,Pop_Init!E97,'Indirect Model Parameters'!$E$11:$E$29,Pop_Init!F97)</f>
        <v>0.27</v>
      </c>
      <c r="L121" s="9">
        <f t="shared" si="8"/>
        <v>4.0500000000000001E-2</v>
      </c>
      <c r="M121" s="9">
        <f t="shared" si="9"/>
        <v>3.1724397236452548E-3</v>
      </c>
      <c r="N121" s="28">
        <f>M121*'Indirect Model Parameters'!$G$10</f>
        <v>317.24397236452546</v>
      </c>
    </row>
    <row r="122" spans="1:14" ht="48">
      <c r="A122" s="1" t="str">
        <f t="shared" si="10"/>
        <v>Population in TB compartment  LTBI, after IPT with Drug-susceptible (DS) in HIV compartment  PLHIV not on ART, CD4≤200 and Male</v>
      </c>
      <c r="B122" s="8" t="s">
        <v>269</v>
      </c>
      <c r="C122" s="8">
        <v>8</v>
      </c>
      <c r="D122" s="9">
        <v>1</v>
      </c>
      <c r="E122" s="9">
        <v>3</v>
      </c>
      <c r="F122" s="9">
        <v>1</v>
      </c>
      <c r="G122" s="9" t="str">
        <f t="shared" si="11"/>
        <v>N,8,1,3,1</v>
      </c>
      <c r="H122" s="9">
        <f>IF(F122=1,'Indirect Model Parameters'!$G$24,'Indirect Model Parameters'!$G$25)</f>
        <v>0.5</v>
      </c>
      <c r="I122" s="9">
        <f>IF(AND(C122&lt;3,D122=1),1,IF(AND(C122&lt;3,D122=2),0,IF(AND(C122&gt;2,D122=1,E122 = 1),1-Model_Matched_Parameters!$K$4,IF(AND(C122&gt;2,D122=1,E122 = 2),Model_Matched_Parameters!$K$5,IF(AND(C122&gt;2, D122 = 2, E122 = 1),Model_Matched_Parameters!$K$4,Model_Matched_Parameters!$K$5)))))</f>
        <v>0.3</v>
      </c>
      <c r="J122" s="9">
        <f>SUMIFS('Indirect Model Parameters'!$G$11:$G$29,'Indirect Model Parameters'!$D$11:$D$29,Pop_Init!E48,'Indirect Model Parameters'!$E$11:$E$29,Pop_Init!F48)</f>
        <v>0.27</v>
      </c>
      <c r="L122" s="9">
        <f t="shared" si="8"/>
        <v>4.0500000000000001E-2</v>
      </c>
      <c r="M122" s="9">
        <f t="shared" si="9"/>
        <v>3.1724397236452548E-3</v>
      </c>
      <c r="N122" s="28">
        <f>M122*'Indirect Model Parameters'!$G$10</f>
        <v>317.24397236452546</v>
      </c>
    </row>
    <row r="123" spans="1:14" ht="48">
      <c r="A123" s="1" t="str">
        <f t="shared" si="10"/>
        <v>Population in TB compartment  LTBI, after IPT with  Multidrug-resistant (MDR-TB) in HIV compartment  PLHIV not on ART, CD4≤200 and Male</v>
      </c>
      <c r="B123" s="8" t="s">
        <v>269</v>
      </c>
      <c r="C123" s="8">
        <v>8</v>
      </c>
      <c r="D123" s="9">
        <v>2</v>
      </c>
      <c r="E123" s="9">
        <v>3</v>
      </c>
      <c r="F123" s="9">
        <v>1</v>
      </c>
      <c r="G123" s="9" t="str">
        <f t="shared" si="11"/>
        <v>N,8,2,3,1</v>
      </c>
      <c r="H123" s="9">
        <f>IF(F123=1,'Indirect Model Parameters'!$G$24,'Indirect Model Parameters'!$G$25)</f>
        <v>0.5</v>
      </c>
      <c r="I123" s="9">
        <f>IF(AND(C123&lt;3,D123=1),1,IF(AND(C123&lt;3,D123=2),0,IF(AND(C123&gt;2,D123=1,E123 = 1),1-Model_Matched_Parameters!$K$4,IF(AND(C123&gt;2,D123=1,E123 = 2),Model_Matched_Parameters!$K$5,IF(AND(C123&gt;2, D123 = 2, E123 = 1),Model_Matched_Parameters!$K$4,Model_Matched_Parameters!$K$5)))))</f>
        <v>0.3</v>
      </c>
      <c r="J123" s="9">
        <f>SUMIFS('Indirect Model Parameters'!$G$11:$G$29,'Indirect Model Parameters'!$D$11:$D$29,Pop_Init!E49,'Indirect Model Parameters'!$E$11:$E$29,Pop_Init!F49)</f>
        <v>0.27</v>
      </c>
      <c r="L123" s="9">
        <f t="shared" si="8"/>
        <v>4.0500000000000001E-2</v>
      </c>
      <c r="M123" s="9">
        <f t="shared" si="9"/>
        <v>3.1724397236452548E-3</v>
      </c>
      <c r="N123" s="28">
        <f>M123*'Indirect Model Parameters'!$G$10</f>
        <v>317.24397236452546</v>
      </c>
    </row>
    <row r="124" spans="1:14" ht="48">
      <c r="A124" s="1" t="str">
        <f t="shared" si="10"/>
        <v>Population in TB compartment  LTBI, after IPT with Drug-susceptible (DS) in HIV compartment  PLHIV not on ART, CD4≤200 and Female</v>
      </c>
      <c r="B124" s="8" t="s">
        <v>269</v>
      </c>
      <c r="C124" s="8">
        <v>8</v>
      </c>
      <c r="D124" s="9">
        <v>1</v>
      </c>
      <c r="E124" s="9">
        <v>3</v>
      </c>
      <c r="F124" s="9">
        <v>2</v>
      </c>
      <c r="G124" s="9" t="str">
        <f t="shared" si="11"/>
        <v>N,8,1,3,2</v>
      </c>
      <c r="H124" s="9">
        <f>IF(F124=1,'Indirect Model Parameters'!$G$24,'Indirect Model Parameters'!$G$25)</f>
        <v>0.5</v>
      </c>
      <c r="I124" s="9">
        <f>IF(AND(C124&lt;3,D124=1),1,IF(AND(C124&lt;3,D124=2),0,IF(AND(C124&gt;2,D124=1,E124 = 1),1-Model_Matched_Parameters!$K$4,IF(AND(C124&gt;2,D124=1,E124 = 2),Model_Matched_Parameters!$K$5,IF(AND(C124&gt;2, D124 = 2, E124 = 1),Model_Matched_Parameters!$K$4,Model_Matched_Parameters!$K$5)))))</f>
        <v>0.3</v>
      </c>
      <c r="J124" s="9">
        <f>SUMIFS('Indirect Model Parameters'!$G$11:$G$29,'Indirect Model Parameters'!$D$11:$D$29,Pop_Init!E112,'Indirect Model Parameters'!$E$11:$E$29,Pop_Init!F112)</f>
        <v>0.27</v>
      </c>
      <c r="L124" s="9">
        <f t="shared" si="8"/>
        <v>4.0500000000000001E-2</v>
      </c>
      <c r="M124" s="9">
        <f t="shared" si="9"/>
        <v>3.1724397236452548E-3</v>
      </c>
      <c r="N124" s="28">
        <f>M124*'Indirect Model Parameters'!$G$10</f>
        <v>317.24397236452546</v>
      </c>
    </row>
    <row r="125" spans="1:14" ht="48">
      <c r="A125" s="1" t="str">
        <f t="shared" si="10"/>
        <v>Population in TB compartment  LTBI, after IPT with  Multidrug-resistant (MDR-TB) in HIV compartment  PLHIV not on ART, CD4≤200 and Female</v>
      </c>
      <c r="B125" s="8" t="s">
        <v>269</v>
      </c>
      <c r="C125" s="8">
        <v>8</v>
      </c>
      <c r="D125" s="9">
        <v>2</v>
      </c>
      <c r="E125" s="9">
        <v>3</v>
      </c>
      <c r="F125" s="9">
        <v>2</v>
      </c>
      <c r="G125" s="9" t="str">
        <f t="shared" si="11"/>
        <v>N,8,2,3,2</v>
      </c>
      <c r="H125" s="9">
        <f>IF(F125=1,'Indirect Model Parameters'!$G$24,'Indirect Model Parameters'!$G$25)</f>
        <v>0.5</v>
      </c>
      <c r="I125" s="9">
        <f>IF(AND(C125&lt;3,D125=1),1,IF(AND(C125&lt;3,D125=2),0,IF(AND(C125&gt;2,D125=1,E125 = 1),1-Model_Matched_Parameters!$K$4,IF(AND(C125&gt;2,D125=1,E125 = 2),Model_Matched_Parameters!$K$5,IF(AND(C125&gt;2, D125 = 2, E125 = 1),Model_Matched_Parameters!$K$4,Model_Matched_Parameters!$K$5)))))</f>
        <v>0.3</v>
      </c>
      <c r="J125" s="9">
        <f>SUMIFS('Indirect Model Parameters'!$G$11:$G$29,'Indirect Model Parameters'!$D$11:$D$29,Pop_Init!E113,'Indirect Model Parameters'!$E$11:$E$29,Pop_Init!F113)</f>
        <v>0.27</v>
      </c>
      <c r="L125" s="9">
        <f t="shared" si="8"/>
        <v>4.0500000000000001E-2</v>
      </c>
      <c r="M125" s="9">
        <f t="shared" si="9"/>
        <v>3.1724397236452548E-3</v>
      </c>
      <c r="N125" s="28">
        <f>M125*'Indirect Model Parameters'!$G$10</f>
        <v>317.24397236452546</v>
      </c>
    </row>
    <row r="126" spans="1:14" ht="32">
      <c r="A126" s="1" t="str">
        <f t="shared" si="10"/>
        <v>Population in TB compartment  LTBI, after IPT with Drug-susceptible (DS) in HIV compartment  PLHIV and on ART and Male</v>
      </c>
      <c r="B126" s="8" t="s">
        <v>269</v>
      </c>
      <c r="C126" s="8">
        <v>8</v>
      </c>
      <c r="D126" s="9">
        <v>1</v>
      </c>
      <c r="E126" s="9">
        <v>4</v>
      </c>
      <c r="F126" s="9">
        <v>1</v>
      </c>
      <c r="G126" s="9" t="str">
        <f t="shared" si="11"/>
        <v>N,8,1,4,1</v>
      </c>
      <c r="H126" s="9">
        <f>IF(F126=1,'Indirect Model Parameters'!$G$24,'Indirect Model Parameters'!$G$25)</f>
        <v>0.5</v>
      </c>
      <c r="I126" s="9">
        <f>IF(AND(C126&lt;3,D126=1),1,IF(AND(C126&lt;3,D126=2),0,IF(AND(C126&gt;2,D126=1,E126 = 1),1-Model_Matched_Parameters!$K$4,IF(AND(C126&gt;2,D126=1,E126 = 2),Model_Matched_Parameters!$K$5,IF(AND(C126&gt;2, D126 = 2, E126 = 1),Model_Matched_Parameters!$K$4,Model_Matched_Parameters!$K$5)))))</f>
        <v>0.3</v>
      </c>
      <c r="J126" s="9">
        <f>SUMIFS('Indirect Model Parameters'!$G$11:$G$29,'Indirect Model Parameters'!$D$11:$D$29,Pop_Init!E64,'Indirect Model Parameters'!$E$11:$E$29,Pop_Init!F64)</f>
        <v>0.27</v>
      </c>
      <c r="L126" s="9">
        <f t="shared" si="8"/>
        <v>4.0500000000000001E-2</v>
      </c>
      <c r="M126" s="9">
        <f t="shared" si="9"/>
        <v>3.1724397236452548E-3</v>
      </c>
      <c r="N126" s="28">
        <f>M126*'Indirect Model Parameters'!$G$10</f>
        <v>317.24397236452546</v>
      </c>
    </row>
    <row r="127" spans="1:14" ht="48">
      <c r="A127" s="1" t="str">
        <f t="shared" si="10"/>
        <v>Population in TB compartment  LTBI, after IPT with  Multidrug-resistant (MDR-TB) in HIV compartment  PLHIV and on ART and Male</v>
      </c>
      <c r="B127" s="8" t="s">
        <v>269</v>
      </c>
      <c r="C127" s="8">
        <v>8</v>
      </c>
      <c r="D127" s="9">
        <v>2</v>
      </c>
      <c r="E127" s="9">
        <v>4</v>
      </c>
      <c r="F127" s="9">
        <v>1</v>
      </c>
      <c r="G127" s="9" t="str">
        <f t="shared" si="11"/>
        <v>N,8,2,4,1</v>
      </c>
      <c r="H127" s="9">
        <f>IF(F127=1,'Indirect Model Parameters'!$G$24,'Indirect Model Parameters'!$G$25)</f>
        <v>0.5</v>
      </c>
      <c r="I127" s="9">
        <f>IF(AND(C127&lt;3,D127=1),1,IF(AND(C127&lt;3,D127=2),0,IF(AND(C127&gt;2,D127=1,E127 = 1),1-Model_Matched_Parameters!$K$4,IF(AND(C127&gt;2,D127=1,E127 = 2),Model_Matched_Parameters!$K$5,IF(AND(C127&gt;2, D127 = 2, E127 = 1),Model_Matched_Parameters!$K$4,Model_Matched_Parameters!$K$5)))))</f>
        <v>0.3</v>
      </c>
      <c r="J127" s="9">
        <f>SUMIFS('Indirect Model Parameters'!$G$11:$G$29,'Indirect Model Parameters'!$D$11:$D$29,Pop_Init!E65,'Indirect Model Parameters'!$E$11:$E$29,Pop_Init!F65)</f>
        <v>0.27</v>
      </c>
      <c r="L127" s="9">
        <f t="shared" si="8"/>
        <v>4.0500000000000001E-2</v>
      </c>
      <c r="M127" s="9">
        <f t="shared" si="9"/>
        <v>3.1724397236452548E-3</v>
      </c>
      <c r="N127" s="28">
        <f>M127*'Indirect Model Parameters'!$G$10</f>
        <v>317.24397236452546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269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11"/>
        <v>N,8,1,4,2</v>
      </c>
      <c r="H128" s="9">
        <f>IF(F128=1,'Indirect Model Parameters'!$G$24,'Indirect Model Parameters'!$G$25)</f>
        <v>0.5</v>
      </c>
      <c r="I128" s="9">
        <f>IF(AND(C128&lt;3,D128=1),1,IF(AND(C128&lt;3,D128=2),0,IF(AND(C128&gt;2,D128=1,E128 = 1),1-Model_Matched_Parameters!$K$4,IF(AND(C128&gt;2,D128=1,E128 = 2),Model_Matched_Parameters!$K$5,IF(AND(C128&gt;2, D128 = 2, E128 = 1),Model_Matched_Parameters!$K$4,Model_Matched_Parameters!$K$5)))))</f>
        <v>0.3</v>
      </c>
      <c r="J128" s="9">
        <f>SUMIFS('Indirect Model Parameters'!$G$11:$G$29,'Indirect Model Parameters'!$D$11:$D$29,Pop_Init!E128,'Indirect Model Parameters'!$E$11:$E$29,Pop_Init!F128)</f>
        <v>0.27</v>
      </c>
      <c r="L128" s="9">
        <f t="shared" si="8"/>
        <v>4.0500000000000001E-2</v>
      </c>
      <c r="M128" s="9">
        <f t="shared" si="9"/>
        <v>3.1724397236452548E-3</v>
      </c>
      <c r="N128" s="28">
        <f>M128*'Indirect Model Parameters'!$G$10</f>
        <v>317.24397236452546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269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11"/>
        <v>N,8,2,4,2</v>
      </c>
      <c r="H129" s="9">
        <f>IF(F129=1,'Indirect Model Parameters'!$G$24,'Indirect Model Parameters'!$G$25)</f>
        <v>0.5</v>
      </c>
      <c r="I129" s="9">
        <f>IF(AND(C129&lt;3,D129=1),1,IF(AND(C129&lt;3,D129=2),0,IF(AND(C129&gt;2,D129=1,E129 = 1),1-Model_Matched_Parameters!$K$4,IF(AND(C129&gt;2,D129=1,E129 = 2),Model_Matched_Parameters!$K$5,IF(AND(C129&gt;2, D129 = 2, E129 = 1),Model_Matched_Parameters!$K$4,Model_Matched_Parameters!$K$5)))))</f>
        <v>0.3</v>
      </c>
      <c r="J129" s="9">
        <f>SUMIFS('Indirect Model Parameters'!$G$11:$G$29,'Indirect Model Parameters'!$D$11:$D$29,Pop_Init!E129,'Indirect Model Parameters'!$E$11:$E$29,Pop_Init!F129)</f>
        <v>0.27</v>
      </c>
      <c r="L129" s="9">
        <f t="shared" si="8"/>
        <v>4.0500000000000001E-2</v>
      </c>
      <c r="M129" s="9">
        <f t="shared" si="9"/>
        <v>3.1724397236452548E-3</v>
      </c>
      <c r="N129" s="28">
        <f>M129*'Indirect Model Parameters'!$G$10</f>
        <v>317.24397236452546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E9" sqref="E9"/>
    </sheetView>
  </sheetViews>
  <sheetFormatPr baseColWidth="10" defaultColWidth="11.5" defaultRowHeight="15"/>
  <sheetData>
    <row r="1" spans="1:2">
      <c r="A1" t="s">
        <v>244</v>
      </c>
    </row>
    <row r="2" spans="1:2">
      <c r="A2">
        <v>1</v>
      </c>
      <c r="B2" t="s">
        <v>245</v>
      </c>
    </row>
    <row r="3" spans="1:2">
      <c r="A3">
        <v>2</v>
      </c>
      <c r="B3" t="s">
        <v>246</v>
      </c>
    </row>
    <row r="4" spans="1:2">
      <c r="A4">
        <v>3</v>
      </c>
      <c r="B4" t="s">
        <v>247</v>
      </c>
    </row>
    <row r="5" spans="1:2">
      <c r="A5">
        <v>4</v>
      </c>
      <c r="B5" t="s">
        <v>248</v>
      </c>
    </row>
    <row r="6" spans="1:2">
      <c r="A6">
        <v>5</v>
      </c>
      <c r="B6" t="s">
        <v>249</v>
      </c>
    </row>
    <row r="7" spans="1:2">
      <c r="A7">
        <v>6</v>
      </c>
      <c r="B7" t="s">
        <v>250</v>
      </c>
    </row>
    <row r="8" spans="1:2">
      <c r="A8">
        <v>7</v>
      </c>
      <c r="B8" t="s">
        <v>251</v>
      </c>
    </row>
    <row r="9" spans="1:2">
      <c r="A9">
        <v>8</v>
      </c>
      <c r="B9" t="s">
        <v>252</v>
      </c>
    </row>
    <row r="11" spans="1:2">
      <c r="A11" t="s">
        <v>253</v>
      </c>
    </row>
    <row r="12" spans="1:2">
      <c r="A12">
        <v>1</v>
      </c>
      <c r="B12" t="s">
        <v>254</v>
      </c>
    </row>
    <row r="13" spans="1:2">
      <c r="A13">
        <v>2</v>
      </c>
      <c r="B13" t="s">
        <v>255</v>
      </c>
    </row>
    <row r="15" spans="1:2">
      <c r="A15" t="s">
        <v>256</v>
      </c>
    </row>
    <row r="16" spans="1:2">
      <c r="A16">
        <v>1</v>
      </c>
      <c r="B16" t="s">
        <v>257</v>
      </c>
    </row>
    <row r="17" spans="1:2">
      <c r="A17">
        <v>2</v>
      </c>
      <c r="B17" t="s">
        <v>258</v>
      </c>
    </row>
    <row r="18" spans="1:2">
      <c r="A18">
        <v>3</v>
      </c>
      <c r="B18" t="s">
        <v>259</v>
      </c>
    </row>
    <row r="19" spans="1:2">
      <c r="A19">
        <v>4</v>
      </c>
      <c r="B19" t="s">
        <v>260</v>
      </c>
    </row>
    <row r="21" spans="1:2">
      <c r="A21" t="s">
        <v>261</v>
      </c>
    </row>
    <row r="22" spans="1:2">
      <c r="A22">
        <v>1</v>
      </c>
      <c r="B22" t="s">
        <v>262</v>
      </c>
    </row>
    <row r="23" spans="1:2">
      <c r="A23">
        <v>2</v>
      </c>
      <c r="B23" t="s">
        <v>263</v>
      </c>
    </row>
    <row r="25" spans="1:2">
      <c r="A25" t="s">
        <v>264</v>
      </c>
    </row>
    <row r="26" spans="1:2">
      <c r="A26">
        <v>1</v>
      </c>
      <c r="B26" t="s">
        <v>265</v>
      </c>
    </row>
    <row r="27" spans="1:2">
      <c r="A27">
        <v>2</v>
      </c>
      <c r="B27" t="s">
        <v>266</v>
      </c>
    </row>
    <row r="28" spans="1:2">
      <c r="A28">
        <v>3</v>
      </c>
      <c r="B28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Indirect Model Parameters</vt:lpstr>
      <vt:lpstr>Pop_Init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2020-08-11T18:46:56Z</dcterms:modified>
  <cp:category/>
  <cp:contentStatus/>
</cp:coreProperties>
</file>