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ws.epi_model_HIV_TB/epi_model_HIV_TB/param_files/"/>
    </mc:Choice>
  </mc:AlternateContent>
  <xr:revisionPtr revIDLastSave="0" documentId="13_ncr:1_{C96B570A-E970-4D45-AD19-CD936B1E7D14}" xr6:coauthVersionLast="36" xr6:coauthVersionMax="45" xr10:uidLastSave="{00000000-0000-0000-0000-000000000000}"/>
  <bookViews>
    <workbookView xWindow="-33480" yWindow="3940" windowWidth="30260" windowHeight="17160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Set Ref" sheetId="5" r:id="rId4"/>
  </sheets>
  <definedNames>
    <definedName name="_xlnm._FilterDatabase" localSheetId="0" hidden="1">Model_Matched_Parameters!$A$1:$O$189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1" l="1"/>
  <c r="B192" i="1"/>
  <c r="B190" i="1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2" i="6"/>
  <c r="H2" i="6"/>
  <c r="J191" i="1"/>
  <c r="J192" i="1"/>
  <c r="J190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2" i="4"/>
  <c r="H116" i="6" l="1"/>
  <c r="H117" i="6"/>
  <c r="H36" i="6"/>
  <c r="H52" i="6"/>
  <c r="H68" i="6"/>
  <c r="H37" i="6"/>
  <c r="H69" i="6"/>
  <c r="H53" i="6"/>
  <c r="G21" i="4"/>
  <c r="G12" i="4"/>
  <c r="L28" i="6" l="1"/>
  <c r="L108" i="6"/>
  <c r="L93" i="6"/>
  <c r="L109" i="6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1" i="4"/>
  <c r="L44" i="6"/>
  <c r="L61" i="6"/>
  <c r="L125" i="6"/>
  <c r="L45" i="6"/>
  <c r="L60" i="6"/>
  <c r="L92" i="6"/>
  <c r="L124" i="6"/>
  <c r="K166" i="1"/>
  <c r="K158" i="1"/>
  <c r="K156" i="1"/>
  <c r="K154" i="1"/>
  <c r="K150" i="1"/>
  <c r="K152" i="1"/>
  <c r="K142" i="1"/>
  <c r="K134" i="1"/>
  <c r="K114" i="1"/>
  <c r="K130" i="1" s="1"/>
  <c r="K126" i="1"/>
  <c r="K118" i="1"/>
  <c r="K116" i="1"/>
  <c r="K172" i="1" s="1"/>
  <c r="K112" i="1"/>
  <c r="K168" i="1" s="1"/>
  <c r="K111" i="1"/>
  <c r="K115" i="1" l="1"/>
  <c r="K167" i="1"/>
  <c r="K157" i="1"/>
  <c r="L72" i="6"/>
  <c r="L26" i="6"/>
  <c r="L42" i="6"/>
  <c r="L106" i="6"/>
  <c r="L27" i="6"/>
  <c r="L43" i="6"/>
  <c r="L91" i="6"/>
  <c r="L107" i="6"/>
  <c r="K120" i="1"/>
  <c r="K128" i="1"/>
  <c r="K143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74" i="6"/>
  <c r="L10" i="6"/>
  <c r="L75" i="6"/>
  <c r="L59" i="6"/>
  <c r="L123" i="6"/>
  <c r="L58" i="6"/>
  <c r="L90" i="6"/>
  <c r="L122" i="6"/>
  <c r="K127" i="1"/>
  <c r="K138" i="1"/>
  <c r="K159" i="1"/>
  <c r="K117" i="1"/>
  <c r="K153" i="1"/>
  <c r="K135" i="1"/>
  <c r="K123" i="1"/>
  <c r="K139" i="1"/>
  <c r="K171" i="1"/>
  <c r="K163" i="1"/>
  <c r="K147" i="1"/>
  <c r="K131" i="1"/>
  <c r="K119" i="1"/>
  <c r="K136" i="1"/>
  <c r="K144" i="1"/>
  <c r="K151" i="1"/>
  <c r="K160" i="1"/>
  <c r="K170" i="1"/>
  <c r="K140" i="1"/>
  <c r="K146" i="1"/>
  <c r="K162" i="1"/>
  <c r="K113" i="1"/>
  <c r="K124" i="1"/>
  <c r="K155" i="1"/>
  <c r="K132" i="1"/>
  <c r="K148" i="1"/>
  <c r="K164" i="1"/>
  <c r="K122" i="1"/>
  <c r="K183" i="1"/>
  <c r="K184" i="1"/>
  <c r="K185" i="1"/>
  <c r="K182" i="1"/>
  <c r="K179" i="1"/>
  <c r="K187" i="1" s="1"/>
  <c r="K180" i="1"/>
  <c r="K188" i="1" s="1"/>
  <c r="K181" i="1"/>
  <c r="K189" i="1" s="1"/>
  <c r="K178" i="1"/>
  <c r="K186" i="1" s="1"/>
  <c r="L6" i="6" l="1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K125" i="1"/>
  <c r="K173" i="1"/>
  <c r="K133" i="1"/>
  <c r="K165" i="1"/>
  <c r="K149" i="1"/>
  <c r="K141" i="1"/>
  <c r="K161" i="1"/>
  <c r="K145" i="1"/>
  <c r="K137" i="1"/>
  <c r="K121" i="1"/>
  <c r="K169" i="1"/>
  <c r="K12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15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89" i="1"/>
  <c r="B189" i="1"/>
  <c r="J188" i="1"/>
  <c r="B188" i="1"/>
  <c r="J187" i="1"/>
  <c r="B187" i="1"/>
  <c r="J186" i="1"/>
  <c r="B186" i="1"/>
  <c r="J185" i="1"/>
  <c r="B185" i="1"/>
  <c r="J184" i="1"/>
  <c r="B184" i="1"/>
  <c r="J183" i="1"/>
  <c r="B183" i="1"/>
  <c r="J182" i="1"/>
  <c r="B182" i="1"/>
  <c r="J97" i="1"/>
  <c r="K101" i="1" l="1"/>
  <c r="K100" i="1"/>
  <c r="K105" i="1"/>
  <c r="K104" i="1"/>
  <c r="K10" i="1"/>
  <c r="K11" i="1"/>
  <c r="K9" i="1"/>
  <c r="B111" i="1" l="1"/>
  <c r="B118" i="1"/>
  <c r="B119" i="1"/>
  <c r="B126" i="1"/>
  <c r="B127" i="1"/>
  <c r="B134" i="1"/>
  <c r="B135" i="1"/>
  <c r="B142" i="1"/>
  <c r="B143" i="1"/>
  <c r="B150" i="1"/>
  <c r="B151" i="1"/>
  <c r="B158" i="1"/>
  <c r="B159" i="1"/>
  <c r="B166" i="1"/>
  <c r="B167" i="1"/>
  <c r="B110" i="1"/>
  <c r="B175" i="1"/>
  <c r="B176" i="1"/>
  <c r="B177" i="1"/>
  <c r="B178" i="1"/>
  <c r="B179" i="1"/>
  <c r="B180" i="1"/>
  <c r="B181" i="1"/>
  <c r="B174" i="1"/>
  <c r="B109" i="1"/>
  <c r="B108" i="1"/>
  <c r="B107" i="1"/>
  <c r="B106" i="1"/>
  <c r="B94" i="1"/>
  <c r="B95" i="1"/>
  <c r="B96" i="1"/>
  <c r="B93" i="1"/>
  <c r="B38" i="1"/>
  <c r="B14" i="1"/>
  <c r="B70" i="1"/>
  <c r="B46" i="1"/>
  <c r="B22" i="1"/>
  <c r="B78" i="1"/>
  <c r="B54" i="1"/>
  <c r="B30" i="1"/>
  <c r="B62" i="1"/>
  <c r="B169" i="1"/>
  <c r="B161" i="1"/>
  <c r="B157" i="1"/>
  <c r="B152" i="1"/>
  <c r="B149" i="1"/>
  <c r="B144" i="1"/>
  <c r="B141" i="1"/>
  <c r="B136" i="1"/>
  <c r="B133" i="1"/>
  <c r="B125" i="1"/>
  <c r="B120" i="1"/>
  <c r="J113" i="1"/>
  <c r="B112" i="1"/>
  <c r="B103" i="1"/>
  <c r="B100" i="1"/>
  <c r="B105" i="1"/>
  <c r="B98" i="1"/>
  <c r="B31" i="1"/>
  <c r="B55" i="1"/>
  <c r="B79" i="1"/>
  <c r="B23" i="1"/>
  <c r="B47" i="1"/>
  <c r="B71" i="1"/>
  <c r="B39" i="1"/>
  <c r="B63" i="1"/>
  <c r="J88" i="1"/>
  <c r="J89" i="1"/>
  <c r="J90" i="1"/>
  <c r="J91" i="1"/>
  <c r="J92" i="1"/>
  <c r="J93" i="1"/>
  <c r="J94" i="1"/>
  <c r="J95" i="1"/>
  <c r="J96" i="1"/>
  <c r="J86" i="1"/>
  <c r="J87" i="1"/>
  <c r="J106" i="1"/>
  <c r="J107" i="1"/>
  <c r="J108" i="1"/>
  <c r="J109" i="1"/>
  <c r="J174" i="1"/>
  <c r="J175" i="1"/>
  <c r="J176" i="1"/>
  <c r="J177" i="1"/>
  <c r="J178" i="1"/>
  <c r="J179" i="1"/>
  <c r="J180" i="1"/>
  <c r="J181" i="1"/>
  <c r="J110" i="1"/>
  <c r="J111" i="1"/>
  <c r="B80" i="1"/>
  <c r="J105" i="1" l="1"/>
  <c r="B101" i="1"/>
  <c r="B156" i="1"/>
  <c r="B148" i="1"/>
  <c r="J116" i="1"/>
  <c r="B124" i="1"/>
  <c r="B173" i="1"/>
  <c r="J103" i="1"/>
  <c r="J112" i="1"/>
  <c r="B165" i="1"/>
  <c r="B172" i="1"/>
  <c r="B170" i="1"/>
  <c r="B164" i="1"/>
  <c r="B162" i="1"/>
  <c r="B77" i="1"/>
  <c r="J43" i="1"/>
  <c r="B68" i="1"/>
  <c r="B64" i="1"/>
  <c r="B132" i="1"/>
  <c r="B130" i="1"/>
  <c r="B154" i="1"/>
  <c r="B153" i="1"/>
  <c r="B145" i="1"/>
  <c r="B137" i="1"/>
  <c r="B129" i="1"/>
  <c r="B121" i="1"/>
  <c r="B113" i="1"/>
  <c r="B83" i="1"/>
  <c r="B104" i="1"/>
  <c r="B168" i="1"/>
  <c r="B160" i="1"/>
  <c r="B128" i="1"/>
  <c r="B102" i="1"/>
  <c r="B82" i="1"/>
  <c r="J102" i="1"/>
  <c r="B115" i="1"/>
  <c r="B155" i="1"/>
  <c r="B147" i="1"/>
  <c r="B139" i="1"/>
  <c r="B131" i="1"/>
  <c r="B123" i="1"/>
  <c r="J100" i="1"/>
  <c r="J74" i="1"/>
  <c r="B72" i="1"/>
  <c r="B32" i="1"/>
  <c r="J59" i="1"/>
  <c r="B57" i="1"/>
  <c r="J104" i="1"/>
  <c r="J98" i="1"/>
  <c r="J67" i="1"/>
  <c r="B65" i="1"/>
  <c r="B33" i="1"/>
  <c r="B75" i="1"/>
  <c r="J114" i="1"/>
  <c r="B81" i="1"/>
  <c r="B56" i="1"/>
  <c r="B73" i="1"/>
  <c r="J118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2" i="1" l="1"/>
  <c r="B116" i="1"/>
  <c r="J101" i="1"/>
  <c r="J41" i="1"/>
  <c r="J66" i="1"/>
  <c r="B66" i="1"/>
  <c r="J68" i="1"/>
  <c r="B171" i="1"/>
  <c r="B49" i="1"/>
  <c r="B41" i="1"/>
  <c r="B146" i="1"/>
  <c r="J82" i="1"/>
  <c r="B163" i="1"/>
  <c r="B114" i="1"/>
  <c r="B48" i="1"/>
  <c r="B117" i="1"/>
  <c r="J83" i="1"/>
  <c r="B99" i="1"/>
  <c r="J99" i="1"/>
  <c r="J115" i="1"/>
  <c r="B140" i="1"/>
  <c r="B138" i="1"/>
  <c r="B43" i="1"/>
  <c r="B59" i="1"/>
  <c r="J85" i="1"/>
  <c r="B67" i="1"/>
  <c r="J42" i="1"/>
  <c r="B74" i="1"/>
  <c r="J120" i="1"/>
  <c r="J119" i="1"/>
  <c r="B85" i="1" l="1"/>
  <c r="J117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1" i="1"/>
  <c r="J122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4" i="1"/>
  <c r="J123" i="1"/>
  <c r="J53" i="1" l="1"/>
  <c r="B53" i="1"/>
  <c r="J52" i="1"/>
  <c r="B52" i="1"/>
  <c r="B24" i="1"/>
  <c r="J24" i="1"/>
  <c r="B29" i="1"/>
  <c r="J29" i="1"/>
  <c r="J35" i="1"/>
  <c r="B35" i="1"/>
  <c r="B19" i="1"/>
  <c r="J19" i="1"/>
  <c r="J125" i="1"/>
  <c r="J126" i="1"/>
  <c r="B26" i="1" l="1"/>
  <c r="J26" i="1"/>
  <c r="B21" i="1"/>
  <c r="J21" i="1"/>
  <c r="B37" i="1"/>
  <c r="J37" i="1"/>
  <c r="J127" i="1"/>
  <c r="J128" i="1"/>
  <c r="J28" i="1" l="1"/>
  <c r="B28" i="1"/>
  <c r="J130" i="1"/>
  <c r="J129" i="1"/>
  <c r="J131" i="1" l="1"/>
  <c r="J132" i="1"/>
  <c r="J134" i="1" l="1"/>
  <c r="J133" i="1"/>
  <c r="J136" i="1" l="1"/>
  <c r="J135" i="1"/>
  <c r="J137" i="1" l="1"/>
  <c r="J138" i="1"/>
  <c r="J140" i="1" l="1"/>
  <c r="J139" i="1"/>
  <c r="J142" i="1" l="1"/>
  <c r="J141" i="1"/>
  <c r="J144" i="1" l="1"/>
  <c r="J143" i="1"/>
  <c r="J145" i="1" l="1"/>
  <c r="J146" i="1"/>
  <c r="J148" i="1" l="1"/>
  <c r="J147" i="1"/>
  <c r="J149" i="1" l="1"/>
  <c r="J150" i="1"/>
  <c r="J152" i="1" l="1"/>
  <c r="J151" i="1"/>
  <c r="J153" i="1" l="1"/>
  <c r="J154" i="1"/>
  <c r="J155" i="1" l="1"/>
  <c r="J156" i="1"/>
  <c r="J158" i="1" l="1"/>
  <c r="J157" i="1"/>
  <c r="J159" i="1" l="1"/>
  <c r="J160" i="1"/>
  <c r="J162" i="1" l="1"/>
  <c r="J161" i="1"/>
  <c r="J163" i="1" l="1"/>
  <c r="J164" i="1"/>
  <c r="J166" i="1" l="1"/>
  <c r="J165" i="1"/>
  <c r="J167" i="1" l="1"/>
  <c r="J168" i="1"/>
  <c r="J169" i="1" l="1"/>
  <c r="J172" i="1"/>
  <c r="J170" i="1"/>
  <c r="J173" i="1" l="1"/>
  <c r="J1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9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K190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<sst xmlns="http://schemas.openxmlformats.org/spreadsheetml/2006/main" count="1115" uniqueCount="366">
  <si>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</si>
  <si>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</si>
  <si>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</si>
  <si>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</si>
  <si>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</si>
  <si>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</si>
  <si>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</si>
  <si>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</si>
  <si>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</si>
  <si>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</si>
  <si>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</si>
  <si>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</si>
  <si>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</si>
  <si>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</si>
  <si>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</si>
  <si>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</si>
  <si>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</si>
  <si>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</si>
  <si>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</si>
  <si>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</si>
  <si>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</si>
  <si>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</si>
  <si>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</si>
  <si>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</si>
  <si>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</si>
  <si>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</si>
  <si>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</si>
  <si>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</si>
  <si>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</si>
  <si>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</si>
  <si>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</si>
  <si>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</si>
  <si>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</si>
  <si>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</si>
  <si>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</si>
  <si>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</si>
  <si>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</si>
  <si>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</si>
  <si>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</si>
  <si>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</si>
  <si>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</si>
  <si>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</si>
  <si>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</si>
  <si>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</si>
  <si>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</si>
  <si>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</si>
  <si>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</si>
  <si>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</si>
  <si>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</si>
  <si>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</si>
  <si>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</si>
  <si>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</si>
  <si>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</si>
  <si>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</si>
  <si>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</si>
  <si>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</si>
  <si>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</si>
  <si>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</si>
  <si>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</si>
  <si>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</si>
  <si>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</si>
  <si>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</si>
  <si>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</si>
  <si>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</si>
  <si>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</si>
  <si>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</si>
  <si>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</si>
  <si>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</si>
  <si>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</si>
  <si>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</si>
  <si>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</si>
  <si>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</si>
  <si>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</si>
  <si>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</si>
  <si>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</si>
  <si>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</si>
  <si>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</si>
  <si>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</si>
  <si>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</si>
  <si>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</si>
  <si>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</si>
  <si>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</si>
  <si>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</si>
  <si>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</si>
  <si>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</si>
  <si>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</si>
  <si>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</si>
  <si>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</si>
  <si>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</si>
  <si>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</si>
  <si>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</si>
  <si>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</si>
  <si>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</si>
  <si>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</si>
  <si>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</si>
  <si>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</si>
  <si>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</si>
  <si>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</si>
  <si>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</si>
  <si>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</si>
  <si>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</si>
  <si>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</si>
  <si>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</si>
  <si>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</si>
  <si>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</si>
  <si>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</si>
  <si>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</si>
  <si>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</si>
  <si>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</si>
  <si>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</si>
  <si>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</si>
  <si>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</si>
  <si>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</si>
  <si>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</si>
  <si>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</si>
  <si>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</si>
  <si>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</si>
  <si>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</si>
  <si>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</si>
  <si>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</si>
  <si>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</si>
  <si>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</si>
  <si>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</si>
  <si>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</si>
  <si>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</si>
  <si>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</si>
  <si>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</si>
  <si>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</si>
  <si>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</si>
  <si>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</si>
  <si>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</si>
  <si>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</si>
  <si>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</si>
  <si>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</si>
  <si>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</si>
  <si>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</si>
  <si>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</si>
  <si>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</si>
  <si>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</si>
  <si>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</si>
  <si>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</si>
  <si>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</si>
  <si>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</si>
  <si>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</si>
  <si>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</si>
  <si>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</si>
  <si>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</si>
  <si>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</si>
  <si>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</si>
  <si>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</si>
  <si>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</si>
  <si>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</si>
  <si>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</si>
  <si>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</si>
  <si>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</si>
  <si>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</si>
  <si>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</si>
  <si>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</si>
  <si>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</si>
  <si>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</si>
  <si>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</si>
  <si>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</si>
  <si>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</si>
  <si>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</si>
  <si>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</si>
  <si>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</si>
  <si>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</si>
  <si>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</si>
  <si>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</si>
  <si>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</si>
  <si>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</si>
  <si>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</si>
  <si>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</si>
  <si>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</si>
  <si>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</si>
  <si>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</si>
  <si>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</si>
  <si>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</si>
  <si>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</si>
  <si>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</si>
  <si>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</si>
  <si>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</si>
  <si>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</si>
  <si>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</si>
  <si>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</si>
  <si>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</si>
  <si>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</si>
  <si>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</si>
  <si>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</si>
  <si>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</si>
  <si>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</si>
  <si>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</si>
  <si>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</si>
  <si>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</si>
  <si>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</si>
  <si>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</si>
  <si>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</si>
  <si>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</si>
  <si>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</si>
  <si>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</si>
  <si>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</si>
  <si>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</si>
  <si>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</si>
  <si>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</si>
  <si>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</si>
  <si>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</si>
  <si>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</si>
  <si>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</si>
  <si>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</si>
  <si>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</si>
  <si>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</si>
  <si>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</si>
  <si>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</si>
  <si>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</si>
  <si>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</si>
  <si>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</si>
  <si>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</si>
  <si>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</si>
  <si>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</si>
  <si>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</si>
  <si>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</si>
  <si>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</si>
  <si>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</si>
  <si>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</si>
  <si>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</si>
  <si>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</si>
  <si>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</si>
  <si>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</si>
  <si>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</si>
  <si>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</si>
  <si>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</si>
  <si>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</si>
  <si>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</si>
  <si>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</si>
  <si>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</si>
  <si>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</si>
  <si>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</si>
  <si>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</si>
  <si>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</si>
  <si>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</si>
  <si>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</si>
  <si>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</si>
  <si>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</si>
  <si>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</si>
  <si>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</si>
  <si>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</si>
  <si>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</si>
  <si>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</si>
  <si>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</si>
  <si>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</si>
  <si>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</si>
  <si>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</si>
  <si>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</si>
  <si>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</si>
  <si>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</si>
  <si>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</si>
  <si>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</si>
  <si>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</si>
  <si>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</si>
  <si>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</si>
  <si>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</si>
  <si>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</si>
  <si>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</si>
  <si>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</si>
  <si>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</si>
  <si>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</si>
  <si>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</si>
  <si>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</si>
  <si>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</si>
  <si>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</si>
  <si>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</si>
  <si>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</si>
  <si>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</si>
  <si>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</si>
  <si>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</si>
  <si>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</si>
  <si>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</si>
  <si>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</si>
  <si>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</si>
  <si>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</si>
  <si>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</si>
  <si>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</si>
  <si>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</si>
  <si>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</si>
  <si>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</si>
  <si>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</si>
  <si>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</si>
  <si>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</si>
  <si>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</si>
  <si>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</si>
  <si>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</si>
  <si>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</si>
  <si>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</si>
  <si>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</si>
  <si>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</si>
  <si>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</si>
  <si>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</si>
  <si>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</si>
  <si>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</si>
  <si>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</si>
  <si>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</si>
  <si>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</si>
  <si>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</si>
  <si>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</si>
  <si>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</si>
  <si>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</si>
  <si>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</si>
  <si>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</si>
  <si>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</si>
  <si>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</si>
  <si>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</si>
  <si>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</si>
  <si>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</si>
  <si>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</si>
  <si>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</si>
  <si>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</si>
  <si>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</si>
  <si>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</si>
  <si>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</si>
  <si>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</si>
  <si>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</si>
  <si>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</si>
  <si>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</si>
  <si>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</si>
  <si>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</si>
  <si>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</si>
  <si>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</si>
  <si>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</si>
  <si>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</si>
  <si>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</si>
  <si>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</si>
  <si>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</si>
  <si>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</si>
  <si>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</si>
  <si>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</si>
  <si>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</si>
  <si>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</si>
  <si>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</si>
  <si>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</si>
  <si>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</si>
  <si>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</si>
  <si>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</si>
  <si>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</si>
  <si>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</si>
  <si>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</si>
  <si>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</si>
  <si>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</si>
  <si>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</si>
  <si>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</si>
  <si>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</si>
  <si>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</si>
  <si>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</si>
  <si>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</si>
  <si>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</si>
  <si>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</si>
  <si>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</si>
  <si>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</si>
  <si>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</si>
  <si>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</si>
  <si>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</si>
  <si>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</si>
  <si>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</si>
  <si>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</si>
  <si>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Reference-Expected Value</t>
  </si>
  <si>
    <t>IPT Adherence  under policy Community ART</t>
  </si>
  <si>
    <t>IPT Adherence  under policy Standard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</si>
</sst>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0" fillId="2" borderId="0" xfId="0" applyFont="1" applyFill="1" applyAlignment="1">
      <alignment wrapText="1"/>
    </xf>
    <xf numFmtId="0" fontId="10" fillId="0" borderId="0" xfId="0" applyFont="1" applyFill="1"/>
    <xf numFmtId="0" fontId="0" fillId="0" borderId="0" xfId="0" applyFill="1"/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/>
    </xf>
    <xf numFmtId="0" fontId="10" fillId="5" borderId="0" xfId="0" applyFont="1" applyFill="1"/>
    <xf numFmtId="0" fontId="10" fillId="5" borderId="0" xfId="0" applyFont="1" applyFill="1" applyAlignment="1">
      <alignment wrapText="1"/>
    </xf>
    <xf numFmtId="0" fontId="8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0" fillId="2" borderId="0" xfId="0" applyFont="1" applyFill="1"/>
    <xf numFmtId="0" fontId="6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0" fillId="6" borderId="0" xfId="0" applyFill="1"/>
    <xf numFmtId="0" fontId="5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2"/>
  <sheetViews>
    <sheetView tabSelected="1" zoomScaleNormal="100" workbookViewId="0">
      <pane xSplit="10" ySplit="1" topLeftCell="K180" activePane="bottomRight" state="frozen"/>
      <selection pane="topRight" activeCell="I1" sqref="I1"/>
      <selection pane="bottomLeft" activeCell="A2" sqref="A2"/>
      <selection pane="bottomRight" activeCell="K190" sqref="K190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" style="10" customWidth="1"/>
    <col min="16" max="16384" width="8.83203125" style="10"/>
  </cols>
  <sheetData>
    <row r="1" spans="1:15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64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64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3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Parameters'!G2</f>
        <v>0.7</v>
      </c>
      <c r="N9" s="9" t="s">
        <v>30</v>
      </c>
      <c r="O9" s="10" t="s">
        <v>31</v>
      </c>
    </row>
    <row r="10" spans="1:15" ht="34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Parameters'!G3</f>
        <v>0.77</v>
      </c>
      <c r="N10" s="9" t="s">
        <v>30</v>
      </c>
      <c r="O10" s="10" t="s">
        <v>31</v>
      </c>
    </row>
    <row r="11" spans="1:15" ht="3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Parameters'!G4</f>
        <v>0.7</v>
      </c>
      <c r="N11" s="9" t="s">
        <v>30</v>
      </c>
      <c r="O11" s="10" t="s">
        <v>31</v>
      </c>
    </row>
    <row r="12" spans="1:15" ht="64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8">
        <v>0</v>
      </c>
      <c r="O14" s="10" t="s">
        <v>44</v>
      </c>
    </row>
    <row r="15" spans="1:15" ht="51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8">
        <v>0</v>
      </c>
      <c r="O15" s="10" t="s">
        <v>44</v>
      </c>
    </row>
    <row r="16" spans="1:15" ht="51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2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17">
      <c r="A88" s="34" t="s">
        <v>360</v>
      </c>
      <c r="C88" s="8" t="s">
        <v>124</v>
      </c>
      <c r="D88" s="8" t="s">
        <v>43</v>
      </c>
      <c r="E88" s="8"/>
      <c r="J88" s="9" t="str">
        <f t="shared" si="4"/>
        <v>omega_</v>
      </c>
      <c r="K88" s="9">
        <v>2</v>
      </c>
      <c r="O88" s="10" t="s">
        <v>125</v>
      </c>
    </row>
    <row r="89" spans="1:15" ht="17">
      <c r="A89" s="20" t="s">
        <v>126</v>
      </c>
      <c r="B89" s="9" t="s">
        <v>127</v>
      </c>
      <c r="C89" s="8" t="s">
        <v>128</v>
      </c>
      <c r="D89" s="8" t="s">
        <v>43</v>
      </c>
      <c r="E89" s="8">
        <v>34</v>
      </c>
      <c r="J89" s="9" t="str">
        <f t="shared" si="4"/>
        <v>pi_34,</v>
      </c>
      <c r="K89" s="9">
        <v>0.5</v>
      </c>
      <c r="O89" s="10" t="s">
        <v>129</v>
      </c>
    </row>
    <row r="90" spans="1:15" ht="17">
      <c r="A90" s="20" t="s">
        <v>130</v>
      </c>
      <c r="B90" s="9" t="s">
        <v>130</v>
      </c>
      <c r="C90" s="8" t="s">
        <v>128</v>
      </c>
      <c r="D90" s="8" t="s">
        <v>43</v>
      </c>
      <c r="E90" s="8">
        <v>36</v>
      </c>
      <c r="J90" s="9" t="str">
        <f t="shared" si="4"/>
        <v>pi_36,</v>
      </c>
      <c r="K90" s="9">
        <v>0.15</v>
      </c>
    </row>
    <row r="91" spans="1:15" ht="17">
      <c r="A91" s="20" t="s">
        <v>131</v>
      </c>
      <c r="B91" s="9" t="s">
        <v>130</v>
      </c>
      <c r="C91" s="8" t="s">
        <v>128</v>
      </c>
      <c r="D91" s="8" t="s">
        <v>43</v>
      </c>
      <c r="E91" s="8">
        <v>46</v>
      </c>
      <c r="J91" s="9" t="str">
        <f t="shared" si="4"/>
        <v>pi_46,</v>
      </c>
      <c r="K91" s="9">
        <v>0.05</v>
      </c>
    </row>
    <row r="92" spans="1:15" ht="17">
      <c r="A92" s="20" t="s">
        <v>132</v>
      </c>
      <c r="B92" s="9" t="s">
        <v>132</v>
      </c>
      <c r="C92" s="8" t="s">
        <v>128</v>
      </c>
      <c r="D92" s="8" t="s">
        <v>43</v>
      </c>
      <c r="E92" s="8">
        <v>56</v>
      </c>
      <c r="J92" s="9" t="str">
        <f t="shared" si="4"/>
        <v>pi_56,</v>
      </c>
      <c r="K92" s="9">
        <v>0.02</v>
      </c>
    </row>
    <row r="93" spans="1:15" ht="34">
      <c r="A93" s="20" t="s">
        <v>133</v>
      </c>
      <c r="B93" s="9" t="str">
        <f>CONCATENATE("Relative risk for TB progression from LTBI to active for HIV compartment ", VLOOKUP(G93, HIV_SET, 2))</f>
        <v>Relative risk for TB progression from LTBI to active for HIV compartment  HIV-negative</v>
      </c>
      <c r="C93" s="8" t="s">
        <v>134</v>
      </c>
      <c r="D93" s="8" t="s">
        <v>43</v>
      </c>
      <c r="E93" s="8"/>
      <c r="G93" s="9">
        <v>1</v>
      </c>
      <c r="J93" s="9" t="str">
        <f t="shared" ref="J93:J124" si="6">CONCATENATE(C93, "_", E93, IF(E93&lt;&gt;"",",",""), F93, IF(F93&lt;&gt;"",",",""),  G93, IF(G93&lt;&gt;"",",",""),  H93, IF(I93&lt;&gt;"","(",""), I93, IF(I93&lt;&gt;"",")",""))</f>
        <v>theta_1,</v>
      </c>
      <c r="K93" s="9">
        <v>1</v>
      </c>
    </row>
    <row r="94" spans="1:15" ht="34">
      <c r="A94" s="20" t="s">
        <v>135</v>
      </c>
      <c r="B94" s="9" t="str">
        <f>CONCATENATE("Relative risk for TB progression from LTBI to active for HIV compartment ", VLOOKUP(G94, HIV_SET, 2))</f>
        <v>Relative risk for TB progression from LTBI to active for HIV compartment  PLHIV not on ART, CD4&gt;200</v>
      </c>
      <c r="C94" s="8" t="s">
        <v>134</v>
      </c>
      <c r="D94" s="8" t="s">
        <v>43</v>
      </c>
      <c r="E94" s="8"/>
      <c r="G94" s="9">
        <v>2</v>
      </c>
      <c r="J94" s="9" t="str">
        <f t="shared" si="6"/>
        <v>theta_2,</v>
      </c>
      <c r="K94" s="9">
        <v>1.2</v>
      </c>
    </row>
    <row r="95" spans="1:15" ht="34">
      <c r="A95" s="20" t="s">
        <v>136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CD4≤200</v>
      </c>
      <c r="C95" s="8" t="s">
        <v>134</v>
      </c>
      <c r="D95" s="8" t="s">
        <v>43</v>
      </c>
      <c r="E95" s="8"/>
      <c r="G95" s="9">
        <v>3</v>
      </c>
      <c r="J95" s="9" t="str">
        <f t="shared" si="6"/>
        <v>theta_3,</v>
      </c>
      <c r="K95" s="9">
        <v>1.5</v>
      </c>
    </row>
    <row r="96" spans="1:15" ht="34">
      <c r="A96" s="20" t="s">
        <v>137</v>
      </c>
      <c r="B96" s="9" t="str">
        <f>CONCATENATE("Relative risk for TB progression from LTBI to active for HIV compartment ", VLOOKUP(G96, HIV_SET, 2))</f>
        <v>Relative risk for TB progression from LTBI to active for HIV compartment  PLHIV and on ART</v>
      </c>
      <c r="C96" s="8" t="s">
        <v>134</v>
      </c>
      <c r="D96" s="8" t="s">
        <v>43</v>
      </c>
      <c r="E96" s="8"/>
      <c r="G96" s="9">
        <v>4</v>
      </c>
      <c r="J96" s="9" t="str">
        <f t="shared" si="6"/>
        <v>theta_4,</v>
      </c>
      <c r="K96" s="9">
        <v>1.1000000000000001</v>
      </c>
    </row>
    <row r="97" spans="1:15" ht="34">
      <c r="A97" s="22" t="s">
        <v>268</v>
      </c>
      <c r="B97" s="22" t="s">
        <v>268</v>
      </c>
      <c r="C97" s="9" t="s">
        <v>128</v>
      </c>
      <c r="D97" s="9" t="s">
        <v>43</v>
      </c>
      <c r="E97" s="9">
        <v>67</v>
      </c>
      <c r="J97" s="9" t="str">
        <f t="shared" si="6"/>
        <v>pi_67,</v>
      </c>
      <c r="K97" s="23">
        <v>2</v>
      </c>
    </row>
    <row r="98" spans="1:15" ht="34">
      <c r="A98" s="20" t="s">
        <v>138</v>
      </c>
      <c r="B98" s="9" t="str">
        <f>CONCATENATE("Rate of populations moving from HIV negative to HIVPL CD4 &gt; 200 under policy ", VLOOKUP(I98, P_SET, 2))</f>
        <v>Rate of populations moving from HIV negative to HIVPL CD4 &gt; 200 under policy Community ART + IPT</v>
      </c>
      <c r="C98" s="8" t="s">
        <v>139</v>
      </c>
      <c r="D98" s="8" t="s">
        <v>140</v>
      </c>
      <c r="E98" s="8"/>
      <c r="G98" s="9">
        <v>12</v>
      </c>
      <c r="I98" s="9">
        <v>3</v>
      </c>
      <c r="J98" s="9" t="str">
        <f t="shared" si="6"/>
        <v>eta_12,(3)</v>
      </c>
      <c r="K98" s="9">
        <v>0.05</v>
      </c>
      <c r="O98" s="10" t="s">
        <v>141</v>
      </c>
    </row>
    <row r="99" spans="1:15" ht="34">
      <c r="A99" s="20" t="s">
        <v>142</v>
      </c>
      <c r="B99" s="9" t="str">
        <f>CONCATENATE("Rate of populations moving from HIVPL CD4 &gt; 200 to HIVPL &lt;= 200 under policy ", VLOOKUP(I99, P_SET, 2))</f>
        <v>Rate of populations moving from HIVPL CD4 &gt; 200 to HIVPL &lt;= 200 under policy Community ART + IPT</v>
      </c>
      <c r="C99" s="8" t="s">
        <v>139</v>
      </c>
      <c r="D99" s="8" t="s">
        <v>140</v>
      </c>
      <c r="E99" s="8"/>
      <c r="G99" s="9">
        <v>23</v>
      </c>
      <c r="I99" s="9">
        <v>3</v>
      </c>
      <c r="J99" s="9" t="str">
        <f t="shared" si="6"/>
        <v>eta_23,(3)</v>
      </c>
      <c r="K99" s="9">
        <v>0.2</v>
      </c>
      <c r="O99" s="10" t="s">
        <v>143</v>
      </c>
    </row>
    <row r="100" spans="1:15" ht="34">
      <c r="A100" s="20" t="s">
        <v>144</v>
      </c>
      <c r="B100" s="9" t="str">
        <f>CONCATENATE("Rate of populations moving from HIVPL CD4 &gt; 200  to HIVPL on ART under policy ", VLOOKUP(I100, P_SET, 2))</f>
        <v>Rate of populations moving from HIVPL CD4 &gt; 200  to HIVPL on ART under policy Community ART + IPT</v>
      </c>
      <c r="C100" s="8" t="s">
        <v>139</v>
      </c>
      <c r="D100" s="8" t="s">
        <v>140</v>
      </c>
      <c r="E100" s="8"/>
      <c r="G100" s="9">
        <v>34</v>
      </c>
      <c r="I100" s="9">
        <v>3</v>
      </c>
      <c r="J100" s="9" t="str">
        <f t="shared" si="6"/>
        <v>eta_34,(3)</v>
      </c>
      <c r="K100" s="9">
        <f>K108*'Indirect Model Parameters'!G7</f>
        <v>0.48</v>
      </c>
      <c r="O100" s="10" t="s">
        <v>145</v>
      </c>
    </row>
    <row r="101" spans="1:15" ht="34">
      <c r="A101" s="20" t="s">
        <v>146</v>
      </c>
      <c r="B101" s="9" t="str">
        <f>CONCATENATE("Rate of populations moving from HIVPL CD4 &lt;= 200  to HIVPL on ART under policy ", VLOOKUP(I101, P_SET, 2))</f>
        <v>Rate of populations moving from HIVPL CD4 &lt;= 200  to HIVPL on ART under policy Community ART + IPT</v>
      </c>
      <c r="C101" s="8" t="s">
        <v>139</v>
      </c>
      <c r="D101" s="8" t="s">
        <v>140</v>
      </c>
      <c r="E101" s="8"/>
      <c r="G101" s="9">
        <v>24</v>
      </c>
      <c r="I101" s="9">
        <v>3</v>
      </c>
      <c r="J101" s="9" t="str">
        <f t="shared" si="6"/>
        <v>eta_24,(3)</v>
      </c>
      <c r="K101" s="9">
        <f>K109*'Indirect Model Parameters'!G8</f>
        <v>0.48</v>
      </c>
      <c r="O101" s="10" t="s">
        <v>147</v>
      </c>
    </row>
    <row r="102" spans="1:15" ht="34">
      <c r="A102" s="20" t="s">
        <v>148</v>
      </c>
      <c r="B102" s="9" t="str">
        <f>CONCATENATE("Rate of populations moving from HIV negative to HIVPL CD4 &gt; 200 under policy ", VLOOKUP(I102, P_SET, 2))</f>
        <v>Rate of populations moving from HIV negative to HIVPL CD4 &gt; 200 under policy Community ART</v>
      </c>
      <c r="C102" s="8" t="s">
        <v>139</v>
      </c>
      <c r="D102" s="8" t="s">
        <v>140</v>
      </c>
      <c r="E102" s="8"/>
      <c r="G102" s="9">
        <v>12</v>
      </c>
      <c r="I102" s="9">
        <v>2</v>
      </c>
      <c r="J102" s="9" t="str">
        <f t="shared" si="6"/>
        <v>eta_12,(2)</v>
      </c>
      <c r="K102" s="9">
        <v>0.05</v>
      </c>
      <c r="O102" s="10" t="s">
        <v>149</v>
      </c>
    </row>
    <row r="103" spans="1:15" ht="34">
      <c r="A103" s="20" t="s">
        <v>150</v>
      </c>
      <c r="B103" s="9" t="str">
        <f>CONCATENATE("Rate of populations moving from HIVPL CD4 &gt; 200 to HIVPL &lt;= 200 under policy ", VLOOKUP(I103, P_SET, 2))</f>
        <v>Rate of populations moving from HIVPL CD4 &gt; 200 to HIVPL &lt;= 200 under policy Community ART</v>
      </c>
      <c r="C103" s="8" t="s">
        <v>139</v>
      </c>
      <c r="D103" s="8" t="s">
        <v>140</v>
      </c>
      <c r="E103" s="8"/>
      <c r="G103" s="9">
        <v>23</v>
      </c>
      <c r="I103" s="9">
        <v>2</v>
      </c>
      <c r="J103" s="9" t="str">
        <f t="shared" si="6"/>
        <v>eta_23,(2)</v>
      </c>
      <c r="K103" s="9">
        <v>0.2</v>
      </c>
    </row>
    <row r="104" spans="1:15" ht="34">
      <c r="A104" s="20" t="s">
        <v>151</v>
      </c>
      <c r="B104" s="9" t="str">
        <f>CONCATENATE("Rate of populations moving from HIVPL CD4 &gt; 200  to HIVPL on ART under policy ", VLOOKUP(I104, P_SET, 2))</f>
        <v>Rate of populations moving from HIVPL CD4 &gt; 200  to HIVPL on ART under policy Community ART</v>
      </c>
      <c r="C104" s="8" t="s">
        <v>139</v>
      </c>
      <c r="D104" s="8" t="s">
        <v>140</v>
      </c>
      <c r="E104" s="8"/>
      <c r="G104" s="9">
        <v>34</v>
      </c>
      <c r="I104" s="9">
        <v>2</v>
      </c>
      <c r="J104" s="9" t="str">
        <f t="shared" si="6"/>
        <v>eta_34,(2)</v>
      </c>
      <c r="K104" s="9">
        <f>$K$107*'Indirect Model Parameters'!G5</f>
        <v>0.22000000000000003</v>
      </c>
    </row>
    <row r="105" spans="1:15" ht="34">
      <c r="A105" s="20" t="s">
        <v>152</v>
      </c>
      <c r="B105" s="9" t="str">
        <f>CONCATENATE("Rate of populations moving from HIVPL CD4 &lt;= 200  to HIVPL on ART under policy ", VLOOKUP(I105, P_SET, 2))</f>
        <v>Rate of populations moving from HIVPL CD4 &lt;= 200  to HIVPL on ART under policy Community ART</v>
      </c>
      <c r="C105" s="8" t="s">
        <v>139</v>
      </c>
      <c r="D105" s="8" t="s">
        <v>140</v>
      </c>
      <c r="E105" s="8"/>
      <c r="G105" s="9">
        <v>24</v>
      </c>
      <c r="I105" s="9">
        <v>2</v>
      </c>
      <c r="J105" s="9" t="str">
        <f t="shared" si="6"/>
        <v>eta_24,(2)</v>
      </c>
      <c r="K105" s="9">
        <f>$K$108*'Indirect Model Parameters'!G6</f>
        <v>0.44000000000000006</v>
      </c>
    </row>
    <row r="106" spans="1:15" ht="34">
      <c r="A106" s="20" t="s">
        <v>153</v>
      </c>
      <c r="B106" s="9" t="str">
        <f>CONCATENATE("Rate of populations moving from HIV negative to HIVPL CD4 &gt; 200 under policy ", VLOOKUP(I106, P_SET, 2))</f>
        <v>Rate of populations moving from HIV negative to HIVPL CD4 &gt; 200 under policy Standard (baseline)</v>
      </c>
      <c r="C106" s="8" t="s">
        <v>139</v>
      </c>
      <c r="D106" s="8" t="s">
        <v>140</v>
      </c>
      <c r="E106" s="8"/>
      <c r="G106" s="9">
        <v>12</v>
      </c>
      <c r="I106" s="9">
        <v>1</v>
      </c>
      <c r="J106" s="9" t="str">
        <f t="shared" si="6"/>
        <v>eta_12,(1)</v>
      </c>
      <c r="K106" s="9">
        <v>0.05</v>
      </c>
    </row>
    <row r="107" spans="1:15" ht="34">
      <c r="A107" s="20" t="s">
        <v>154</v>
      </c>
      <c r="B107" s="9" t="str">
        <f>CONCATENATE("Rate of populations moving from HIVPL CD4 &gt; 200 to HIVPL &lt;= 200 under policy ", VLOOKUP(I107, P_SET, 2))</f>
        <v>Rate of populations moving from HIVPL CD4 &gt; 200 to HIVPL &lt;= 200 under policy Standard (baseline)</v>
      </c>
      <c r="C107" s="8" t="s">
        <v>139</v>
      </c>
      <c r="D107" s="8" t="s">
        <v>140</v>
      </c>
      <c r="E107" s="8"/>
      <c r="G107" s="9">
        <v>23</v>
      </c>
      <c r="I107" s="9">
        <v>1</v>
      </c>
      <c r="J107" s="9" t="str">
        <f t="shared" si="6"/>
        <v>eta_23,(1)</v>
      </c>
      <c r="K107" s="9">
        <v>0.2</v>
      </c>
    </row>
    <row r="108" spans="1:15" ht="34">
      <c r="A108" s="20" t="s">
        <v>155</v>
      </c>
      <c r="B108" s="9" t="str">
        <f>CONCATENATE("Rate of populations moving from HIVPL CD4 &gt; 200  to HIVPL on ART under policy ", VLOOKUP(I108, P_SET, 2))</f>
        <v>Rate of populations moving from HIVPL CD4 &gt; 200  to HIVPL on ART under policy Standard (baseline)</v>
      </c>
      <c r="C108" s="8" t="s">
        <v>139</v>
      </c>
      <c r="D108" s="8" t="s">
        <v>140</v>
      </c>
      <c r="E108" s="8"/>
      <c r="G108" s="9">
        <v>24</v>
      </c>
      <c r="I108" s="9">
        <v>1</v>
      </c>
      <c r="J108" s="9" t="str">
        <f t="shared" si="6"/>
        <v>eta_24,(1)</v>
      </c>
      <c r="K108" s="9">
        <v>0.4</v>
      </c>
    </row>
    <row r="109" spans="1:15" ht="34">
      <c r="A109" s="20" t="s">
        <v>156</v>
      </c>
      <c r="B109" s="9" t="str">
        <f>CONCATENATE("Rate of populations moving from HIVPL CD4 &lt;= 200  to HIVPL on ART under policy ", VLOOKUP(I109, P_SET, 2))</f>
        <v>Rate of populations moving from HIVPL CD4 &lt;= 200  to HIVPL on ART under policy Standard (baseline)</v>
      </c>
      <c r="C109" s="8" t="s">
        <v>139</v>
      </c>
      <c r="D109" s="8" t="s">
        <v>140</v>
      </c>
      <c r="E109" s="8"/>
      <c r="G109" s="9">
        <v>34</v>
      </c>
      <c r="I109" s="9">
        <v>1</v>
      </c>
      <c r="J109" s="9" t="str">
        <f t="shared" si="6"/>
        <v>eta_34,(1)</v>
      </c>
      <c r="K109" s="9">
        <v>0.4</v>
      </c>
    </row>
    <row r="110" spans="1:15" ht="48">
      <c r="A110" s="20" t="s">
        <v>157</v>
      </c>
      <c r="B110" s="9" t="str">
        <f t="shared" ref="B110:B141" si="7">CONCATENATE("Mortality rates from populations in TB compartment ",VLOOKUP(E110,TB_SET,2)," and HIV compartment ",VLOOKUP(G110,HIV_SET,2)," and gender compartment ",VLOOKUP(H110,G_SET,2)," per year")</f>
        <v>Mortality rates from populations in TB compartment  Uninfected, not on IPT and HIV compartment  HIV-negative and gender compartment Male per year</v>
      </c>
      <c r="C110" s="8" t="s">
        <v>158</v>
      </c>
      <c r="D110" s="8" t="s">
        <v>159</v>
      </c>
      <c r="E110" s="8">
        <v>1</v>
      </c>
      <c r="G110" s="9">
        <v>1</v>
      </c>
      <c r="H110" s="9">
        <v>1</v>
      </c>
      <c r="J110" s="9" t="str">
        <f t="shared" si="6"/>
        <v>mu_1,1,1</v>
      </c>
      <c r="K110" s="11">
        <v>3.3E-3</v>
      </c>
      <c r="O110" s="10" t="s">
        <v>319</v>
      </c>
    </row>
    <row r="111" spans="1:15" ht="48">
      <c r="A111" s="20" t="s">
        <v>160</v>
      </c>
      <c r="B111" s="9" t="str">
        <f t="shared" si="7"/>
        <v>Mortality rates from populations in TB compartment  Uninfected, not on IPT and HIV compartment  HIV-negative and gender compartment Female per year</v>
      </c>
      <c r="C111" s="8" t="s">
        <v>158</v>
      </c>
      <c r="D111" s="8" t="s">
        <v>159</v>
      </c>
      <c r="E111" s="8">
        <v>1</v>
      </c>
      <c r="G111" s="9">
        <v>1</v>
      </c>
      <c r="H111" s="9">
        <v>2</v>
      </c>
      <c r="J111" s="9" t="str">
        <f t="shared" si="6"/>
        <v>mu_1,1,2</v>
      </c>
      <c r="K111" s="11">
        <f>0.0019</f>
        <v>1.9E-3</v>
      </c>
      <c r="O111" s="10" t="s">
        <v>320</v>
      </c>
    </row>
    <row r="112" spans="1:15" ht="51">
      <c r="A112" s="20" t="s">
        <v>161</v>
      </c>
      <c r="B112" s="9" t="str">
        <f t="shared" si="7"/>
        <v>Mortality rates from populations in TB compartment  Uninfected, not on IPT and HIV compartment  PLHIV not on ART, CD4&gt;200 and gender compartment Male per year</v>
      </c>
      <c r="C112" s="8" t="s">
        <v>158</v>
      </c>
      <c r="D112" s="8" t="s">
        <v>159</v>
      </c>
      <c r="E112" s="8">
        <v>1</v>
      </c>
      <c r="G112" s="9">
        <v>2</v>
      </c>
      <c r="H112" s="9">
        <v>1</v>
      </c>
      <c r="J112" s="9" t="str">
        <f t="shared" si="6"/>
        <v>mu_1,2,1</v>
      </c>
      <c r="K112" s="11">
        <f>K110*5</f>
        <v>1.6500000000000001E-2</v>
      </c>
      <c r="O112" s="10" t="s">
        <v>313</v>
      </c>
    </row>
    <row r="113" spans="1:15" ht="51">
      <c r="A113" s="20" t="s">
        <v>162</v>
      </c>
      <c r="B113" s="9" t="str">
        <f t="shared" si="7"/>
        <v>Mortality rates from populations in TB compartment  Uninfected, not on IPT and HIV compartment  PLHIV not on ART, CD4&gt;200 and gender compartment Female per year</v>
      </c>
      <c r="C113" s="8" t="s">
        <v>158</v>
      </c>
      <c r="D113" s="8" t="s">
        <v>159</v>
      </c>
      <c r="E113" s="8">
        <v>1</v>
      </c>
      <c r="G113" s="9">
        <v>2</v>
      </c>
      <c r="H113" s="9">
        <v>2</v>
      </c>
      <c r="J113" s="9" t="str">
        <f t="shared" si="6"/>
        <v>mu_1,2,2</v>
      </c>
      <c r="K113" s="11">
        <f>K111*5</f>
        <v>9.4999999999999998E-3</v>
      </c>
      <c r="O113" s="10" t="s">
        <v>313</v>
      </c>
    </row>
    <row r="114" spans="1:15" ht="51">
      <c r="A114" s="20" t="s">
        <v>163</v>
      </c>
      <c r="B114" s="9" t="str">
        <f t="shared" si="7"/>
        <v>Mortality rates from populations in TB compartment  Uninfected, not on IPT and HIV compartment  PLHIV not on ART, CD4≤200 and gender compartment Male per year</v>
      </c>
      <c r="C114" s="8" t="s">
        <v>158</v>
      </c>
      <c r="D114" s="8" t="s">
        <v>159</v>
      </c>
      <c r="E114" s="8">
        <v>1</v>
      </c>
      <c r="G114" s="9">
        <v>3</v>
      </c>
      <c r="H114" s="9">
        <v>1</v>
      </c>
      <c r="J114" s="9" t="str">
        <f t="shared" si="6"/>
        <v>mu_1,3,1</v>
      </c>
      <c r="K114" s="11">
        <f>K110*10</f>
        <v>3.3000000000000002E-2</v>
      </c>
      <c r="O114" s="10" t="s">
        <v>315</v>
      </c>
    </row>
    <row r="115" spans="1:15" ht="51">
      <c r="A115" s="20" t="s">
        <v>164</v>
      </c>
      <c r="B115" s="9" t="str">
        <f t="shared" si="7"/>
        <v>Mortality rates from populations in TB compartment  Uninfected, not on IPT and HIV compartment  PLHIV not on ART, CD4≤200 and gender compartment Female per year</v>
      </c>
      <c r="C115" s="8" t="s">
        <v>158</v>
      </c>
      <c r="D115" s="8" t="s">
        <v>159</v>
      </c>
      <c r="E115" s="8">
        <v>1</v>
      </c>
      <c r="G115" s="9">
        <v>3</v>
      </c>
      <c r="H115" s="9">
        <v>2</v>
      </c>
      <c r="J115" s="9" t="str">
        <f t="shared" si="6"/>
        <v>mu_1,3,2</v>
      </c>
      <c r="K115" s="11">
        <f>K111*10</f>
        <v>1.9E-2</v>
      </c>
      <c r="O115" s="10" t="s">
        <v>315</v>
      </c>
    </row>
    <row r="116" spans="1:15" ht="48">
      <c r="A116" s="20" t="s">
        <v>165</v>
      </c>
      <c r="B116" s="9" t="str">
        <f t="shared" si="7"/>
        <v>Mortality rates from populations in TB compartment  Uninfected, not on IPT and HIV compartment  PLHIV and on ART and gender compartment Male per year</v>
      </c>
      <c r="C116" s="8" t="s">
        <v>158</v>
      </c>
      <c r="D116" s="8" t="s">
        <v>159</v>
      </c>
      <c r="E116" s="8">
        <v>1</v>
      </c>
      <c r="G116" s="9">
        <v>4</v>
      </c>
      <c r="H116" s="9">
        <v>1</v>
      </c>
      <c r="J116" s="9" t="str">
        <f t="shared" si="6"/>
        <v>mu_1,4,1</v>
      </c>
      <c r="K116" s="11">
        <f>K110*1.2</f>
        <v>3.96E-3</v>
      </c>
      <c r="O116" s="10" t="s">
        <v>314</v>
      </c>
    </row>
    <row r="117" spans="1:15" ht="48">
      <c r="A117" s="20" t="s">
        <v>166</v>
      </c>
      <c r="B117" s="9" t="str">
        <f t="shared" si="7"/>
        <v>Mortality rates from populations in TB compartment  Uninfected, not on IPT and HIV compartment  PLHIV and on ART and gender compartment Female per year</v>
      </c>
      <c r="C117" s="8" t="s">
        <v>158</v>
      </c>
      <c r="D117" s="8" t="s">
        <v>159</v>
      </c>
      <c r="E117" s="8">
        <v>1</v>
      </c>
      <c r="G117" s="9">
        <v>4</v>
      </c>
      <c r="H117" s="9">
        <v>2</v>
      </c>
      <c r="J117" s="9" t="str">
        <f t="shared" si="6"/>
        <v>mu_1,4,2</v>
      </c>
      <c r="K117" s="11">
        <f>K111*1.2</f>
        <v>2.2799999999999999E-3</v>
      </c>
      <c r="O117" s="10" t="s">
        <v>314</v>
      </c>
    </row>
    <row r="118" spans="1:15" ht="48">
      <c r="A118" s="20" t="s">
        <v>167</v>
      </c>
      <c r="B118" s="9" t="str">
        <f t="shared" si="7"/>
        <v>Mortality rates from populations in TB compartment  Uninfected, on IPT and HIV compartment  HIV-negative and gender compartment Male per year</v>
      </c>
      <c r="C118" s="8" t="s">
        <v>158</v>
      </c>
      <c r="D118" s="8" t="s">
        <v>159</v>
      </c>
      <c r="E118" s="8">
        <v>2</v>
      </c>
      <c r="G118" s="9">
        <v>1</v>
      </c>
      <c r="H118" s="9">
        <v>1</v>
      </c>
      <c r="J118" s="9" t="str">
        <f t="shared" si="6"/>
        <v>mu_2,1,1</v>
      </c>
      <c r="K118" s="11">
        <f t="shared" ref="K118:K125" si="8">K110</f>
        <v>3.3E-3</v>
      </c>
      <c r="O118" s="10" t="s">
        <v>312</v>
      </c>
    </row>
    <row r="119" spans="1:15" ht="48">
      <c r="A119" s="20" t="s">
        <v>168</v>
      </c>
      <c r="B119" s="9" t="str">
        <f t="shared" si="7"/>
        <v>Mortality rates from populations in TB compartment  Uninfected, on IPT and HIV compartment  HIV-negative and gender compartment Female per year</v>
      </c>
      <c r="C119" s="8" t="s">
        <v>158</v>
      </c>
      <c r="D119" s="8" t="s">
        <v>159</v>
      </c>
      <c r="E119" s="8">
        <v>2</v>
      </c>
      <c r="G119" s="9">
        <v>1</v>
      </c>
      <c r="H119" s="9">
        <v>2</v>
      </c>
      <c r="J119" s="9" t="str">
        <f t="shared" si="6"/>
        <v>mu_2,1,2</v>
      </c>
      <c r="K119" s="11">
        <f t="shared" si="8"/>
        <v>1.9E-3</v>
      </c>
      <c r="O119" s="10" t="s">
        <v>312</v>
      </c>
    </row>
    <row r="120" spans="1:15" ht="51">
      <c r="A120" s="20" t="s">
        <v>169</v>
      </c>
      <c r="B120" s="9" t="str">
        <f t="shared" si="7"/>
        <v>Mortality rates from populations in TB compartment  Uninfected, on IPT and HIV compartment  PLHIV not on ART, CD4&gt;200 and gender compartment Male per year</v>
      </c>
      <c r="C120" s="8" t="s">
        <v>158</v>
      </c>
      <c r="D120" s="8" t="s">
        <v>159</v>
      </c>
      <c r="E120" s="8">
        <v>2</v>
      </c>
      <c r="G120" s="9">
        <v>2</v>
      </c>
      <c r="H120" s="9">
        <v>1</v>
      </c>
      <c r="J120" s="9" t="str">
        <f t="shared" si="6"/>
        <v>mu_2,2,1</v>
      </c>
      <c r="K120" s="11">
        <f t="shared" si="8"/>
        <v>1.6500000000000001E-2</v>
      </c>
      <c r="O120" s="10" t="s">
        <v>316</v>
      </c>
    </row>
    <row r="121" spans="1:15" ht="51">
      <c r="A121" s="20" t="s">
        <v>170</v>
      </c>
      <c r="B121" s="9" t="str">
        <f t="shared" si="7"/>
        <v>Mortality rates from populations in TB compartment  Uninfected, on IPT and HIV compartment  PLHIV not on ART, CD4&gt;200 and gender compartment Female per year</v>
      </c>
      <c r="C121" s="8" t="s">
        <v>158</v>
      </c>
      <c r="D121" s="8" t="s">
        <v>159</v>
      </c>
      <c r="E121" s="8">
        <v>2</v>
      </c>
      <c r="G121" s="9">
        <v>2</v>
      </c>
      <c r="H121" s="9">
        <v>2</v>
      </c>
      <c r="J121" s="9" t="str">
        <f t="shared" si="6"/>
        <v>mu_2,2,2</v>
      </c>
      <c r="K121" s="11">
        <f t="shared" si="8"/>
        <v>9.4999999999999998E-3</v>
      </c>
      <c r="O121" s="10" t="s">
        <v>316</v>
      </c>
    </row>
    <row r="122" spans="1:15" ht="51">
      <c r="A122" s="20" t="s">
        <v>171</v>
      </c>
      <c r="B122" s="9" t="str">
        <f t="shared" si="7"/>
        <v>Mortality rates from populations in TB compartment  Uninfected, on IPT and HIV compartment  PLHIV not on ART, CD4≤200 and gender compartment Male per year</v>
      </c>
      <c r="C122" s="8" t="s">
        <v>158</v>
      </c>
      <c r="D122" s="8" t="s">
        <v>159</v>
      </c>
      <c r="E122" s="8">
        <v>2</v>
      </c>
      <c r="G122" s="9">
        <v>3</v>
      </c>
      <c r="H122" s="9">
        <v>1</v>
      </c>
      <c r="J122" s="9" t="str">
        <f t="shared" si="6"/>
        <v>mu_2,3,1</v>
      </c>
      <c r="K122" s="11">
        <f t="shared" si="8"/>
        <v>3.3000000000000002E-2</v>
      </c>
      <c r="O122" s="10" t="s">
        <v>317</v>
      </c>
    </row>
    <row r="123" spans="1:15" ht="51">
      <c r="A123" s="30" t="s">
        <v>172</v>
      </c>
      <c r="B123" s="9" t="str">
        <f t="shared" si="7"/>
        <v>Mortality rates from populations in TB compartment  Uninfected, on IPT and HIV compartment  PLHIV not on ART, CD4≤200 and gender compartment Female per year</v>
      </c>
      <c r="C123" s="8" t="s">
        <v>158</v>
      </c>
      <c r="D123" s="8" t="s">
        <v>159</v>
      </c>
      <c r="E123" s="8">
        <v>2</v>
      </c>
      <c r="G123" s="9">
        <v>3</v>
      </c>
      <c r="H123" s="9">
        <v>2</v>
      </c>
      <c r="J123" s="9" t="str">
        <f t="shared" si="6"/>
        <v>mu_2,3,2</v>
      </c>
      <c r="K123" s="11">
        <f t="shared" si="8"/>
        <v>1.9E-2</v>
      </c>
      <c r="O123" s="10" t="s">
        <v>317</v>
      </c>
    </row>
    <row r="124" spans="1:15" ht="48">
      <c r="A124" s="20" t="s">
        <v>173</v>
      </c>
      <c r="B124" s="9" t="str">
        <f t="shared" si="7"/>
        <v>Mortality rates from populations in TB compartment  Uninfected, on IPT and HIV compartment  PLHIV and on ART and gender compartment Male per year</v>
      </c>
      <c r="C124" s="8" t="s">
        <v>158</v>
      </c>
      <c r="D124" s="8" t="s">
        <v>159</v>
      </c>
      <c r="E124" s="8">
        <v>2</v>
      </c>
      <c r="G124" s="9">
        <v>4</v>
      </c>
      <c r="H124" s="9">
        <v>1</v>
      </c>
      <c r="J124" s="9" t="str">
        <f t="shared" si="6"/>
        <v>mu_2,4,1</v>
      </c>
      <c r="K124" s="11">
        <f t="shared" si="8"/>
        <v>3.96E-3</v>
      </c>
      <c r="O124" s="10" t="s">
        <v>318</v>
      </c>
    </row>
    <row r="125" spans="1:15" ht="48">
      <c r="A125" s="20" t="s">
        <v>174</v>
      </c>
      <c r="B125" s="9" t="str">
        <f t="shared" si="7"/>
        <v>Mortality rates from populations in TB compartment  Uninfected, on IPT and HIV compartment  PLHIV and on ART and gender compartment Female per year</v>
      </c>
      <c r="C125" s="8" t="s">
        <v>158</v>
      </c>
      <c r="D125" s="8" t="s">
        <v>159</v>
      </c>
      <c r="E125" s="8">
        <v>2</v>
      </c>
      <c r="G125" s="9">
        <v>4</v>
      </c>
      <c r="H125" s="9">
        <v>2</v>
      </c>
      <c r="J125" s="9" t="str">
        <f t="shared" ref="J125:J156" si="9">CONCATENATE(C125, "_", E125, IF(E125&lt;&gt;"",",",""), F125, IF(F125&lt;&gt;"",",",""),  G125, IF(G125&lt;&gt;"",",",""),  H125, IF(I125&lt;&gt;"","(",""), I125, IF(I125&lt;&gt;"",")",""))</f>
        <v>mu_2,4,2</v>
      </c>
      <c r="K125" s="11">
        <f t="shared" si="8"/>
        <v>2.2799999999999999E-3</v>
      </c>
      <c r="O125" s="10" t="s">
        <v>318</v>
      </c>
    </row>
    <row r="126" spans="1:15" ht="51">
      <c r="A126" s="20" t="s">
        <v>175</v>
      </c>
      <c r="B126" s="9" t="str">
        <f t="shared" si="7"/>
        <v>Mortality rates from populations in TB compartment  LTBI, infected recently (at risk for rapid progression) and HIV compartment  HIV-negative and gender compartment Male per year</v>
      </c>
      <c r="C126" s="8" t="s">
        <v>158</v>
      </c>
      <c r="D126" s="8" t="s">
        <v>159</v>
      </c>
      <c r="E126" s="8">
        <v>3</v>
      </c>
      <c r="G126" s="9">
        <v>1</v>
      </c>
      <c r="H126" s="9">
        <v>1</v>
      </c>
      <c r="J126" s="9" t="str">
        <f t="shared" si="9"/>
        <v>mu_3,1,1</v>
      </c>
      <c r="K126" s="11">
        <f t="shared" ref="K126:K133" si="10">K110</f>
        <v>3.3E-3</v>
      </c>
      <c r="O126" s="10" t="s">
        <v>312</v>
      </c>
    </row>
    <row r="127" spans="1:15" ht="51">
      <c r="A127" s="20" t="s">
        <v>176</v>
      </c>
      <c r="B127" s="9" t="str">
        <f t="shared" si="7"/>
        <v>Mortality rates from populations in TB compartment  LTBI, infected recently (at risk for rapid progression) and HIV compartment  HIV-negative and gender compartment Female per year</v>
      </c>
      <c r="C127" s="8" t="s">
        <v>158</v>
      </c>
      <c r="D127" s="8" t="s">
        <v>159</v>
      </c>
      <c r="E127" s="8">
        <v>3</v>
      </c>
      <c r="G127" s="9">
        <v>1</v>
      </c>
      <c r="H127" s="9">
        <v>2</v>
      </c>
      <c r="J127" s="9" t="str">
        <f t="shared" si="9"/>
        <v>mu_3,1,2</v>
      </c>
      <c r="K127" s="11">
        <f t="shared" si="10"/>
        <v>1.9E-3</v>
      </c>
      <c r="O127" s="10" t="s">
        <v>312</v>
      </c>
    </row>
    <row r="128" spans="1:15" ht="51">
      <c r="A128" s="20" t="s">
        <v>177</v>
      </c>
      <c r="B128" s="9" t="str">
        <f t="shared" si="7"/>
        <v>Mortality rates from populations in TB compartment  LTBI, infected recently (at risk for rapid progression) and HIV compartment  PLHIV not on ART, CD4&gt;200 and gender compartment Male per year</v>
      </c>
      <c r="C128" s="8" t="s">
        <v>158</v>
      </c>
      <c r="D128" s="8" t="s">
        <v>159</v>
      </c>
      <c r="E128" s="8">
        <v>3</v>
      </c>
      <c r="G128" s="9">
        <v>2</v>
      </c>
      <c r="H128" s="9">
        <v>1</v>
      </c>
      <c r="J128" s="9" t="str">
        <f t="shared" si="9"/>
        <v>mu_3,2,1</v>
      </c>
      <c r="K128" s="11">
        <f t="shared" si="10"/>
        <v>1.6500000000000001E-2</v>
      </c>
      <c r="O128" s="10" t="s">
        <v>316</v>
      </c>
    </row>
    <row r="129" spans="1:15" ht="51">
      <c r="A129" s="20" t="s">
        <v>178</v>
      </c>
      <c r="B129" s="9" t="str">
        <f t="shared" si="7"/>
        <v>Mortality rates from populations in TB compartment  LTBI, infected recently (at risk for rapid progression) and HIV compartment  PLHIV not on ART, CD4&gt;200 and gender compartment Female per year</v>
      </c>
      <c r="C129" s="8" t="s">
        <v>158</v>
      </c>
      <c r="D129" s="8" t="s">
        <v>159</v>
      </c>
      <c r="E129" s="8">
        <v>3</v>
      </c>
      <c r="G129" s="9">
        <v>2</v>
      </c>
      <c r="H129" s="9">
        <v>2</v>
      </c>
      <c r="J129" s="9" t="str">
        <f t="shared" si="9"/>
        <v>mu_3,2,2</v>
      </c>
      <c r="K129" s="11">
        <f t="shared" si="10"/>
        <v>9.4999999999999998E-3</v>
      </c>
      <c r="O129" s="10" t="s">
        <v>316</v>
      </c>
    </row>
    <row r="130" spans="1:15" ht="51">
      <c r="A130" s="20" t="s">
        <v>179</v>
      </c>
      <c r="B130" s="9" t="str">
        <f t="shared" si="7"/>
        <v>Mortality rates from populations in TB compartment  LTBI, infected recently (at risk for rapid progression) and HIV compartment  PLHIV not on ART, CD4≤200 and gender compartment Male per year</v>
      </c>
      <c r="C130" s="8" t="s">
        <v>158</v>
      </c>
      <c r="D130" s="8" t="s">
        <v>159</v>
      </c>
      <c r="E130" s="8">
        <v>3</v>
      </c>
      <c r="G130" s="9">
        <v>3</v>
      </c>
      <c r="H130" s="9">
        <v>1</v>
      </c>
      <c r="J130" s="9" t="str">
        <f t="shared" si="9"/>
        <v>mu_3,3,1</v>
      </c>
      <c r="K130" s="11">
        <f t="shared" si="10"/>
        <v>3.3000000000000002E-2</v>
      </c>
      <c r="O130" s="10" t="s">
        <v>317</v>
      </c>
    </row>
    <row r="131" spans="1:15" ht="51">
      <c r="A131" s="20" t="s">
        <v>180</v>
      </c>
      <c r="B131" s="9" t="str">
        <f t="shared" si="7"/>
        <v>Mortality rates from populations in TB compartment  LTBI, infected recently (at risk for rapid progression) and HIV compartment  PLHIV not on ART, CD4≤200 and gender compartment Female per year</v>
      </c>
      <c r="C131" s="8" t="s">
        <v>158</v>
      </c>
      <c r="D131" s="8" t="s">
        <v>159</v>
      </c>
      <c r="E131" s="8">
        <v>3</v>
      </c>
      <c r="G131" s="9">
        <v>3</v>
      </c>
      <c r="H131" s="9">
        <v>2</v>
      </c>
      <c r="J131" s="9" t="str">
        <f t="shared" si="9"/>
        <v>mu_3,3,2</v>
      </c>
      <c r="K131" s="11">
        <f t="shared" si="10"/>
        <v>1.9E-2</v>
      </c>
      <c r="O131" s="10" t="s">
        <v>317</v>
      </c>
    </row>
    <row r="132" spans="1:15" ht="51">
      <c r="A132" s="20" t="s">
        <v>181</v>
      </c>
      <c r="B132" s="9" t="str">
        <f t="shared" si="7"/>
        <v>Mortality rates from populations in TB compartment  LTBI, infected recently (at risk for rapid progression) and HIV compartment  PLHIV and on ART and gender compartment Male per year</v>
      </c>
      <c r="C132" s="8" t="s">
        <v>158</v>
      </c>
      <c r="D132" s="8" t="s">
        <v>159</v>
      </c>
      <c r="E132" s="8">
        <v>3</v>
      </c>
      <c r="G132" s="9">
        <v>4</v>
      </c>
      <c r="H132" s="9">
        <v>1</v>
      </c>
      <c r="J132" s="9" t="str">
        <f t="shared" si="9"/>
        <v>mu_3,4,1</v>
      </c>
      <c r="K132" s="11">
        <f t="shared" si="10"/>
        <v>3.96E-3</v>
      </c>
      <c r="O132" s="10" t="s">
        <v>318</v>
      </c>
    </row>
    <row r="133" spans="1:15" ht="51">
      <c r="A133" s="20" t="s">
        <v>182</v>
      </c>
      <c r="B133" s="9" t="str">
        <f t="shared" si="7"/>
        <v>Mortality rates from populations in TB compartment  LTBI, infected recently (at risk for rapid progression) and HIV compartment  PLHIV and on ART and gender compartment Female per year</v>
      </c>
      <c r="C133" s="8" t="s">
        <v>158</v>
      </c>
      <c r="D133" s="8" t="s">
        <v>159</v>
      </c>
      <c r="E133" s="8">
        <v>3</v>
      </c>
      <c r="G133" s="9">
        <v>4</v>
      </c>
      <c r="H133" s="9">
        <v>2</v>
      </c>
      <c r="J133" s="9" t="str">
        <f t="shared" si="9"/>
        <v>mu_3,4,2</v>
      </c>
      <c r="K133" s="11">
        <f t="shared" si="10"/>
        <v>2.2799999999999999E-3</v>
      </c>
      <c r="O133" s="10" t="s">
        <v>318</v>
      </c>
    </row>
    <row r="134" spans="1:15" ht="48">
      <c r="A134" s="20" t="s">
        <v>183</v>
      </c>
      <c r="B134" s="9" t="str">
        <f t="shared" si="7"/>
        <v>Mortality rates from populations in TB compartment  LTBI, infected remotely and HIV compartment  HIV-negative and gender compartment Male per year</v>
      </c>
      <c r="C134" s="8" t="s">
        <v>158</v>
      </c>
      <c r="D134" s="8" t="s">
        <v>159</v>
      </c>
      <c r="E134" s="8">
        <v>4</v>
      </c>
      <c r="G134" s="9">
        <v>1</v>
      </c>
      <c r="H134" s="9">
        <v>1</v>
      </c>
      <c r="J134" s="9" t="str">
        <f t="shared" si="9"/>
        <v>mu_4,1,1</v>
      </c>
      <c r="K134" s="11">
        <f t="shared" ref="K134:K141" si="11">K110</f>
        <v>3.3E-3</v>
      </c>
      <c r="O134" s="10" t="s">
        <v>312</v>
      </c>
    </row>
    <row r="135" spans="1:15" ht="48">
      <c r="A135" s="20" t="s">
        <v>184</v>
      </c>
      <c r="B135" s="9" t="str">
        <f t="shared" si="7"/>
        <v>Mortality rates from populations in TB compartment  LTBI, infected remotely and HIV compartment  HIV-negative and gender compartment Female per year</v>
      </c>
      <c r="C135" s="8" t="s">
        <v>158</v>
      </c>
      <c r="D135" s="8" t="s">
        <v>159</v>
      </c>
      <c r="E135" s="8">
        <v>4</v>
      </c>
      <c r="G135" s="9">
        <v>1</v>
      </c>
      <c r="H135" s="9">
        <v>2</v>
      </c>
      <c r="J135" s="9" t="str">
        <f t="shared" si="9"/>
        <v>mu_4,1,2</v>
      </c>
      <c r="K135" s="11">
        <f t="shared" si="11"/>
        <v>1.9E-3</v>
      </c>
      <c r="O135" s="10" t="s">
        <v>312</v>
      </c>
    </row>
    <row r="136" spans="1:15" ht="51">
      <c r="A136" s="20" t="s">
        <v>185</v>
      </c>
      <c r="B136" s="9" t="str">
        <f t="shared" si="7"/>
        <v>Mortality rates from populations in TB compartment  LTBI, infected remotely and HIV compartment  PLHIV not on ART, CD4&gt;200 and gender compartment Male per year</v>
      </c>
      <c r="C136" s="8" t="s">
        <v>158</v>
      </c>
      <c r="D136" s="8" t="s">
        <v>159</v>
      </c>
      <c r="E136" s="8">
        <v>4</v>
      </c>
      <c r="G136" s="9">
        <v>2</v>
      </c>
      <c r="H136" s="9">
        <v>1</v>
      </c>
      <c r="J136" s="9" t="str">
        <f t="shared" si="9"/>
        <v>mu_4,2,1</v>
      </c>
      <c r="K136" s="11">
        <f t="shared" si="11"/>
        <v>1.6500000000000001E-2</v>
      </c>
      <c r="O136" s="10" t="s">
        <v>316</v>
      </c>
    </row>
    <row r="137" spans="1:15" ht="51">
      <c r="A137" s="20" t="s">
        <v>186</v>
      </c>
      <c r="B137" s="9" t="str">
        <f t="shared" si="7"/>
        <v>Mortality rates from populations in TB compartment  LTBI, infected remotely and HIV compartment  PLHIV not on ART, CD4&gt;200 and gender compartment Female per year</v>
      </c>
      <c r="C137" s="8" t="s">
        <v>158</v>
      </c>
      <c r="D137" s="8" t="s">
        <v>159</v>
      </c>
      <c r="E137" s="8">
        <v>4</v>
      </c>
      <c r="G137" s="9">
        <v>2</v>
      </c>
      <c r="H137" s="9">
        <v>2</v>
      </c>
      <c r="J137" s="9" t="str">
        <f t="shared" si="9"/>
        <v>mu_4,2,2</v>
      </c>
      <c r="K137" s="11">
        <f t="shared" si="11"/>
        <v>9.4999999999999998E-3</v>
      </c>
      <c r="O137" s="10" t="s">
        <v>316</v>
      </c>
    </row>
    <row r="138" spans="1:15" ht="51">
      <c r="A138" s="20" t="s">
        <v>187</v>
      </c>
      <c r="B138" s="9" t="str">
        <f t="shared" si="7"/>
        <v>Mortality rates from populations in TB compartment  LTBI, infected remotely and HIV compartment  PLHIV not on ART, CD4≤200 and gender compartment Male per year</v>
      </c>
      <c r="C138" s="8" t="s">
        <v>158</v>
      </c>
      <c r="D138" s="8" t="s">
        <v>159</v>
      </c>
      <c r="E138" s="8">
        <v>4</v>
      </c>
      <c r="G138" s="9">
        <v>3</v>
      </c>
      <c r="H138" s="9">
        <v>1</v>
      </c>
      <c r="J138" s="9" t="str">
        <f t="shared" si="9"/>
        <v>mu_4,3,1</v>
      </c>
      <c r="K138" s="11">
        <f t="shared" si="11"/>
        <v>3.3000000000000002E-2</v>
      </c>
      <c r="O138" s="10" t="s">
        <v>317</v>
      </c>
    </row>
    <row r="139" spans="1:15" ht="51">
      <c r="A139" s="20" t="s">
        <v>188</v>
      </c>
      <c r="B139" s="9" t="str">
        <f t="shared" si="7"/>
        <v>Mortality rates from populations in TB compartment  LTBI, infected remotely and HIV compartment  PLHIV not on ART, CD4≤200 and gender compartment Female per year</v>
      </c>
      <c r="C139" s="8" t="s">
        <v>158</v>
      </c>
      <c r="D139" s="8" t="s">
        <v>159</v>
      </c>
      <c r="E139" s="8">
        <v>4</v>
      </c>
      <c r="G139" s="9">
        <v>3</v>
      </c>
      <c r="H139" s="9">
        <v>2</v>
      </c>
      <c r="J139" s="9" t="str">
        <f t="shared" si="9"/>
        <v>mu_4,3,2</v>
      </c>
      <c r="K139" s="11">
        <f t="shared" si="11"/>
        <v>1.9E-2</v>
      </c>
      <c r="O139" s="10" t="s">
        <v>317</v>
      </c>
    </row>
    <row r="140" spans="1:15" ht="51">
      <c r="A140" s="20" t="s">
        <v>189</v>
      </c>
      <c r="B140" s="9" t="str">
        <f t="shared" si="7"/>
        <v>Mortality rates from populations in TB compartment  LTBI, infected remotely and HIV compartment  PLHIV and on ART and gender compartment Male per year</v>
      </c>
      <c r="C140" s="8" t="s">
        <v>158</v>
      </c>
      <c r="D140" s="8" t="s">
        <v>159</v>
      </c>
      <c r="E140" s="8">
        <v>4</v>
      </c>
      <c r="G140" s="9">
        <v>4</v>
      </c>
      <c r="H140" s="9">
        <v>1</v>
      </c>
      <c r="J140" s="9" t="str">
        <f t="shared" si="9"/>
        <v>mu_4,4,1</v>
      </c>
      <c r="K140" s="11">
        <f t="shared" si="11"/>
        <v>3.96E-3</v>
      </c>
      <c r="O140" s="10" t="s">
        <v>318</v>
      </c>
    </row>
    <row r="141" spans="1:15" ht="51">
      <c r="A141" s="20" t="s">
        <v>190</v>
      </c>
      <c r="B141" s="9" t="str">
        <f t="shared" si="7"/>
        <v>Mortality rates from populations in TB compartment  LTBI, infected remotely and HIV compartment  PLHIV and on ART and gender compartment Female per year</v>
      </c>
      <c r="C141" s="8" t="s">
        <v>158</v>
      </c>
      <c r="D141" s="8" t="s">
        <v>159</v>
      </c>
      <c r="E141" s="8">
        <v>4</v>
      </c>
      <c r="G141" s="9">
        <v>4</v>
      </c>
      <c r="H141" s="9">
        <v>2</v>
      </c>
      <c r="J141" s="9" t="str">
        <f t="shared" si="9"/>
        <v>mu_4,4,2</v>
      </c>
      <c r="K141" s="11">
        <f t="shared" si="11"/>
        <v>2.2799999999999999E-3</v>
      </c>
      <c r="O141" s="10" t="s">
        <v>318</v>
      </c>
    </row>
    <row r="142" spans="1:15" ht="48">
      <c r="A142" s="20" t="s">
        <v>191</v>
      </c>
      <c r="B142" s="9" t="str">
        <f t="shared" ref="B142:B173" si="12">CONCATENATE("Mortality rates from populations in TB compartment ",VLOOKUP(E142,TB_SET,2)," and HIV compartment ",VLOOKUP(G142,HIV_SET,2)," and gender compartment ",VLOOKUP(H142,G_SET,2)," per year")</f>
        <v>Mortality rates from populations in TB compartment  LTBI, on IPT and HIV compartment  HIV-negative and gender compartment Male per year</v>
      </c>
      <c r="C142" s="8" t="s">
        <v>158</v>
      </c>
      <c r="D142" s="8" t="s">
        <v>159</v>
      </c>
      <c r="E142" s="8">
        <v>5</v>
      </c>
      <c r="G142" s="9">
        <v>1</v>
      </c>
      <c r="H142" s="9">
        <v>1</v>
      </c>
      <c r="J142" s="9" t="str">
        <f t="shared" si="9"/>
        <v>mu_5,1,1</v>
      </c>
      <c r="K142" s="11">
        <f t="shared" ref="K142:K149" si="13">K110</f>
        <v>3.3E-3</v>
      </c>
      <c r="O142" s="10" t="s">
        <v>312</v>
      </c>
    </row>
    <row r="143" spans="1:15" ht="48">
      <c r="A143" s="20" t="s">
        <v>192</v>
      </c>
      <c r="B143" s="9" t="str">
        <f t="shared" si="12"/>
        <v>Mortality rates from populations in TB compartment  LTBI, on IPT and HIV compartment  HIV-negative and gender compartment Female per year</v>
      </c>
      <c r="C143" s="8" t="s">
        <v>158</v>
      </c>
      <c r="D143" s="8" t="s">
        <v>159</v>
      </c>
      <c r="E143" s="8">
        <v>5</v>
      </c>
      <c r="G143" s="9">
        <v>1</v>
      </c>
      <c r="H143" s="9">
        <v>2</v>
      </c>
      <c r="J143" s="9" t="str">
        <f t="shared" si="9"/>
        <v>mu_5,1,2</v>
      </c>
      <c r="K143" s="11">
        <f t="shared" si="13"/>
        <v>1.9E-3</v>
      </c>
      <c r="O143" s="10" t="s">
        <v>312</v>
      </c>
    </row>
    <row r="144" spans="1:15" ht="51">
      <c r="A144" s="20" t="s">
        <v>193</v>
      </c>
      <c r="B144" s="9" t="str">
        <f t="shared" si="12"/>
        <v>Mortality rates from populations in TB compartment  LTBI, on IPT and HIV compartment  PLHIV not on ART, CD4&gt;200 and gender compartment Male per year</v>
      </c>
      <c r="C144" s="8" t="s">
        <v>158</v>
      </c>
      <c r="D144" s="8" t="s">
        <v>159</v>
      </c>
      <c r="E144" s="8">
        <v>5</v>
      </c>
      <c r="G144" s="9">
        <v>2</v>
      </c>
      <c r="H144" s="9">
        <v>1</v>
      </c>
      <c r="J144" s="9" t="str">
        <f t="shared" si="9"/>
        <v>mu_5,2,1</v>
      </c>
      <c r="K144" s="11">
        <f t="shared" si="13"/>
        <v>1.6500000000000001E-2</v>
      </c>
      <c r="O144" s="10" t="s">
        <v>316</v>
      </c>
    </row>
    <row r="145" spans="1:15" ht="51">
      <c r="A145" s="20" t="s">
        <v>194</v>
      </c>
      <c r="B145" s="9" t="str">
        <f t="shared" si="12"/>
        <v>Mortality rates from populations in TB compartment  LTBI, on IPT and HIV compartment  PLHIV not on ART, CD4&gt;200 and gender compartment Female per year</v>
      </c>
      <c r="C145" s="8" t="s">
        <v>158</v>
      </c>
      <c r="D145" s="8" t="s">
        <v>159</v>
      </c>
      <c r="E145" s="8">
        <v>5</v>
      </c>
      <c r="G145" s="9">
        <v>2</v>
      </c>
      <c r="H145" s="9">
        <v>2</v>
      </c>
      <c r="J145" s="9" t="str">
        <f t="shared" si="9"/>
        <v>mu_5,2,2</v>
      </c>
      <c r="K145" s="11">
        <f t="shared" si="13"/>
        <v>9.4999999999999998E-3</v>
      </c>
      <c r="O145" s="10" t="s">
        <v>316</v>
      </c>
    </row>
    <row r="146" spans="1:15" ht="51">
      <c r="A146" s="20" t="s">
        <v>195</v>
      </c>
      <c r="B146" s="9" t="str">
        <f t="shared" si="12"/>
        <v>Mortality rates from populations in TB compartment  LTBI, on IPT and HIV compartment  PLHIV not on ART, CD4≤200 and gender compartment Male per year</v>
      </c>
      <c r="C146" s="8" t="s">
        <v>158</v>
      </c>
      <c r="D146" s="8" t="s">
        <v>159</v>
      </c>
      <c r="E146" s="8">
        <v>5</v>
      </c>
      <c r="G146" s="9">
        <v>3</v>
      </c>
      <c r="H146" s="9">
        <v>1</v>
      </c>
      <c r="J146" s="9" t="str">
        <f t="shared" si="9"/>
        <v>mu_5,3,1</v>
      </c>
      <c r="K146" s="11">
        <f t="shared" si="13"/>
        <v>3.3000000000000002E-2</v>
      </c>
      <c r="O146" s="10" t="s">
        <v>317</v>
      </c>
    </row>
    <row r="147" spans="1:15" ht="51">
      <c r="A147" s="20" t="s">
        <v>196</v>
      </c>
      <c r="B147" s="9" t="str">
        <f t="shared" si="12"/>
        <v>Mortality rates from populations in TB compartment  LTBI, on IPT and HIV compartment  PLHIV not on ART, CD4≤200 and gender compartment Female per year</v>
      </c>
      <c r="C147" s="8" t="s">
        <v>158</v>
      </c>
      <c r="D147" s="8" t="s">
        <v>159</v>
      </c>
      <c r="E147" s="8">
        <v>5</v>
      </c>
      <c r="G147" s="9">
        <v>3</v>
      </c>
      <c r="H147" s="9">
        <v>2</v>
      </c>
      <c r="J147" s="9" t="str">
        <f t="shared" si="9"/>
        <v>mu_5,3,2</v>
      </c>
      <c r="K147" s="11">
        <f t="shared" si="13"/>
        <v>1.9E-2</v>
      </c>
      <c r="O147" s="10" t="s">
        <v>317</v>
      </c>
    </row>
    <row r="148" spans="1:15" ht="48">
      <c r="A148" s="20" t="s">
        <v>197</v>
      </c>
      <c r="B148" s="9" t="str">
        <f t="shared" si="12"/>
        <v>Mortality rates from populations in TB compartment  LTBI, on IPT and HIV compartment  PLHIV and on ART and gender compartment Male per year</v>
      </c>
      <c r="C148" s="8" t="s">
        <v>158</v>
      </c>
      <c r="D148" s="8" t="s">
        <v>159</v>
      </c>
      <c r="E148" s="8">
        <v>5</v>
      </c>
      <c r="G148" s="9">
        <v>4</v>
      </c>
      <c r="H148" s="9">
        <v>1</v>
      </c>
      <c r="J148" s="9" t="str">
        <f t="shared" si="9"/>
        <v>mu_5,4,1</v>
      </c>
      <c r="K148" s="11">
        <f t="shared" si="13"/>
        <v>3.96E-3</v>
      </c>
      <c r="O148" s="10" t="s">
        <v>318</v>
      </c>
    </row>
    <row r="149" spans="1:15" ht="48">
      <c r="A149" s="20" t="s">
        <v>198</v>
      </c>
      <c r="B149" s="9" t="str">
        <f t="shared" si="12"/>
        <v>Mortality rates from populations in TB compartment  LTBI, on IPT and HIV compartment  PLHIV and on ART and gender compartment Female per year</v>
      </c>
      <c r="C149" s="8" t="s">
        <v>158</v>
      </c>
      <c r="D149" s="8" t="s">
        <v>159</v>
      </c>
      <c r="E149" s="8">
        <v>5</v>
      </c>
      <c r="G149" s="9">
        <v>4</v>
      </c>
      <c r="H149" s="9">
        <v>2</v>
      </c>
      <c r="J149" s="9" t="str">
        <f t="shared" si="9"/>
        <v>mu_5,4,2</v>
      </c>
      <c r="K149" s="11">
        <f t="shared" si="13"/>
        <v>2.2799999999999999E-3</v>
      </c>
      <c r="O149" s="10" t="s">
        <v>318</v>
      </c>
    </row>
    <row r="150" spans="1:15" ht="48">
      <c r="A150" s="20" t="s">
        <v>199</v>
      </c>
      <c r="B150" s="9" t="str">
        <f t="shared" si="12"/>
        <v>Mortality rates from populations in TB compartment  Active and HIV compartment  HIV-negative and gender compartment Male per year</v>
      </c>
      <c r="C150" s="8" t="s">
        <v>158</v>
      </c>
      <c r="D150" s="8" t="s">
        <v>159</v>
      </c>
      <c r="E150" s="8">
        <v>6</v>
      </c>
      <c r="G150" s="9">
        <v>1</v>
      </c>
      <c r="H150" s="9">
        <v>1</v>
      </c>
      <c r="J150" s="9" t="str">
        <f t="shared" si="9"/>
        <v>mu_6,1,1</v>
      </c>
      <c r="K150" s="11">
        <f>K110*20</f>
        <v>6.6000000000000003E-2</v>
      </c>
      <c r="O150" s="10" t="s">
        <v>321</v>
      </c>
    </row>
    <row r="151" spans="1:15" ht="48">
      <c r="A151" s="20" t="s">
        <v>200</v>
      </c>
      <c r="B151" s="9" t="str">
        <f t="shared" si="12"/>
        <v>Mortality rates from populations in TB compartment  Active and HIV compartment  HIV-negative and gender compartment Female per year</v>
      </c>
      <c r="C151" s="8" t="s">
        <v>158</v>
      </c>
      <c r="D151" s="8" t="s">
        <v>159</v>
      </c>
      <c r="E151" s="8">
        <v>6</v>
      </c>
      <c r="G151" s="9">
        <v>1</v>
      </c>
      <c r="H151" s="9">
        <v>2</v>
      </c>
      <c r="J151" s="9" t="str">
        <f t="shared" si="9"/>
        <v>mu_6,1,2</v>
      </c>
      <c r="K151" s="11">
        <f>K111*20</f>
        <v>3.7999999999999999E-2</v>
      </c>
      <c r="O151" s="10" t="s">
        <v>321</v>
      </c>
    </row>
    <row r="152" spans="1:15" ht="51">
      <c r="A152" s="20" t="s">
        <v>201</v>
      </c>
      <c r="B152" s="9" t="str">
        <f t="shared" si="12"/>
        <v>Mortality rates from populations in TB compartment  Active and HIV compartment  PLHIV not on ART, CD4&gt;200 and gender compartment Male per year</v>
      </c>
      <c r="C152" s="8" t="s">
        <v>158</v>
      </c>
      <c r="D152" s="8" t="s">
        <v>159</v>
      </c>
      <c r="E152" s="8">
        <v>6</v>
      </c>
      <c r="G152" s="9">
        <v>2</v>
      </c>
      <c r="H152" s="9">
        <v>1</v>
      </c>
      <c r="J152" s="9" t="str">
        <f t="shared" si="9"/>
        <v>mu_6,2,1</v>
      </c>
      <c r="K152" s="11">
        <f>K110*50</f>
        <v>0.16500000000000001</v>
      </c>
      <c r="O152" s="10" t="s">
        <v>322</v>
      </c>
    </row>
    <row r="153" spans="1:15" ht="51">
      <c r="A153" s="20" t="s">
        <v>202</v>
      </c>
      <c r="B153" s="9" t="str">
        <f t="shared" si="12"/>
        <v>Mortality rates from populations in TB compartment  Active and HIV compartment  PLHIV not on ART, CD4&gt;200 and gender compartment Female per year</v>
      </c>
      <c r="C153" s="8" t="s">
        <v>158</v>
      </c>
      <c r="D153" s="8" t="s">
        <v>159</v>
      </c>
      <c r="E153" s="8">
        <v>6</v>
      </c>
      <c r="G153" s="9">
        <v>2</v>
      </c>
      <c r="H153" s="9">
        <v>2</v>
      </c>
      <c r="J153" s="9" t="str">
        <f t="shared" si="9"/>
        <v>mu_6,2,2</v>
      </c>
      <c r="K153" s="11">
        <f>K111*50</f>
        <v>9.5000000000000001E-2</v>
      </c>
      <c r="O153" s="10" t="s">
        <v>322</v>
      </c>
    </row>
    <row r="154" spans="1:15" ht="51">
      <c r="A154" s="20" t="s">
        <v>203</v>
      </c>
      <c r="B154" s="9" t="str">
        <f t="shared" si="12"/>
        <v>Mortality rates from populations in TB compartment  Active and HIV compartment  PLHIV not on ART, CD4≤200 and gender compartment Male per year</v>
      </c>
      <c r="C154" s="8" t="s">
        <v>158</v>
      </c>
      <c r="D154" s="8" t="s">
        <v>159</v>
      </c>
      <c r="E154" s="8">
        <v>6</v>
      </c>
      <c r="G154" s="9">
        <v>3</v>
      </c>
      <c r="H154" s="9">
        <v>1</v>
      </c>
      <c r="J154" s="9" t="str">
        <f t="shared" si="9"/>
        <v>mu_6,3,1</v>
      </c>
      <c r="K154" s="11">
        <f>K110*100</f>
        <v>0.33</v>
      </c>
      <c r="O154" s="10" t="s">
        <v>322</v>
      </c>
    </row>
    <row r="155" spans="1:15" ht="51">
      <c r="A155" s="20" t="s">
        <v>204</v>
      </c>
      <c r="B155" s="9" t="str">
        <f t="shared" si="12"/>
        <v>Mortality rates from populations in TB compartment  Active and HIV compartment  PLHIV not on ART, CD4≤200 and gender compartment Female per year</v>
      </c>
      <c r="C155" s="8" t="s">
        <v>158</v>
      </c>
      <c r="D155" s="8" t="s">
        <v>159</v>
      </c>
      <c r="E155" s="8">
        <v>6</v>
      </c>
      <c r="G155" s="9">
        <v>3</v>
      </c>
      <c r="H155" s="9">
        <v>2</v>
      </c>
      <c r="J155" s="9" t="str">
        <f t="shared" si="9"/>
        <v>mu_6,3,2</v>
      </c>
      <c r="K155" s="11">
        <f>K111*100</f>
        <v>0.19</v>
      </c>
      <c r="O155" s="10" t="s">
        <v>322</v>
      </c>
    </row>
    <row r="156" spans="1:15" ht="48">
      <c r="A156" s="20" t="s">
        <v>205</v>
      </c>
      <c r="B156" s="9" t="str">
        <f t="shared" si="12"/>
        <v>Mortality rates from populations in TB compartment  Active and HIV compartment  PLHIV and on ART and gender compartment Male per year</v>
      </c>
      <c r="C156" s="8" t="s">
        <v>158</v>
      </c>
      <c r="D156" s="8" t="s">
        <v>159</v>
      </c>
      <c r="E156" s="8">
        <v>6</v>
      </c>
      <c r="G156" s="9">
        <v>4</v>
      </c>
      <c r="H156" s="9">
        <v>1</v>
      </c>
      <c r="J156" s="9" t="str">
        <f t="shared" si="9"/>
        <v>mu_6,4,1</v>
      </c>
      <c r="K156" s="11">
        <f>K110*30</f>
        <v>9.9000000000000005E-2</v>
      </c>
      <c r="O156" s="10" t="s">
        <v>322</v>
      </c>
    </row>
    <row r="157" spans="1:15" ht="48">
      <c r="A157" s="20" t="s">
        <v>206</v>
      </c>
      <c r="B157" s="9" t="str">
        <f t="shared" si="12"/>
        <v>Mortality rates from populations in TB compartment  Active and HIV compartment  PLHIV and on ART and gender compartment Female per year</v>
      </c>
      <c r="C157" s="8" t="s">
        <v>158</v>
      </c>
      <c r="D157" s="8" t="s">
        <v>159</v>
      </c>
      <c r="E157" s="8">
        <v>6</v>
      </c>
      <c r="G157" s="9">
        <v>4</v>
      </c>
      <c r="H157" s="9">
        <v>2</v>
      </c>
      <c r="J157" s="9" t="str">
        <f t="shared" ref="J157:J188" si="14">CONCATENATE(C157, "_", E157, IF(E157&lt;&gt;"",",",""), F157, IF(F157&lt;&gt;"",",",""),  G157, IF(G157&lt;&gt;"",",",""),  H157, IF(I157&lt;&gt;"","(",""), I157, IF(I157&lt;&gt;"",")",""))</f>
        <v>mu_6,4,2</v>
      </c>
      <c r="K157" s="11">
        <f>K111*30</f>
        <v>5.7000000000000002E-2</v>
      </c>
      <c r="O157" s="10" t="s">
        <v>322</v>
      </c>
    </row>
    <row r="158" spans="1:15" ht="48">
      <c r="A158" s="20" t="s">
        <v>207</v>
      </c>
      <c r="B158" s="9" t="str">
        <f t="shared" si="12"/>
        <v>Mortality rates from populations in TB compartment  Recovered/Treated and HIV compartment  HIV-negative and gender compartment Male per year</v>
      </c>
      <c r="C158" s="8" t="s">
        <v>158</v>
      </c>
      <c r="D158" s="8" t="s">
        <v>159</v>
      </c>
      <c r="E158" s="8">
        <v>7</v>
      </c>
      <c r="G158" s="9">
        <v>1</v>
      </c>
      <c r="H158" s="9">
        <v>1</v>
      </c>
      <c r="J158" s="9" t="str">
        <f t="shared" si="14"/>
        <v>mu_7,1,1</v>
      </c>
      <c r="K158" s="11">
        <f t="shared" ref="K158:K165" si="15">K110</f>
        <v>3.3E-3</v>
      </c>
      <c r="O158" s="10" t="s">
        <v>312</v>
      </c>
    </row>
    <row r="159" spans="1:15" ht="48">
      <c r="A159" s="20" t="s">
        <v>208</v>
      </c>
      <c r="B159" s="9" t="str">
        <f t="shared" si="12"/>
        <v>Mortality rates from populations in TB compartment  Recovered/Treated and HIV compartment  HIV-negative and gender compartment Female per year</v>
      </c>
      <c r="C159" s="8" t="s">
        <v>158</v>
      </c>
      <c r="D159" s="8" t="s">
        <v>159</v>
      </c>
      <c r="E159" s="8">
        <v>7</v>
      </c>
      <c r="G159" s="9">
        <v>1</v>
      </c>
      <c r="H159" s="9">
        <v>2</v>
      </c>
      <c r="J159" s="9" t="str">
        <f t="shared" si="14"/>
        <v>mu_7,1,2</v>
      </c>
      <c r="K159" s="11">
        <f t="shared" si="15"/>
        <v>1.9E-3</v>
      </c>
      <c r="O159" s="10" t="s">
        <v>312</v>
      </c>
    </row>
    <row r="160" spans="1:15" ht="51">
      <c r="A160" s="20" t="s">
        <v>209</v>
      </c>
      <c r="B160" s="9" t="str">
        <f t="shared" si="12"/>
        <v>Mortality rates from populations in TB compartment  Recovered/Treated and HIV compartment  PLHIV not on ART, CD4&gt;200 and gender compartment Male per year</v>
      </c>
      <c r="C160" s="8" t="s">
        <v>158</v>
      </c>
      <c r="D160" s="8" t="s">
        <v>159</v>
      </c>
      <c r="E160" s="8">
        <v>7</v>
      </c>
      <c r="G160" s="9">
        <v>2</v>
      </c>
      <c r="H160" s="9">
        <v>1</v>
      </c>
      <c r="J160" s="9" t="str">
        <f t="shared" si="14"/>
        <v>mu_7,2,1</v>
      </c>
      <c r="K160" s="11">
        <f t="shared" si="15"/>
        <v>1.6500000000000001E-2</v>
      </c>
      <c r="O160" s="10" t="s">
        <v>316</v>
      </c>
    </row>
    <row r="161" spans="1:15" ht="51">
      <c r="A161" s="20" t="s">
        <v>210</v>
      </c>
      <c r="B161" s="9" t="str">
        <f t="shared" si="12"/>
        <v>Mortality rates from populations in TB compartment  Recovered/Treated and HIV compartment  PLHIV not on ART, CD4&gt;200 and gender compartment Female per year</v>
      </c>
      <c r="C161" s="8" t="s">
        <v>158</v>
      </c>
      <c r="D161" s="8" t="s">
        <v>159</v>
      </c>
      <c r="E161" s="8">
        <v>7</v>
      </c>
      <c r="G161" s="9">
        <v>2</v>
      </c>
      <c r="H161" s="9">
        <v>2</v>
      </c>
      <c r="J161" s="9" t="str">
        <f t="shared" si="14"/>
        <v>mu_7,2,2</v>
      </c>
      <c r="K161" s="11">
        <f t="shared" si="15"/>
        <v>9.4999999999999998E-3</v>
      </c>
      <c r="O161" s="10" t="s">
        <v>316</v>
      </c>
    </row>
    <row r="162" spans="1:15" ht="51">
      <c r="A162" s="20" t="s">
        <v>211</v>
      </c>
      <c r="B162" s="9" t="str">
        <f t="shared" si="12"/>
        <v>Mortality rates from populations in TB compartment  Recovered/Treated and HIV compartment  PLHIV not on ART, CD4≤200 and gender compartment Male per year</v>
      </c>
      <c r="C162" s="8" t="s">
        <v>158</v>
      </c>
      <c r="D162" s="8" t="s">
        <v>159</v>
      </c>
      <c r="E162" s="8">
        <v>7</v>
      </c>
      <c r="G162" s="9">
        <v>3</v>
      </c>
      <c r="H162" s="9">
        <v>1</v>
      </c>
      <c r="J162" s="9" t="str">
        <f t="shared" si="14"/>
        <v>mu_7,3,1</v>
      </c>
      <c r="K162" s="11">
        <f t="shared" si="15"/>
        <v>3.3000000000000002E-2</v>
      </c>
      <c r="O162" s="10" t="s">
        <v>317</v>
      </c>
    </row>
    <row r="163" spans="1:15" ht="51">
      <c r="A163" s="20" t="s">
        <v>212</v>
      </c>
      <c r="B163" s="9" t="str">
        <f t="shared" si="12"/>
        <v>Mortality rates from populations in TB compartment  Recovered/Treated and HIV compartment  PLHIV not on ART, CD4≤200 and gender compartment Female per year</v>
      </c>
      <c r="C163" s="8" t="s">
        <v>158</v>
      </c>
      <c r="D163" s="8" t="s">
        <v>159</v>
      </c>
      <c r="E163" s="8">
        <v>7</v>
      </c>
      <c r="G163" s="9">
        <v>3</v>
      </c>
      <c r="H163" s="9">
        <v>2</v>
      </c>
      <c r="J163" s="9" t="str">
        <f t="shared" si="14"/>
        <v>mu_7,3,2</v>
      </c>
      <c r="K163" s="11">
        <f t="shared" si="15"/>
        <v>1.9E-2</v>
      </c>
      <c r="O163" s="10" t="s">
        <v>317</v>
      </c>
    </row>
    <row r="164" spans="1:15" ht="48">
      <c r="A164" s="20" t="s">
        <v>213</v>
      </c>
      <c r="B164" s="9" t="str">
        <f t="shared" si="12"/>
        <v>Mortality rates from populations in TB compartment  Recovered/Treated and HIV compartment  PLHIV and on ART and gender compartment Male per year</v>
      </c>
      <c r="C164" s="8" t="s">
        <v>158</v>
      </c>
      <c r="D164" s="8" t="s">
        <v>159</v>
      </c>
      <c r="E164" s="8">
        <v>7</v>
      </c>
      <c r="G164" s="9">
        <v>4</v>
      </c>
      <c r="H164" s="9">
        <v>1</v>
      </c>
      <c r="J164" s="9" t="str">
        <f t="shared" si="14"/>
        <v>mu_7,4,1</v>
      </c>
      <c r="K164" s="11">
        <f t="shared" si="15"/>
        <v>3.96E-3</v>
      </c>
      <c r="O164" s="10" t="s">
        <v>318</v>
      </c>
    </row>
    <row r="165" spans="1:15" ht="48">
      <c r="A165" s="20" t="s">
        <v>214</v>
      </c>
      <c r="B165" s="9" t="str">
        <f t="shared" si="12"/>
        <v>Mortality rates from populations in TB compartment  Recovered/Treated and HIV compartment  PLHIV and on ART and gender compartment Female per year</v>
      </c>
      <c r="C165" s="8" t="s">
        <v>158</v>
      </c>
      <c r="D165" s="8" t="s">
        <v>159</v>
      </c>
      <c r="E165" s="8">
        <v>7</v>
      </c>
      <c r="G165" s="9">
        <v>4</v>
      </c>
      <c r="H165" s="9">
        <v>2</v>
      </c>
      <c r="J165" s="9" t="str">
        <f t="shared" si="14"/>
        <v>mu_7,4,2</v>
      </c>
      <c r="K165" s="11">
        <f t="shared" si="15"/>
        <v>2.2799999999999999E-3</v>
      </c>
      <c r="O165" s="10" t="s">
        <v>318</v>
      </c>
    </row>
    <row r="166" spans="1:15" ht="48">
      <c r="A166" s="20" t="s">
        <v>215</v>
      </c>
      <c r="B166" s="9" t="str">
        <f t="shared" si="12"/>
        <v>Mortality rates from populations in TB compartment  LTBI, after IPT and HIV compartment  HIV-negative and gender compartment Male per year</v>
      </c>
      <c r="C166" s="8" t="s">
        <v>158</v>
      </c>
      <c r="D166" s="8" t="s">
        <v>159</v>
      </c>
      <c r="E166" s="8">
        <v>8</v>
      </c>
      <c r="G166" s="9">
        <v>1</v>
      </c>
      <c r="H166" s="9">
        <v>1</v>
      </c>
      <c r="J166" s="9" t="str">
        <f t="shared" si="14"/>
        <v>mu_8,1,1</v>
      </c>
      <c r="K166" s="11">
        <f t="shared" ref="K166:K173" si="16">K110</f>
        <v>3.3E-3</v>
      </c>
      <c r="O166" s="10" t="s">
        <v>312</v>
      </c>
    </row>
    <row r="167" spans="1:15" ht="48">
      <c r="A167" s="20" t="s">
        <v>216</v>
      </c>
      <c r="B167" s="9" t="str">
        <f t="shared" si="12"/>
        <v>Mortality rates from populations in TB compartment  LTBI, after IPT and HIV compartment  HIV-negative and gender compartment Female per year</v>
      </c>
      <c r="C167" s="8" t="s">
        <v>158</v>
      </c>
      <c r="D167" s="8" t="s">
        <v>159</v>
      </c>
      <c r="E167" s="8">
        <v>8</v>
      </c>
      <c r="G167" s="9">
        <v>1</v>
      </c>
      <c r="H167" s="9">
        <v>2</v>
      </c>
      <c r="J167" s="9" t="str">
        <f t="shared" si="14"/>
        <v>mu_8,1,2</v>
      </c>
      <c r="K167" s="11">
        <f>K111</f>
        <v>1.9E-3</v>
      </c>
      <c r="O167" s="10" t="s">
        <v>312</v>
      </c>
    </row>
    <row r="168" spans="1:15" ht="51">
      <c r="A168" s="20" t="s">
        <v>217</v>
      </c>
      <c r="B168" s="9" t="str">
        <f t="shared" si="12"/>
        <v>Mortality rates from populations in TB compartment  LTBI, after IPT and HIV compartment  PLHIV not on ART, CD4&gt;200 and gender compartment Male per year</v>
      </c>
      <c r="C168" s="8" t="s">
        <v>158</v>
      </c>
      <c r="D168" s="8" t="s">
        <v>159</v>
      </c>
      <c r="E168" s="8">
        <v>8</v>
      </c>
      <c r="G168" s="9">
        <v>2</v>
      </c>
      <c r="H168" s="9">
        <v>1</v>
      </c>
      <c r="J168" s="9" t="str">
        <f t="shared" si="14"/>
        <v>mu_8,2,1</v>
      </c>
      <c r="K168" s="11">
        <f t="shared" si="16"/>
        <v>1.6500000000000001E-2</v>
      </c>
      <c r="O168" s="10" t="s">
        <v>316</v>
      </c>
    </row>
    <row r="169" spans="1:15" ht="51">
      <c r="A169" s="20" t="s">
        <v>218</v>
      </c>
      <c r="B169" s="9" t="str">
        <f t="shared" si="12"/>
        <v>Mortality rates from populations in TB compartment  LTBI, after IPT and HIV compartment  PLHIV not on ART, CD4&gt;200 and gender compartment Female per year</v>
      </c>
      <c r="C169" s="8" t="s">
        <v>158</v>
      </c>
      <c r="D169" s="8" t="s">
        <v>159</v>
      </c>
      <c r="E169" s="8">
        <v>8</v>
      </c>
      <c r="G169" s="9">
        <v>2</v>
      </c>
      <c r="H169" s="9">
        <v>2</v>
      </c>
      <c r="J169" s="9" t="str">
        <f t="shared" si="14"/>
        <v>mu_8,2,2</v>
      </c>
      <c r="K169" s="11">
        <f t="shared" si="16"/>
        <v>9.4999999999999998E-3</v>
      </c>
      <c r="O169" s="10" t="s">
        <v>316</v>
      </c>
    </row>
    <row r="170" spans="1:15" ht="51">
      <c r="A170" s="20" t="s">
        <v>219</v>
      </c>
      <c r="B170" s="9" t="str">
        <f t="shared" si="12"/>
        <v>Mortality rates from populations in TB compartment  LTBI, after IPT and HIV compartment  PLHIV not on ART, CD4≤200 and gender compartment Male per year</v>
      </c>
      <c r="C170" s="8" t="s">
        <v>158</v>
      </c>
      <c r="D170" s="8" t="s">
        <v>159</v>
      </c>
      <c r="E170" s="8">
        <v>8</v>
      </c>
      <c r="G170" s="9">
        <v>3</v>
      </c>
      <c r="H170" s="9">
        <v>1</v>
      </c>
      <c r="J170" s="9" t="str">
        <f t="shared" si="14"/>
        <v>mu_8,3,1</v>
      </c>
      <c r="K170" s="11">
        <f t="shared" si="16"/>
        <v>3.3000000000000002E-2</v>
      </c>
      <c r="O170" s="10" t="s">
        <v>317</v>
      </c>
    </row>
    <row r="171" spans="1:15" ht="51">
      <c r="A171" s="20" t="s">
        <v>220</v>
      </c>
      <c r="B171" s="9" t="str">
        <f t="shared" si="12"/>
        <v>Mortality rates from populations in TB compartment  LTBI, after IPT and HIV compartment  PLHIV not on ART, CD4≤200 and gender compartment Female per year</v>
      </c>
      <c r="C171" s="8" t="s">
        <v>158</v>
      </c>
      <c r="D171" s="8" t="s">
        <v>159</v>
      </c>
      <c r="E171" s="8">
        <v>8</v>
      </c>
      <c r="G171" s="9">
        <v>3</v>
      </c>
      <c r="H171" s="9">
        <v>2</v>
      </c>
      <c r="J171" s="9" t="str">
        <f t="shared" si="14"/>
        <v>mu_8,3,2</v>
      </c>
      <c r="K171" s="11">
        <f t="shared" si="16"/>
        <v>1.9E-2</v>
      </c>
      <c r="O171" s="10" t="s">
        <v>317</v>
      </c>
    </row>
    <row r="172" spans="1:15" ht="48">
      <c r="A172" s="20" t="s">
        <v>221</v>
      </c>
      <c r="B172" s="9" t="str">
        <f t="shared" si="12"/>
        <v>Mortality rates from populations in TB compartment  LTBI, after IPT and HIV compartment  PLHIV and on ART and gender compartment Male per year</v>
      </c>
      <c r="C172" s="8" t="s">
        <v>158</v>
      </c>
      <c r="D172" s="8" t="s">
        <v>159</v>
      </c>
      <c r="E172" s="8">
        <v>8</v>
      </c>
      <c r="G172" s="9">
        <v>4</v>
      </c>
      <c r="H172" s="9">
        <v>1</v>
      </c>
      <c r="J172" s="9" t="str">
        <f t="shared" si="14"/>
        <v>mu_8,4,1</v>
      </c>
      <c r="K172" s="11">
        <f t="shared" si="16"/>
        <v>3.96E-3</v>
      </c>
      <c r="O172" s="10" t="s">
        <v>318</v>
      </c>
    </row>
    <row r="173" spans="1:15" ht="48">
      <c r="A173" s="20" t="s">
        <v>222</v>
      </c>
      <c r="B173" s="9" t="str">
        <f t="shared" si="12"/>
        <v>Mortality rates from populations in TB compartment  LTBI, after IPT and HIV compartment  PLHIV and on ART and gender compartment Female per year</v>
      </c>
      <c r="C173" s="8" t="s">
        <v>158</v>
      </c>
      <c r="D173" s="8" t="s">
        <v>159</v>
      </c>
      <c r="E173" s="8">
        <v>8</v>
      </c>
      <c r="G173" s="9">
        <v>4</v>
      </c>
      <c r="H173" s="9">
        <v>2</v>
      </c>
      <c r="J173" s="9" t="str">
        <f t="shared" si="14"/>
        <v>mu_8,4,2</v>
      </c>
      <c r="K173" s="11">
        <f t="shared" si="16"/>
        <v>2.2799999999999999E-3</v>
      </c>
      <c r="O173" s="10" t="s">
        <v>318</v>
      </c>
    </row>
    <row r="174" spans="1:15" ht="34">
      <c r="A174" s="20" t="s">
        <v>223</v>
      </c>
      <c r="B174" s="9" t="str">
        <f t="shared" ref="B174:B189" si="17">CONCATENATE("Birth rate into HIV compartment ", VLOOKUP(G174, HIV_SET, 2), " and gender compartment ", VLOOKUP(H174, G_SET, 2), ", per year")</f>
        <v>Birth rate into HIV compartment  HIV-negative and gender compartment Male, per year</v>
      </c>
      <c r="C174" s="8" t="s">
        <v>224</v>
      </c>
      <c r="D174" s="8" t="s">
        <v>159</v>
      </c>
      <c r="E174" s="8">
        <v>1</v>
      </c>
      <c r="G174" s="9">
        <v>1</v>
      </c>
      <c r="H174" s="9">
        <v>1</v>
      </c>
      <c r="J174" s="9" t="str">
        <f t="shared" si="14"/>
        <v>rho_1,1,1</v>
      </c>
      <c r="K174" s="23">
        <v>0.02</v>
      </c>
    </row>
    <row r="175" spans="1:15" ht="34">
      <c r="A175" s="20" t="s">
        <v>223</v>
      </c>
      <c r="B175" s="9" t="str">
        <f t="shared" si="17"/>
        <v>Birth rate into HIV compartment  HIV-negative and gender compartment Male, per year</v>
      </c>
      <c r="C175" s="8" t="s">
        <v>224</v>
      </c>
      <c r="D175" s="8" t="s">
        <v>159</v>
      </c>
      <c r="E175" s="8">
        <v>3</v>
      </c>
      <c r="G175" s="9">
        <v>1</v>
      </c>
      <c r="H175" s="9">
        <v>1</v>
      </c>
      <c r="J175" s="9" t="str">
        <f t="shared" si="14"/>
        <v>rho_3,1,1</v>
      </c>
      <c r="K175" s="23">
        <v>0.01</v>
      </c>
    </row>
    <row r="176" spans="1:15" ht="34">
      <c r="A176" s="20" t="s">
        <v>223</v>
      </c>
      <c r="B176" s="9" t="str">
        <f t="shared" si="17"/>
        <v>Birth rate into HIV compartment  HIV-negative and gender compartment Male, per year</v>
      </c>
      <c r="C176" s="8" t="s">
        <v>224</v>
      </c>
      <c r="D176" s="8" t="s">
        <v>159</v>
      </c>
      <c r="E176" s="8">
        <v>4</v>
      </c>
      <c r="G176" s="9">
        <v>1</v>
      </c>
      <c r="H176" s="9">
        <v>1</v>
      </c>
      <c r="J176" s="9" t="str">
        <f t="shared" si="14"/>
        <v>rho_4,1,1</v>
      </c>
      <c r="K176" s="23">
        <v>0.01</v>
      </c>
    </row>
    <row r="177" spans="1:11" ht="34">
      <c r="A177" s="20" t="s">
        <v>223</v>
      </c>
      <c r="B177" s="9" t="str">
        <f t="shared" si="17"/>
        <v>Birth rate into HIV compartment  HIV-negative and gender compartment Male, per year</v>
      </c>
      <c r="C177" s="8" t="s">
        <v>224</v>
      </c>
      <c r="D177" s="8" t="s">
        <v>159</v>
      </c>
      <c r="E177" s="8">
        <v>6</v>
      </c>
      <c r="G177" s="9">
        <v>1</v>
      </c>
      <c r="H177" s="9">
        <v>1</v>
      </c>
      <c r="J177" s="9" t="str">
        <f t="shared" si="14"/>
        <v>rho_6,1,1</v>
      </c>
      <c r="K177" s="23">
        <v>5.0000000000000001E-3</v>
      </c>
    </row>
    <row r="178" spans="1:11" ht="34">
      <c r="A178" s="20" t="s">
        <v>225</v>
      </c>
      <c r="B178" s="9" t="str">
        <f t="shared" si="17"/>
        <v>Birth rate into HIV compartment  PLHIV not on ART, CD4&gt;200 and gender compartment Male, per year</v>
      </c>
      <c r="C178" s="8" t="s">
        <v>224</v>
      </c>
      <c r="D178" s="8" t="s">
        <v>159</v>
      </c>
      <c r="E178" s="8">
        <v>1</v>
      </c>
      <c r="G178" s="9">
        <v>2</v>
      </c>
      <c r="H178" s="9">
        <v>1</v>
      </c>
      <c r="J178" s="9" t="str">
        <f t="shared" si="14"/>
        <v>rho_1,2,1</v>
      </c>
      <c r="K178" s="23">
        <f>K174*0.01</f>
        <v>2.0000000000000001E-4</v>
      </c>
    </row>
    <row r="179" spans="1:11" ht="34">
      <c r="A179" s="20" t="s">
        <v>225</v>
      </c>
      <c r="B179" s="9" t="str">
        <f t="shared" si="17"/>
        <v>Birth rate into HIV compartment  PLHIV not on ART, CD4&gt;200 and gender compartment Male, per year</v>
      </c>
      <c r="C179" s="8" t="s">
        <v>224</v>
      </c>
      <c r="D179" s="8" t="s">
        <v>159</v>
      </c>
      <c r="E179" s="8">
        <v>3</v>
      </c>
      <c r="G179" s="9">
        <v>2</v>
      </c>
      <c r="H179" s="9">
        <v>1</v>
      </c>
      <c r="J179" s="9" t="str">
        <f t="shared" si="14"/>
        <v>rho_3,2,1</v>
      </c>
      <c r="K179" s="23">
        <f t="shared" ref="K179:K181" si="18">K175*0.01</f>
        <v>1E-4</v>
      </c>
    </row>
    <row r="180" spans="1:11" ht="34">
      <c r="A180" s="20" t="s">
        <v>225</v>
      </c>
      <c r="B180" s="9" t="str">
        <f t="shared" si="17"/>
        <v>Birth rate into HIV compartment  PLHIV not on ART, CD4&gt;200 and gender compartment Male, per year</v>
      </c>
      <c r="C180" s="8" t="s">
        <v>224</v>
      </c>
      <c r="D180" s="8" t="s">
        <v>159</v>
      </c>
      <c r="E180" s="8">
        <v>4</v>
      </c>
      <c r="G180" s="9">
        <v>2</v>
      </c>
      <c r="H180" s="9">
        <v>1</v>
      </c>
      <c r="J180" s="9" t="str">
        <f t="shared" si="14"/>
        <v>rho_4,2,1</v>
      </c>
      <c r="K180" s="23">
        <f t="shared" si="18"/>
        <v>1E-4</v>
      </c>
    </row>
    <row r="181" spans="1:11" ht="34">
      <c r="A181" s="20" t="s">
        <v>225</v>
      </c>
      <c r="B181" s="9" t="str">
        <f t="shared" si="17"/>
        <v>Birth rate into HIV compartment  PLHIV not on ART, CD4&gt;200 and gender compartment Male, per year</v>
      </c>
      <c r="C181" s="8" t="s">
        <v>224</v>
      </c>
      <c r="D181" s="8" t="s">
        <v>159</v>
      </c>
      <c r="E181" s="8">
        <v>6</v>
      </c>
      <c r="G181" s="9">
        <v>2</v>
      </c>
      <c r="H181" s="9">
        <v>1</v>
      </c>
      <c r="J181" s="9" t="str">
        <f t="shared" si="14"/>
        <v>rho_6,2,1</v>
      </c>
      <c r="K181" s="23">
        <f t="shared" si="18"/>
        <v>5.0000000000000002E-5</v>
      </c>
    </row>
    <row r="182" spans="1:11" ht="34">
      <c r="A182" s="20" t="s">
        <v>226</v>
      </c>
      <c r="B182" s="9" t="str">
        <f t="shared" si="17"/>
        <v>Birth rate into HIV compartment  HIV-negative and gender compartment Female, per year</v>
      </c>
      <c r="C182" s="8" t="s">
        <v>224</v>
      </c>
      <c r="D182" s="8" t="s">
        <v>159</v>
      </c>
      <c r="E182" s="8">
        <v>1</v>
      </c>
      <c r="G182" s="9">
        <v>1</v>
      </c>
      <c r="H182" s="9">
        <v>2</v>
      </c>
      <c r="J182" s="9" t="str">
        <f t="shared" si="14"/>
        <v>rho_1,1,2</v>
      </c>
      <c r="K182" s="23">
        <f>K174*0.95</f>
        <v>1.9E-2</v>
      </c>
    </row>
    <row r="183" spans="1:11" ht="34">
      <c r="A183" s="20" t="s">
        <v>226</v>
      </c>
      <c r="B183" s="9" t="str">
        <f t="shared" si="17"/>
        <v>Birth rate into HIV compartment  HIV-negative and gender compartment Female, per year</v>
      </c>
      <c r="C183" s="8" t="s">
        <v>224</v>
      </c>
      <c r="D183" s="8" t="s">
        <v>159</v>
      </c>
      <c r="E183" s="8">
        <v>3</v>
      </c>
      <c r="G183" s="9">
        <v>1</v>
      </c>
      <c r="H183" s="9">
        <v>2</v>
      </c>
      <c r="J183" s="9" t="str">
        <f t="shared" si="14"/>
        <v>rho_3,1,2</v>
      </c>
      <c r="K183" s="23">
        <f t="shared" ref="K183:K189" si="19">K175*0.95</f>
        <v>9.4999999999999998E-3</v>
      </c>
    </row>
    <row r="184" spans="1:11" ht="34">
      <c r="A184" s="20" t="s">
        <v>226</v>
      </c>
      <c r="B184" s="9" t="str">
        <f t="shared" si="17"/>
        <v>Birth rate into HIV compartment  HIV-negative and gender compartment Female, per year</v>
      </c>
      <c r="C184" s="8" t="s">
        <v>224</v>
      </c>
      <c r="D184" s="8" t="s">
        <v>159</v>
      </c>
      <c r="E184" s="8">
        <v>4</v>
      </c>
      <c r="G184" s="9">
        <v>1</v>
      </c>
      <c r="H184" s="9">
        <v>2</v>
      </c>
      <c r="J184" s="9" t="str">
        <f t="shared" si="14"/>
        <v>rho_4,1,2</v>
      </c>
      <c r="K184" s="23">
        <f t="shared" si="19"/>
        <v>9.4999999999999998E-3</v>
      </c>
    </row>
    <row r="185" spans="1:11" ht="34">
      <c r="A185" s="20" t="s">
        <v>226</v>
      </c>
      <c r="B185" s="9" t="str">
        <f t="shared" si="17"/>
        <v>Birth rate into HIV compartment  HIV-negative and gender compartment Female, per year</v>
      </c>
      <c r="C185" s="8" t="s">
        <v>224</v>
      </c>
      <c r="D185" s="8" t="s">
        <v>159</v>
      </c>
      <c r="E185" s="8">
        <v>6</v>
      </c>
      <c r="G185" s="9">
        <v>1</v>
      </c>
      <c r="H185" s="9">
        <v>2</v>
      </c>
      <c r="J185" s="9" t="str">
        <f t="shared" si="14"/>
        <v>rho_6,1,2</v>
      </c>
      <c r="K185" s="23">
        <f t="shared" si="19"/>
        <v>4.7499999999999999E-3</v>
      </c>
    </row>
    <row r="186" spans="1:11" ht="34">
      <c r="A186" s="20" t="s">
        <v>227</v>
      </c>
      <c r="B186" s="9" t="str">
        <f t="shared" si="17"/>
        <v>Birth rate into HIV compartment  PLHIV not on ART, CD4&gt;200 and gender compartment Female, per year</v>
      </c>
      <c r="C186" s="8" t="s">
        <v>224</v>
      </c>
      <c r="D186" s="8" t="s">
        <v>159</v>
      </c>
      <c r="E186" s="8">
        <v>1</v>
      </c>
      <c r="G186" s="9">
        <v>2</v>
      </c>
      <c r="H186" s="9">
        <v>2</v>
      </c>
      <c r="J186" s="9" t="str">
        <f t="shared" si="14"/>
        <v>rho_1,2,2</v>
      </c>
      <c r="K186" s="23">
        <f t="shared" si="19"/>
        <v>1.9000000000000001E-4</v>
      </c>
    </row>
    <row r="187" spans="1:11" ht="34">
      <c r="A187" s="20" t="s">
        <v>227</v>
      </c>
      <c r="B187" s="9" t="str">
        <f t="shared" si="17"/>
        <v>Birth rate into HIV compartment  PLHIV not on ART, CD4&gt;200 and gender compartment Female, per year</v>
      </c>
      <c r="C187" s="8" t="s">
        <v>224</v>
      </c>
      <c r="D187" s="8" t="s">
        <v>159</v>
      </c>
      <c r="E187" s="8">
        <v>3</v>
      </c>
      <c r="G187" s="9">
        <v>2</v>
      </c>
      <c r="H187" s="9">
        <v>2</v>
      </c>
      <c r="J187" s="9" t="str">
        <f t="shared" si="14"/>
        <v>rho_3,2,2</v>
      </c>
      <c r="K187" s="23">
        <f t="shared" si="19"/>
        <v>9.5000000000000005E-5</v>
      </c>
    </row>
    <row r="188" spans="1:11" ht="34">
      <c r="A188" s="20" t="s">
        <v>227</v>
      </c>
      <c r="B188" s="9" t="str">
        <f t="shared" si="17"/>
        <v>Birth rate into HIV compartment  PLHIV not on ART, CD4&gt;200 and gender compartment Female, per year</v>
      </c>
      <c r="C188" s="8" t="s">
        <v>224</v>
      </c>
      <c r="D188" s="8" t="s">
        <v>159</v>
      </c>
      <c r="E188" s="8">
        <v>4</v>
      </c>
      <c r="G188" s="9">
        <v>2</v>
      </c>
      <c r="H188" s="9">
        <v>2</v>
      </c>
      <c r="J188" s="9" t="str">
        <f t="shared" si="14"/>
        <v>rho_4,2,2</v>
      </c>
      <c r="K188" s="23">
        <f t="shared" si="19"/>
        <v>9.5000000000000005E-5</v>
      </c>
    </row>
    <row r="189" spans="1:11" ht="34">
      <c r="A189" s="20" t="s">
        <v>227</v>
      </c>
      <c r="B189" s="9" t="str">
        <f t="shared" si="17"/>
        <v>Birth rate into HIV compartment  PLHIV not on ART, CD4&gt;200 and gender compartment Female, per year</v>
      </c>
      <c r="C189" s="8" t="s">
        <v>224</v>
      </c>
      <c r="D189" s="8" t="s">
        <v>159</v>
      </c>
      <c r="E189" s="8">
        <v>6</v>
      </c>
      <c r="G189" s="9">
        <v>2</v>
      </c>
      <c r="H189" s="9">
        <v>2</v>
      </c>
      <c r="J189" s="9" t="str">
        <f t="shared" ref="J189:J192" si="20">CONCATENATE(C189, "_", E189, IF(E189&lt;&gt;"",",",""), F189, IF(F189&lt;&gt;"",",",""),  G189, IF(G189&lt;&gt;"",",",""),  H189, IF(I189&lt;&gt;"","(",""), I189, IF(I189&lt;&gt;"",")",""))</f>
        <v>rho_6,2,2</v>
      </c>
      <c r="K189" s="23">
        <f t="shared" si="19"/>
        <v>4.7500000000000003E-5</v>
      </c>
    </row>
    <row r="190" spans="1:11" ht="32">
      <c r="A190" s="11" t="s">
        <v>364</v>
      </c>
      <c r="B190" s="9" t="str">
        <f>CONCATENATE("IPT Adherence  under policy ", VLOOKUP(I60, P_SET,2))</f>
        <v>IPT Adherence  under policy Community ART</v>
      </c>
      <c r="C190" s="9" t="s">
        <v>361</v>
      </c>
      <c r="D190" s="9" t="s">
        <v>43</v>
      </c>
      <c r="I190" s="9">
        <v>1</v>
      </c>
      <c r="J190" s="9" t="str">
        <f t="shared" si="20"/>
        <v>varpi_(1)</v>
      </c>
      <c r="K190" s="35">
        <v>0.2</v>
      </c>
    </row>
    <row r="191" spans="1:11" ht="32">
      <c r="A191" s="11" t="s">
        <v>364</v>
      </c>
      <c r="B191" s="9" t="str">
        <f>CONCATENATE("IPT Adherence  under policy ", VLOOKUP(I61, P_SET,2))</f>
        <v>IPT Adherence  under policy Community ART</v>
      </c>
      <c r="C191" s="9" t="s">
        <v>361</v>
      </c>
      <c r="D191" s="9" t="s">
        <v>43</v>
      </c>
      <c r="I191" s="9">
        <v>2</v>
      </c>
      <c r="J191" s="9" t="str">
        <f t="shared" si="20"/>
        <v>varpi_(2)</v>
      </c>
      <c r="K191" s="35">
        <v>0.2</v>
      </c>
    </row>
    <row r="192" spans="1:11" ht="32">
      <c r="A192" s="11" t="s">
        <v>365</v>
      </c>
      <c r="B192" s="9" t="str">
        <f>CONCATENATE("IPT Adherence  under policy ", VLOOKUP(I62, P_SET,2))</f>
        <v>IPT Adherence  under policy Standard (baseline)</v>
      </c>
      <c r="C192" s="9" t="s">
        <v>361</v>
      </c>
      <c r="D192" s="9" t="s">
        <v>43</v>
      </c>
      <c r="I192" s="9">
        <v>3</v>
      </c>
      <c r="J192" s="9" t="str">
        <f t="shared" si="20"/>
        <v>varpi_(3)</v>
      </c>
      <c r="K192" s="35">
        <v>0.8</v>
      </c>
    </row>
  </sheetData>
  <sortState ref="A2:O189">
    <sortCondition ref="D2:D189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8"/>
  <sheetViews>
    <sheetView zoomScale="125" workbookViewId="0">
      <pane xSplit="1" ySplit="1" topLeftCell="F25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352</v>
      </c>
      <c r="C1" s="2" t="s">
        <v>353</v>
      </c>
      <c r="D1" s="2" t="s">
        <v>354</v>
      </c>
      <c r="E1" s="2" t="s">
        <v>351</v>
      </c>
      <c r="F1" s="2" t="s">
        <v>228</v>
      </c>
      <c r="G1" s="2" t="s">
        <v>229</v>
      </c>
      <c r="H1" s="16" t="s">
        <v>11</v>
      </c>
      <c r="I1" s="17" t="s">
        <v>12</v>
      </c>
      <c r="J1" s="17" t="s">
        <v>230</v>
      </c>
      <c r="K1" s="12" t="s">
        <v>13</v>
      </c>
      <c r="L1" s="13" t="s">
        <v>14</v>
      </c>
    </row>
    <row r="2" spans="1:12" ht="51">
      <c r="A2" s="18" t="s">
        <v>231</v>
      </c>
      <c r="B2" s="18"/>
      <c r="C2" s="18"/>
      <c r="D2" s="18"/>
      <c r="E2" s="18"/>
      <c r="F2" s="1" t="s">
        <v>232</v>
      </c>
      <c r="G2" s="19">
        <v>1</v>
      </c>
    </row>
    <row r="3" spans="1:12" ht="51">
      <c r="A3" s="18" t="s">
        <v>233</v>
      </c>
      <c r="B3" s="18"/>
      <c r="C3" s="18"/>
      <c r="D3" s="18"/>
      <c r="E3" s="18"/>
      <c r="F3" s="1" t="s">
        <v>234</v>
      </c>
      <c r="G3" s="19">
        <v>1.1000000000000001</v>
      </c>
    </row>
    <row r="4" spans="1:12" ht="51">
      <c r="A4" s="18" t="s">
        <v>235</v>
      </c>
      <c r="B4" s="18"/>
      <c r="C4" s="18"/>
      <c r="D4" s="18"/>
      <c r="E4" s="18"/>
      <c r="F4" s="1" t="s">
        <v>236</v>
      </c>
      <c r="G4" s="19">
        <v>1</v>
      </c>
    </row>
    <row r="5" spans="1:12" ht="42.75" customHeight="1">
      <c r="A5" s="18" t="s">
        <v>237</v>
      </c>
      <c r="B5" s="18"/>
      <c r="C5" s="18"/>
      <c r="D5" s="18"/>
      <c r="E5" s="18"/>
      <c r="F5" s="1" t="s">
        <v>238</v>
      </c>
      <c r="G5" s="1">
        <v>1.1000000000000001</v>
      </c>
    </row>
    <row r="6" spans="1:12" ht="39" customHeight="1">
      <c r="A6" s="18" t="s">
        <v>237</v>
      </c>
      <c r="B6" s="18"/>
      <c r="C6" s="18"/>
      <c r="D6" s="18"/>
      <c r="E6" s="18"/>
      <c r="F6" s="1" t="s">
        <v>239</v>
      </c>
      <c r="G6" s="1">
        <v>1.1000000000000001</v>
      </c>
    </row>
    <row r="7" spans="1:12" ht="35.25" customHeight="1">
      <c r="A7" s="18" t="s">
        <v>237</v>
      </c>
      <c r="B7" s="18"/>
      <c r="C7" s="18"/>
      <c r="D7" s="18"/>
      <c r="E7" s="18"/>
      <c r="F7" s="1" t="s">
        <v>240</v>
      </c>
      <c r="G7" s="1">
        <v>1.2</v>
      </c>
    </row>
    <row r="8" spans="1:12" ht="38.25" customHeight="1">
      <c r="A8" s="18" t="s">
        <v>237</v>
      </c>
      <c r="B8" s="18"/>
      <c r="C8" s="18"/>
      <c r="D8" s="18"/>
      <c r="E8" s="18"/>
      <c r="F8" s="1" t="s">
        <v>241</v>
      </c>
      <c r="G8" s="1">
        <v>1.2</v>
      </c>
    </row>
    <row r="9" spans="1:12" ht="17">
      <c r="A9" s="18" t="s">
        <v>242</v>
      </c>
      <c r="B9" s="18"/>
      <c r="C9" s="18"/>
      <c r="D9" s="18"/>
      <c r="E9" s="18"/>
      <c r="F9" s="1" t="s">
        <v>243</v>
      </c>
      <c r="G9" s="31">
        <v>1</v>
      </c>
      <c r="L9" s="4" t="s">
        <v>332</v>
      </c>
    </row>
    <row r="10" spans="1:12" ht="17">
      <c r="A10" s="25" t="s">
        <v>271</v>
      </c>
      <c r="B10" s="25"/>
      <c r="C10" s="25"/>
      <c r="D10" s="25"/>
      <c r="E10" s="25"/>
      <c r="G10" s="26">
        <v>100000</v>
      </c>
    </row>
    <row r="11" spans="1:12" ht="34">
      <c r="A11" s="32" t="s">
        <v>333</v>
      </c>
      <c r="B11" s="32"/>
      <c r="C11" s="32"/>
      <c r="D11" s="33">
        <v>3</v>
      </c>
      <c r="E11" s="32">
        <v>1</v>
      </c>
      <c r="F11" s="1" t="s">
        <v>357</v>
      </c>
      <c r="G11" s="1">
        <f>G12</f>
        <v>0.17999999999999994</v>
      </c>
    </row>
    <row r="12" spans="1:12" ht="34">
      <c r="A12" s="32" t="s">
        <v>334</v>
      </c>
      <c r="B12" s="32"/>
      <c r="C12" s="32"/>
      <c r="D12" s="32">
        <v>3</v>
      </c>
      <c r="E12" s="32">
        <v>2</v>
      </c>
      <c r="F12" s="1" t="s">
        <v>357</v>
      </c>
      <c r="G12" s="1">
        <f>1-G16-G14</f>
        <v>0.17999999999999994</v>
      </c>
      <c r="K12" t="s">
        <v>331</v>
      </c>
    </row>
    <row r="13" spans="1:12" ht="34">
      <c r="A13" s="32" t="s">
        <v>335</v>
      </c>
      <c r="B13" s="32"/>
      <c r="C13" s="32"/>
      <c r="D13" s="32">
        <v>2</v>
      </c>
      <c r="E13" s="32">
        <v>1</v>
      </c>
      <c r="F13" s="1" t="s">
        <v>357</v>
      </c>
      <c r="G13" s="1">
        <v>0.55000000000000004</v>
      </c>
    </row>
    <row r="14" spans="1:12" ht="34">
      <c r="A14" s="32" t="s">
        <v>336</v>
      </c>
      <c r="B14" s="32"/>
      <c r="C14" s="32"/>
      <c r="D14" s="32">
        <v>2</v>
      </c>
      <c r="E14" s="32">
        <v>2</v>
      </c>
      <c r="F14" s="1" t="s">
        <v>357</v>
      </c>
      <c r="G14" s="1">
        <v>0.55000000000000004</v>
      </c>
      <c r="K14" t="s">
        <v>331</v>
      </c>
    </row>
    <row r="15" spans="1:12" ht="17">
      <c r="A15" s="32" t="s">
        <v>337</v>
      </c>
      <c r="B15" s="32"/>
      <c r="C15" s="32"/>
      <c r="D15" s="32">
        <v>4</v>
      </c>
      <c r="E15" s="32">
        <v>1</v>
      </c>
      <c r="F15" s="1" t="s">
        <v>357</v>
      </c>
      <c r="G15" s="1">
        <v>0.27</v>
      </c>
    </row>
    <row r="16" spans="1:12" ht="34">
      <c r="A16" s="32" t="s">
        <v>338</v>
      </c>
      <c r="B16" s="32"/>
      <c r="C16" s="32"/>
      <c r="D16" s="32">
        <v>4</v>
      </c>
      <c r="E16" s="32">
        <v>2</v>
      </c>
      <c r="F16" s="1" t="s">
        <v>357</v>
      </c>
      <c r="G16" s="36">
        <v>0.27</v>
      </c>
      <c r="K16" t="s">
        <v>330</v>
      </c>
      <c r="L16" s="4" t="s">
        <v>329</v>
      </c>
    </row>
    <row r="17" spans="1:13" ht="17">
      <c r="A17" s="37" t="s">
        <v>362</v>
      </c>
      <c r="B17" s="32"/>
      <c r="C17" s="32"/>
      <c r="D17" s="32">
        <v>1</v>
      </c>
      <c r="E17" s="32">
        <v>1</v>
      </c>
      <c r="F17" s="1" t="s">
        <v>357</v>
      </c>
      <c r="G17" s="36">
        <v>0.7</v>
      </c>
    </row>
    <row r="18" spans="1:13" ht="17">
      <c r="A18" s="33" t="s">
        <v>359</v>
      </c>
      <c r="B18" s="32"/>
      <c r="C18" s="32"/>
      <c r="D18" s="32"/>
      <c r="E18" s="32"/>
      <c r="F18" s="1" t="s">
        <v>357</v>
      </c>
      <c r="G18" s="36">
        <v>0.3</v>
      </c>
    </row>
    <row r="19" spans="1:13" ht="34">
      <c r="A19" s="32" t="s">
        <v>339</v>
      </c>
      <c r="B19" s="33" t="s">
        <v>355</v>
      </c>
      <c r="C19" s="32"/>
      <c r="D19" s="32">
        <v>1</v>
      </c>
      <c r="E19" s="32">
        <v>1</v>
      </c>
      <c r="F19" s="1" t="s">
        <v>357</v>
      </c>
      <c r="G19" s="36">
        <v>0.5</v>
      </c>
      <c r="K19" t="s">
        <v>342</v>
      </c>
    </row>
    <row r="20" spans="1:13" ht="34">
      <c r="A20" s="32" t="s">
        <v>340</v>
      </c>
      <c r="B20" s="33" t="s">
        <v>355</v>
      </c>
      <c r="C20" s="32"/>
      <c r="D20" s="32">
        <v>1</v>
      </c>
      <c r="E20" s="32">
        <v>2</v>
      </c>
      <c r="F20" s="1" t="s">
        <v>357</v>
      </c>
      <c r="G20" s="1">
        <v>0.5</v>
      </c>
      <c r="K20" t="s">
        <v>342</v>
      </c>
    </row>
    <row r="21" spans="1:13" ht="17">
      <c r="A21" s="32" t="s">
        <v>345</v>
      </c>
      <c r="B21" s="33" t="s">
        <v>356</v>
      </c>
      <c r="C21" s="32"/>
      <c r="D21" s="32">
        <v>1</v>
      </c>
      <c r="E21" s="32">
        <v>1</v>
      </c>
      <c r="F21" s="1" t="s">
        <v>357</v>
      </c>
      <c r="G21" s="1">
        <f>G22</f>
        <v>0.49</v>
      </c>
    </row>
    <row r="22" spans="1:13" ht="17">
      <c r="A22" s="32" t="s">
        <v>349</v>
      </c>
      <c r="B22" s="33" t="s">
        <v>356</v>
      </c>
      <c r="C22" s="32"/>
      <c r="D22" s="32">
        <v>1</v>
      </c>
      <c r="E22" s="32">
        <v>2</v>
      </c>
      <c r="F22" s="1" t="s">
        <v>357</v>
      </c>
      <c r="G22" s="1">
        <f>1-G19-G25</f>
        <v>0.49</v>
      </c>
    </row>
    <row r="23" spans="1:13" ht="34">
      <c r="A23" s="32" t="s">
        <v>347</v>
      </c>
      <c r="B23" s="33" t="s">
        <v>356</v>
      </c>
      <c r="C23" s="32"/>
      <c r="D23" s="33" t="s">
        <v>358</v>
      </c>
      <c r="E23" s="32">
        <v>1</v>
      </c>
      <c r="F23" s="1" t="s">
        <v>357</v>
      </c>
      <c r="G23" s="1">
        <v>0.5</v>
      </c>
      <c r="K23" t="s">
        <v>346</v>
      </c>
    </row>
    <row r="24" spans="1:13" ht="34">
      <c r="A24" s="32" t="s">
        <v>348</v>
      </c>
      <c r="B24" s="33" t="s">
        <v>356</v>
      </c>
      <c r="C24" s="32"/>
      <c r="D24" s="33" t="s">
        <v>358</v>
      </c>
      <c r="E24" s="32">
        <v>2</v>
      </c>
      <c r="F24" s="1" t="s">
        <v>357</v>
      </c>
      <c r="G24" s="1">
        <v>0.5</v>
      </c>
    </row>
    <row r="25" spans="1:13" ht="17">
      <c r="A25" s="32" t="s">
        <v>341</v>
      </c>
      <c r="B25" s="32">
        <v>6</v>
      </c>
      <c r="C25" s="32"/>
      <c r="D25" s="32">
        <v>1</v>
      </c>
      <c r="E25" s="32">
        <v>1</v>
      </c>
      <c r="F25" s="1" t="s">
        <v>357</v>
      </c>
      <c r="G25" s="1">
        <v>0.01</v>
      </c>
    </row>
    <row r="26" spans="1:13" ht="17">
      <c r="A26" s="32" t="s">
        <v>350</v>
      </c>
      <c r="B26" s="32">
        <v>6</v>
      </c>
      <c r="C26" s="32"/>
      <c r="D26" s="32">
        <v>1</v>
      </c>
      <c r="E26" s="32">
        <v>2</v>
      </c>
      <c r="F26" s="1" t="s">
        <v>357</v>
      </c>
      <c r="G26" s="1">
        <v>0.01</v>
      </c>
    </row>
    <row r="27" spans="1:13" ht="34">
      <c r="A27" s="32" t="s">
        <v>343</v>
      </c>
      <c r="B27" s="32">
        <v>6</v>
      </c>
      <c r="C27" s="32"/>
      <c r="D27" s="33" t="s">
        <v>358</v>
      </c>
      <c r="E27" s="32">
        <v>1</v>
      </c>
      <c r="F27" s="1" t="s">
        <v>357</v>
      </c>
      <c r="G27" s="1">
        <v>0.6</v>
      </c>
    </row>
    <row r="28" spans="1:13" ht="34">
      <c r="A28" s="32" t="s">
        <v>344</v>
      </c>
      <c r="B28" s="32">
        <v>6</v>
      </c>
      <c r="C28" s="32"/>
      <c r="D28" s="33" t="s">
        <v>358</v>
      </c>
      <c r="E28" s="32">
        <v>2</v>
      </c>
      <c r="F28" s="1" t="s">
        <v>357</v>
      </c>
      <c r="G28" s="1">
        <v>0.8</v>
      </c>
    </row>
    <row r="29" spans="1:13" ht="34">
      <c r="A29" s="27" t="s">
        <v>272</v>
      </c>
      <c r="B29" s="27"/>
      <c r="C29" s="27"/>
      <c r="D29" s="27"/>
      <c r="E29" s="27"/>
      <c r="G29">
        <v>667.69125159867303</v>
      </c>
      <c r="H29">
        <v>621.91596160486597</v>
      </c>
      <c r="I29">
        <v>725.80082818748997</v>
      </c>
      <c r="J29" s="1" t="s">
        <v>273</v>
      </c>
      <c r="K29" t="s">
        <v>275</v>
      </c>
      <c r="L29" s="29" t="s">
        <v>274</v>
      </c>
      <c r="M29" s="4" t="s">
        <v>292</v>
      </c>
    </row>
    <row r="30" spans="1:13" ht="34">
      <c r="A30" s="27" t="s">
        <v>276</v>
      </c>
      <c r="B30" s="27"/>
      <c r="C30" s="27"/>
      <c r="D30" s="27"/>
      <c r="E30" s="27"/>
      <c r="G30">
        <v>487.71837360315601</v>
      </c>
      <c r="H30">
        <v>436.91669589439499</v>
      </c>
      <c r="I30">
        <v>556.03760119042602</v>
      </c>
      <c r="J30" s="1" t="s">
        <v>273</v>
      </c>
      <c r="K30" t="s">
        <v>275</v>
      </c>
      <c r="L30" s="29" t="s">
        <v>274</v>
      </c>
    </row>
    <row r="31" spans="1:13" ht="34">
      <c r="A31" s="27" t="s">
        <v>282</v>
      </c>
      <c r="B31" s="27"/>
      <c r="C31" s="27"/>
      <c r="D31" s="27"/>
      <c r="E31" s="27"/>
      <c r="G31">
        <v>353.97451428615199</v>
      </c>
      <c r="H31">
        <v>298.14022379823899</v>
      </c>
      <c r="I31">
        <v>421.02666012590601</v>
      </c>
      <c r="J31" s="1" t="s">
        <v>273</v>
      </c>
      <c r="K31" t="s">
        <v>275</v>
      </c>
      <c r="L31" s="29" t="s">
        <v>283</v>
      </c>
    </row>
    <row r="32" spans="1:13" ht="34">
      <c r="A32" s="27" t="s">
        <v>282</v>
      </c>
      <c r="B32" s="27"/>
      <c r="C32" s="27"/>
      <c r="D32" s="27"/>
      <c r="E32" s="27"/>
      <c r="G32">
        <v>328.28962708281801</v>
      </c>
      <c r="H32">
        <v>275.75168655442201</v>
      </c>
      <c r="I32">
        <v>397.64813504226203</v>
      </c>
      <c r="J32" s="1" t="s">
        <v>273</v>
      </c>
      <c r="K32" t="s">
        <v>275</v>
      </c>
      <c r="L32" s="29" t="s">
        <v>283</v>
      </c>
    </row>
    <row r="33" spans="1:12" ht="51">
      <c r="A33" s="27" t="s">
        <v>277</v>
      </c>
      <c r="B33" s="27"/>
      <c r="C33" s="27"/>
      <c r="D33" s="27"/>
      <c r="E33" s="27"/>
      <c r="G33">
        <v>270.29685912212301</v>
      </c>
      <c r="H33">
        <v>206.97423329835701</v>
      </c>
      <c r="I33">
        <v>343.91638639716899</v>
      </c>
      <c r="J33" s="1" t="s">
        <v>273</v>
      </c>
      <c r="K33" t="s">
        <v>275</v>
      </c>
      <c r="L33" s="29" t="s">
        <v>278</v>
      </c>
    </row>
    <row r="34" spans="1:12" ht="51">
      <c r="A34" s="27" t="s">
        <v>279</v>
      </c>
      <c r="B34" s="27"/>
      <c r="C34" s="27"/>
      <c r="D34" s="27"/>
      <c r="E34" s="27"/>
      <c r="G34">
        <v>264.93621874887299</v>
      </c>
      <c r="H34">
        <v>205.62683179700201</v>
      </c>
      <c r="I34">
        <v>339.17910941088098</v>
      </c>
      <c r="J34" s="1" t="s">
        <v>273</v>
      </c>
      <c r="K34" t="s">
        <v>275</v>
      </c>
      <c r="L34" s="29" t="s">
        <v>278</v>
      </c>
    </row>
    <row r="35" spans="1:12" ht="51">
      <c r="A35" s="27" t="s">
        <v>280</v>
      </c>
      <c r="B35" s="27"/>
      <c r="C35" s="27"/>
      <c r="D35" s="27"/>
      <c r="E35" s="27"/>
      <c r="G35">
        <v>76.970274789631006</v>
      </c>
      <c r="H35">
        <v>48.421027847361103</v>
      </c>
      <c r="I35">
        <v>109.456440346139</v>
      </c>
      <c r="J35" s="1" t="s">
        <v>273</v>
      </c>
      <c r="K35" t="s">
        <v>275</v>
      </c>
      <c r="L35" s="29" t="s">
        <v>284</v>
      </c>
    </row>
    <row r="36" spans="1:12" ht="51">
      <c r="A36" s="27" t="s">
        <v>281</v>
      </c>
      <c r="B36" s="27"/>
      <c r="C36" s="27"/>
      <c r="D36" s="27"/>
      <c r="E36" s="27"/>
      <c r="G36">
        <v>58.460988902228898</v>
      </c>
      <c r="H36">
        <v>34.611741515461397</v>
      </c>
      <c r="I36">
        <v>87.602923512240494</v>
      </c>
      <c r="J36" s="1" t="s">
        <v>273</v>
      </c>
      <c r="K36" t="s">
        <v>275</v>
      </c>
      <c r="L36" s="29" t="s">
        <v>284</v>
      </c>
    </row>
    <row r="37" spans="1:12" ht="34">
      <c r="A37" s="27" t="s">
        <v>285</v>
      </c>
      <c r="B37" s="27"/>
      <c r="C37" s="27"/>
      <c r="D37" s="27"/>
      <c r="E37" s="27"/>
      <c r="G37">
        <v>6.5950565310523803</v>
      </c>
      <c r="H37">
        <v>2.67155063488859</v>
      </c>
      <c r="I37">
        <v>13.136486160221301</v>
      </c>
      <c r="J37" s="1" t="s">
        <v>273</v>
      </c>
      <c r="K37" t="s">
        <v>275</v>
      </c>
      <c r="L37" s="29" t="s">
        <v>287</v>
      </c>
    </row>
    <row r="38" spans="1:12" ht="34">
      <c r="A38" s="27" t="s">
        <v>286</v>
      </c>
      <c r="B38" s="27"/>
      <c r="C38" s="27"/>
      <c r="D38" s="27"/>
      <c r="E38" s="27"/>
      <c r="G38">
        <v>4.8104961798478998</v>
      </c>
      <c r="H38">
        <v>1.8525923964359301</v>
      </c>
      <c r="I38">
        <v>10.096949019498</v>
      </c>
      <c r="J38" s="1" t="s">
        <v>273</v>
      </c>
      <c r="K38" t="s">
        <v>275</v>
      </c>
      <c r="L38" s="29" t="s">
        <v>287</v>
      </c>
    </row>
    <row r="39" spans="1:12" ht="34">
      <c r="A39" s="27" t="s">
        <v>288</v>
      </c>
      <c r="B39" s="27"/>
      <c r="C39" s="27"/>
      <c r="D39" s="27"/>
      <c r="E39" s="27"/>
      <c r="G39">
        <v>0.112323843345287</v>
      </c>
      <c r="H39">
        <v>4.5985772535474097E-2</v>
      </c>
      <c r="I39">
        <v>0.22960163575013601</v>
      </c>
      <c r="J39" s="1" t="s">
        <v>273</v>
      </c>
      <c r="K39" t="s">
        <v>275</v>
      </c>
      <c r="L39" s="29" t="s">
        <v>290</v>
      </c>
    </row>
    <row r="40" spans="1:12" ht="34">
      <c r="A40" s="27" t="s">
        <v>289</v>
      </c>
      <c r="B40" s="27"/>
      <c r="C40" s="27"/>
      <c r="D40" s="27"/>
      <c r="E40" s="27"/>
      <c r="G40">
        <v>8.1923251867938002E-2</v>
      </c>
      <c r="H40">
        <v>3.1924496573431098E-2</v>
      </c>
      <c r="I40">
        <v>0.17543715890676301</v>
      </c>
      <c r="J40" s="1" t="s">
        <v>273</v>
      </c>
      <c r="K40" t="s">
        <v>275</v>
      </c>
      <c r="L40" s="29" t="s">
        <v>290</v>
      </c>
    </row>
    <row r="41" spans="1:12" ht="34">
      <c r="A41" s="27" t="s">
        <v>291</v>
      </c>
      <c r="B41" s="27"/>
      <c r="C41" s="27"/>
      <c r="D41" s="27"/>
      <c r="E41" s="27"/>
      <c r="G41">
        <v>32.781908989999998</v>
      </c>
      <c r="H41">
        <v>29.630786910000001</v>
      </c>
      <c r="I41">
        <v>36.915591910000003</v>
      </c>
      <c r="J41" s="1" t="s">
        <v>304</v>
      </c>
      <c r="K41" t="s">
        <v>275</v>
      </c>
      <c r="L41" s="29" t="s">
        <v>297</v>
      </c>
    </row>
    <row r="42" spans="1:12" ht="34">
      <c r="A42" s="27" t="s">
        <v>301</v>
      </c>
      <c r="B42" s="27"/>
      <c r="C42" s="27"/>
      <c r="D42" s="27"/>
      <c r="E42" s="27"/>
      <c r="G42">
        <v>15.92630484</v>
      </c>
      <c r="H42">
        <v>13.86750552</v>
      </c>
      <c r="I42">
        <v>18.053657309999998</v>
      </c>
      <c r="J42" s="1" t="s">
        <v>305</v>
      </c>
      <c r="K42" t="s">
        <v>275</v>
      </c>
      <c r="L42" s="29" t="s">
        <v>297</v>
      </c>
    </row>
    <row r="43" spans="1:12" ht="51">
      <c r="A43" s="27" t="s">
        <v>293</v>
      </c>
      <c r="B43" s="27"/>
      <c r="C43" s="27"/>
      <c r="D43" s="27"/>
      <c r="E43" s="27"/>
      <c r="G43">
        <v>30.619318209999999</v>
      </c>
      <c r="H43">
        <v>27.03644954</v>
      </c>
      <c r="I43">
        <v>34.821362049999998</v>
      </c>
      <c r="J43" s="1" t="s">
        <v>306</v>
      </c>
      <c r="K43" t="s">
        <v>275</v>
      </c>
      <c r="L43" s="29" t="s">
        <v>298</v>
      </c>
    </row>
    <row r="44" spans="1:12" ht="51">
      <c r="A44" s="27" t="s">
        <v>295</v>
      </c>
      <c r="B44" s="27"/>
      <c r="C44" s="27"/>
      <c r="D44" s="27"/>
      <c r="E44" s="27"/>
      <c r="G44">
        <v>14.90405754</v>
      </c>
      <c r="H44">
        <v>12.80162367</v>
      </c>
      <c r="I44">
        <v>17.08584523</v>
      </c>
      <c r="J44" s="1" t="s">
        <v>307</v>
      </c>
      <c r="K44" t="s">
        <v>275</v>
      </c>
      <c r="L44" s="29" t="s">
        <v>298</v>
      </c>
    </row>
    <row r="45" spans="1:12" ht="34">
      <c r="A45" s="27" t="s">
        <v>294</v>
      </c>
      <c r="B45" s="27"/>
      <c r="C45" s="27"/>
      <c r="D45" s="27"/>
      <c r="E45" s="27"/>
      <c r="G45">
        <v>2.1263778709999999</v>
      </c>
      <c r="H45">
        <v>0.99031739500000004</v>
      </c>
      <c r="I45">
        <v>3.7960577139999998</v>
      </c>
      <c r="J45" s="1" t="s">
        <v>308</v>
      </c>
      <c r="K45" t="s">
        <v>275</v>
      </c>
      <c r="L45" s="29" t="s">
        <v>299</v>
      </c>
    </row>
    <row r="46" spans="1:12" ht="34">
      <c r="A46" s="27" t="s">
        <v>302</v>
      </c>
      <c r="B46" s="27"/>
      <c r="C46" s="27"/>
      <c r="D46" s="27"/>
      <c r="E46" s="27"/>
      <c r="G46">
        <v>1.0051327029999999</v>
      </c>
      <c r="H46">
        <v>0.49495520500000001</v>
      </c>
      <c r="I46">
        <v>1.8558520039999999</v>
      </c>
      <c r="J46" s="1" t="s">
        <v>309</v>
      </c>
      <c r="K46" t="s">
        <v>275</v>
      </c>
      <c r="L46" s="29" t="s">
        <v>299</v>
      </c>
    </row>
    <row r="47" spans="1:12" ht="34">
      <c r="A47" s="27" t="s">
        <v>296</v>
      </c>
      <c r="B47" s="27"/>
      <c r="C47" s="27"/>
      <c r="D47" s="27"/>
      <c r="E47" s="27"/>
      <c r="G47">
        <v>3.6212901999999998E-2</v>
      </c>
      <c r="H47">
        <v>1.7022888999999999E-2</v>
      </c>
      <c r="I47">
        <v>6.5484691999999997E-2</v>
      </c>
      <c r="J47" s="1" t="s">
        <v>310</v>
      </c>
      <c r="K47" t="s">
        <v>275</v>
      </c>
      <c r="L47" s="29" t="s">
        <v>300</v>
      </c>
    </row>
    <row r="48" spans="1:12" ht="34">
      <c r="A48" s="27" t="s">
        <v>303</v>
      </c>
      <c r="B48" s="27"/>
      <c r="C48" s="27"/>
      <c r="D48" s="27"/>
      <c r="E48" s="27"/>
      <c r="G48">
        <v>1.7114595999999999E-2</v>
      </c>
      <c r="H48">
        <v>8.2082219999999994E-3</v>
      </c>
      <c r="I48">
        <v>3.1991639000000002E-2</v>
      </c>
      <c r="J48" s="1" t="s">
        <v>311</v>
      </c>
      <c r="K48" t="s">
        <v>275</v>
      </c>
      <c r="L48" s="29" t="s">
        <v>300</v>
      </c>
    </row>
    <row r="49" spans="1:5" ht="16">
      <c r="A49" s="18"/>
      <c r="B49" s="18"/>
      <c r="C49" s="18"/>
      <c r="D49" s="18"/>
      <c r="E49" s="18"/>
    </row>
    <row r="50" spans="1:5" ht="16">
      <c r="A50" s="18"/>
      <c r="B50" s="18"/>
      <c r="C50" s="18"/>
      <c r="D50" s="18"/>
      <c r="E50" s="18"/>
    </row>
    <row r="51" spans="1:5" ht="16">
      <c r="A51" s="18"/>
      <c r="B51" s="18"/>
      <c r="C51" s="18"/>
      <c r="D51" s="18"/>
      <c r="E51" s="18"/>
    </row>
    <row r="52" spans="1:5" ht="16">
      <c r="A52" s="18"/>
      <c r="B52" s="18"/>
      <c r="C52" s="18"/>
      <c r="D52" s="18"/>
      <c r="E52" s="18"/>
    </row>
    <row r="53" spans="1:5" ht="16">
      <c r="A53" s="18"/>
      <c r="B53" s="18"/>
      <c r="C53" s="18"/>
      <c r="D53" s="18"/>
      <c r="E53" s="18"/>
    </row>
    <row r="54" spans="1:5" ht="16">
      <c r="A54" s="18"/>
      <c r="B54" s="18"/>
      <c r="C54" s="18"/>
      <c r="D54" s="18"/>
      <c r="E54" s="18"/>
    </row>
    <row r="55" spans="1:5" ht="16">
      <c r="A55" s="18"/>
      <c r="B55" s="18"/>
      <c r="C55" s="18"/>
      <c r="D55" s="18"/>
      <c r="E55" s="18"/>
    </row>
    <row r="56" spans="1:5" ht="16">
      <c r="A56" s="18"/>
      <c r="B56" s="18"/>
      <c r="C56" s="18"/>
      <c r="D56" s="18"/>
      <c r="E56" s="18"/>
    </row>
    <row r="57" spans="1:5" ht="16">
      <c r="A57" s="18"/>
      <c r="B57" s="18"/>
      <c r="C57" s="18"/>
      <c r="D57" s="18"/>
      <c r="E57" s="18"/>
    </row>
    <row r="58" spans="1:5" ht="16">
      <c r="A58" s="18"/>
      <c r="B58" s="18"/>
      <c r="C58" s="18"/>
      <c r="D58" s="18"/>
      <c r="E58" s="18"/>
    </row>
    <row r="59" spans="1:5" ht="16">
      <c r="A59" s="18"/>
      <c r="B59" s="18"/>
      <c r="C59" s="18"/>
      <c r="D59" s="18"/>
      <c r="E59" s="18"/>
    </row>
    <row r="60" spans="1:5" ht="16">
      <c r="A60" s="18"/>
      <c r="B60" s="18"/>
      <c r="C60" s="18"/>
      <c r="D60" s="18"/>
      <c r="E60" s="18"/>
    </row>
    <row r="61" spans="1:5" ht="16">
      <c r="A61" s="18"/>
      <c r="B61" s="18"/>
      <c r="C61" s="18"/>
      <c r="D61" s="18"/>
      <c r="E61" s="18"/>
    </row>
    <row r="62" spans="1:5" ht="16">
      <c r="A62" s="18"/>
      <c r="B62" s="18"/>
      <c r="C62" s="18"/>
      <c r="D62" s="18"/>
      <c r="E62" s="18"/>
    </row>
    <row r="63" spans="1:5" ht="16">
      <c r="A63" s="18"/>
      <c r="B63" s="18"/>
      <c r="C63" s="18"/>
      <c r="D63" s="18"/>
      <c r="E63" s="18"/>
    </row>
    <row r="64" spans="1:5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  <row r="102" spans="1:5" ht="16">
      <c r="A102" s="18"/>
      <c r="B102" s="18"/>
      <c r="C102" s="18"/>
      <c r="D102" s="18"/>
      <c r="E102" s="18"/>
    </row>
    <row r="103" spans="1:5" ht="16">
      <c r="A103" s="18"/>
      <c r="B103" s="18"/>
      <c r="C103" s="18"/>
      <c r="D103" s="18"/>
      <c r="E103" s="18"/>
    </row>
    <row r="104" spans="1:5" ht="16">
      <c r="A104" s="18"/>
      <c r="B104" s="18"/>
      <c r="C104" s="18"/>
      <c r="D104" s="18"/>
      <c r="E104" s="18"/>
    </row>
    <row r="105" spans="1:5" ht="16">
      <c r="A105" s="18"/>
      <c r="B105" s="18"/>
      <c r="C105" s="18"/>
      <c r="D105" s="18"/>
      <c r="E105" s="18"/>
    </row>
    <row r="106" spans="1:5" ht="16">
      <c r="A106" s="18"/>
      <c r="B106" s="18"/>
      <c r="C106" s="18"/>
      <c r="D106" s="18"/>
      <c r="E106" s="18"/>
    </row>
    <row r="107" spans="1:5" ht="16">
      <c r="A107" s="18"/>
      <c r="B107" s="18"/>
      <c r="C107" s="18"/>
      <c r="D107" s="18"/>
      <c r="E107" s="18"/>
    </row>
    <row r="108" spans="1:5" ht="16">
      <c r="A108" s="18"/>
      <c r="B108" s="18"/>
      <c r="C108" s="18"/>
      <c r="D108" s="18"/>
      <c r="E108" s="18"/>
    </row>
  </sheetData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151" zoomScaleNormal="151" workbookViewId="0">
      <pane ySplit="1" topLeftCell="A2" activePane="bottomLeft" state="frozen"/>
      <selection pane="bottomLeft" activeCell="N1" sqref="N1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34">
      <c r="A1" s="24" t="s">
        <v>270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9" t="s">
        <v>9</v>
      </c>
      <c r="H1" s="5" t="s">
        <v>323</v>
      </c>
      <c r="I1" s="5" t="s">
        <v>324</v>
      </c>
      <c r="J1" s="5" t="s">
        <v>325</v>
      </c>
      <c r="K1" s="5" t="s">
        <v>326</v>
      </c>
      <c r="L1" s="5" t="s">
        <v>327</v>
      </c>
      <c r="M1" s="5" t="s">
        <v>328</v>
      </c>
      <c r="N1" s="2" t="s">
        <v>363</v>
      </c>
      <c r="O1" s="16" t="s">
        <v>11</v>
      </c>
      <c r="P1" s="17" t="s">
        <v>12</v>
      </c>
      <c r="Q1" s="17" t="s">
        <v>230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269</v>
      </c>
      <c r="C2" s="8">
        <v>1</v>
      </c>
      <c r="D2" s="9">
        <v>1</v>
      </c>
      <c r="E2" s="9">
        <v>1</v>
      </c>
      <c r="F2" s="9">
        <v>1</v>
      </c>
      <c r="G2" s="40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Parameters'!$G$19,'Indirect Model Parameters'!$G$20)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IF(SUMIFS('Indirect Model Parameters'!$G$11:$G$16,'Indirect Model Parameters'!$D$11:$D$16,Pop_Init!E2,'Indirect Model Parameters'!$E$11:$E$16,Pop_Init!F2) = 0,'Indirect Model Parameters'!$G$17,'Indirect Model Parameters'!$G$18*SUMIFS('Indirect Model Parameters'!$G$11:$G$16,'Indirect Model Parameters'!$D$11:$D$16,Pop_Init!E2,'Indirect Model Parameters'!$E$11:$E$16,Pop_Init!F2))</f>
        <v>0.7</v>
      </c>
      <c r="L2" s="9">
        <f>PRODUCT(H2:J2)</f>
        <v>0.35</v>
      </c>
      <c r="M2" s="9">
        <f>L2/SUM($L$2:$L$129)</f>
        <v>6.1082024432809787E-2</v>
      </c>
      <c r="N2" s="38">
        <f>M2*'Indirect Model Parameters'!$G$10</f>
        <v>6108.2024432809785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269</v>
      </c>
      <c r="C3" s="8">
        <v>1</v>
      </c>
      <c r="D3" s="9">
        <v>2</v>
      </c>
      <c r="E3" s="9">
        <v>1</v>
      </c>
      <c r="F3" s="9">
        <v>1</v>
      </c>
      <c r="G3" s="40" t="str">
        <f t="shared" si="1"/>
        <v>N,1,2,1,1</v>
      </c>
      <c r="H3" s="9">
        <f>IF(F3=1,'Indirect Model Parameters'!$G$19,'Indirect Model Parameters'!$G$20)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IF(SUMIFS('Indirect Model Parameters'!$G$11:$G$16,'Indirect Model Parameters'!$D$11:$D$16,Pop_Init!E3,'Indirect Model Parameters'!$E$11:$E$16,Pop_Init!F3) = 0,'Indirect Model Parameters'!$G$17,'Indirect Model Parameters'!$G$18*SUMIFS('Indirect Model Parameters'!$G$11:$G$16,'Indirect Model Parameters'!$D$11:$D$16,Pop_Init!E3,'Indirect Model Parameters'!$E$11:$E$16,Pop_Init!F3))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8">
        <f>M3*'Indirect Model Parameters'!$G$10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269</v>
      </c>
      <c r="C4" s="8">
        <v>1</v>
      </c>
      <c r="D4" s="9">
        <v>2</v>
      </c>
      <c r="E4" s="9">
        <v>1</v>
      </c>
      <c r="F4" s="9">
        <v>2</v>
      </c>
      <c r="G4" s="40" t="str">
        <f t="shared" si="1"/>
        <v>N,1,2,1,2</v>
      </c>
      <c r="H4" s="9">
        <f>IF(F4=1,'Indirect Model Parameters'!$G$19,'Indirect Model Parameters'!$G$20)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IF(SUMIFS('Indirect Model Parameters'!$G$11:$G$16,'Indirect Model Parameters'!$D$11:$D$16,Pop_Init!E4,'Indirect Model Parameters'!$E$11:$E$16,Pop_Init!F4) = 0,'Indirect Model Parameters'!$G$17,'Indirect Model Parameters'!$G$18*SUMIFS('Indirect Model Parameters'!$G$11:$G$16,'Indirect Model Parameters'!$D$11:$D$16,Pop_Init!E4,'Indirect Model Parameters'!$E$11:$E$16,Pop_Init!F4))</f>
        <v>0.7</v>
      </c>
      <c r="L4" s="9">
        <f t="shared" si="2"/>
        <v>0</v>
      </c>
      <c r="M4" s="9">
        <f t="shared" si="3"/>
        <v>0</v>
      </c>
      <c r="N4" s="38">
        <f>M4*'Indirect Model Parameters'!$G$10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269</v>
      </c>
      <c r="C5" s="8">
        <v>1</v>
      </c>
      <c r="D5" s="9">
        <v>1</v>
      </c>
      <c r="E5" s="9">
        <v>1</v>
      </c>
      <c r="F5" s="9">
        <v>2</v>
      </c>
      <c r="G5" s="40" t="str">
        <f t="shared" si="1"/>
        <v>N,1,1,1,2</v>
      </c>
      <c r="H5" s="9">
        <f>IF(F5=1,'Indirect Model Parameters'!$G$19,'Indirect Model Parameters'!$G$20)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IF(SUMIFS('Indirect Model Parameters'!$G$11:$G$16,'Indirect Model Parameters'!$D$11:$D$16,Pop_Init!E5,'Indirect Model Parameters'!$E$11:$E$16,Pop_Init!F5) = 0,'Indirect Model Parameters'!$G$17,'Indirect Model Parameters'!$G$18*SUMIFS('Indirect Model Parameters'!$G$11:$G$16,'Indirect Model Parameters'!$D$11:$D$16,Pop_Init!E5,'Indirect Model Parameters'!$E$11:$E$16,Pop_Init!F5))</f>
        <v>0.7</v>
      </c>
      <c r="L5" s="9">
        <f t="shared" si="2"/>
        <v>0.35</v>
      </c>
      <c r="M5" s="9">
        <f t="shared" si="3"/>
        <v>6.1082024432809787E-2</v>
      </c>
      <c r="N5" s="38">
        <f>M5*'Indirect Model Parameters'!$G$10</f>
        <v>6108.2024432809785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269</v>
      </c>
      <c r="C6" s="8">
        <v>1</v>
      </c>
      <c r="D6" s="9">
        <v>2</v>
      </c>
      <c r="E6" s="9">
        <v>2</v>
      </c>
      <c r="F6" s="9">
        <v>1</v>
      </c>
      <c r="G6" s="40" t="str">
        <f t="shared" si="1"/>
        <v>N,1,2,2,1</v>
      </c>
      <c r="H6" s="9">
        <f>IF(F6=1,'Indirect Model Parameters'!$G$19,'Indirect Model Parameters'!$G$20)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IF(SUMIFS('Indirect Model Parameters'!$G$11:$G$16,'Indirect Model Parameters'!$D$11:$D$16,Pop_Init!E6,'Indirect Model Parameters'!$E$11:$E$16,Pop_Init!F6) = 0,'Indirect Model Parameters'!$G$17,'Indirect Model Parameters'!$G$18*SUMIFS('Indirect Model Parameters'!$G$11:$G$16,'Indirect Model Parameters'!$D$11:$D$16,Pop_Init!E6,'Indirect Model Parameters'!$E$11:$E$16,Pop_Init!F6))</f>
        <v>0.16500000000000001</v>
      </c>
      <c r="L6" s="9">
        <f t="shared" si="2"/>
        <v>0</v>
      </c>
      <c r="M6" s="9">
        <f t="shared" si="3"/>
        <v>0</v>
      </c>
      <c r="N6" s="38">
        <f>M6*'Indirect Model Parameters'!$G$10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269</v>
      </c>
      <c r="C7" s="8">
        <v>1</v>
      </c>
      <c r="D7" s="9">
        <v>1</v>
      </c>
      <c r="E7" s="9">
        <v>2</v>
      </c>
      <c r="F7" s="9">
        <v>1</v>
      </c>
      <c r="G7" s="40" t="str">
        <f t="shared" si="1"/>
        <v>N,1,1,2,1</v>
      </c>
      <c r="H7" s="9">
        <f>IF(F7=1,'Indirect Model Parameters'!$G$19,'Indirect Model Parameters'!$G$20)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IF(SUMIFS('Indirect Model Parameters'!$G$11:$G$16,'Indirect Model Parameters'!$D$11:$D$16,Pop_Init!E7,'Indirect Model Parameters'!$E$11:$E$16,Pop_Init!F7) = 0,'Indirect Model Parameters'!$G$17,'Indirect Model Parameters'!$G$18*SUMIFS('Indirect Model Parameters'!$G$11:$G$16,'Indirect Model Parameters'!$D$11:$D$16,Pop_Init!E7,'Indirect Model Parameters'!$E$11:$E$16,Pop_Init!F7))</f>
        <v>0.16500000000000001</v>
      </c>
      <c r="L7" s="9">
        <f t="shared" si="2"/>
        <v>8.2500000000000004E-2</v>
      </c>
      <c r="M7" s="9">
        <f t="shared" si="3"/>
        <v>1.4397905759162308E-2</v>
      </c>
      <c r="N7" s="38">
        <f>M7*'Indirect Model Parameters'!$G$10</f>
        <v>1439.7905759162309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269</v>
      </c>
      <c r="C8" s="8">
        <v>1</v>
      </c>
      <c r="D8" s="9">
        <v>2</v>
      </c>
      <c r="E8" s="9">
        <v>2</v>
      </c>
      <c r="F8" s="9">
        <v>2</v>
      </c>
      <c r="G8" s="40" t="str">
        <f t="shared" si="1"/>
        <v>N,1,2,2,2</v>
      </c>
      <c r="H8" s="9">
        <f>IF(F8=1,'Indirect Model Parameters'!$G$19,'Indirect Model Parameters'!$G$20)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IF(SUMIFS('Indirect Model Parameters'!$G$11:$G$16,'Indirect Model Parameters'!$D$11:$D$16,Pop_Init!E8,'Indirect Model Parameters'!$E$11:$E$16,Pop_Init!F8) = 0,'Indirect Model Parameters'!$G$17,'Indirect Model Parameters'!$G$18*SUMIFS('Indirect Model Parameters'!$G$11:$G$16,'Indirect Model Parameters'!$D$11:$D$16,Pop_Init!E8,'Indirect Model Parameters'!$E$11:$E$16,Pop_Init!F8))</f>
        <v>0.16500000000000001</v>
      </c>
      <c r="L8" s="9">
        <f t="shared" si="2"/>
        <v>0</v>
      </c>
      <c r="M8" s="9">
        <f t="shared" si="3"/>
        <v>0</v>
      </c>
      <c r="N8" s="38">
        <f>M8*'Indirect Model Parameters'!$G$10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269</v>
      </c>
      <c r="C9" s="8">
        <v>1</v>
      </c>
      <c r="D9" s="9">
        <v>1</v>
      </c>
      <c r="E9" s="9">
        <v>2</v>
      </c>
      <c r="F9" s="9">
        <v>2</v>
      </c>
      <c r="G9" s="40" t="str">
        <f t="shared" si="1"/>
        <v>N,1,1,2,2</v>
      </c>
      <c r="H9" s="9">
        <f>IF(F9=1,'Indirect Model Parameters'!$G$19,'Indirect Model Parameters'!$G$20)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IF(SUMIFS('Indirect Model Parameters'!$G$11:$G$16,'Indirect Model Parameters'!$D$11:$D$16,Pop_Init!E9,'Indirect Model Parameters'!$E$11:$E$16,Pop_Init!F9) = 0,'Indirect Model Parameters'!$G$17,'Indirect Model Parameters'!$G$18*SUMIFS('Indirect Model Parameters'!$G$11:$G$16,'Indirect Model Parameters'!$D$11:$D$16,Pop_Init!E9,'Indirect Model Parameters'!$E$11:$E$16,Pop_Init!F9))</f>
        <v>0.16500000000000001</v>
      </c>
      <c r="L9" s="9">
        <f t="shared" si="2"/>
        <v>8.2500000000000004E-2</v>
      </c>
      <c r="M9" s="9">
        <f t="shared" si="3"/>
        <v>1.4397905759162308E-2</v>
      </c>
      <c r="N9" s="38">
        <f>M9*'Indirect Model Parameters'!$G$10</f>
        <v>1439.7905759162309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269</v>
      </c>
      <c r="C10" s="8">
        <v>1</v>
      </c>
      <c r="D10" s="9">
        <v>2</v>
      </c>
      <c r="E10" s="9">
        <v>3</v>
      </c>
      <c r="F10" s="9">
        <v>1</v>
      </c>
      <c r="G10" s="40" t="str">
        <f t="shared" si="1"/>
        <v>N,1,2,3,1</v>
      </c>
      <c r="H10" s="9">
        <f>IF(F10=1,'Indirect Model Parameters'!$G$19,'Indirect Model Parameters'!$G$20)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IF(SUMIFS('Indirect Model Parameters'!$G$11:$G$16,'Indirect Model Parameters'!$D$11:$D$16,Pop_Init!E10,'Indirect Model Parameters'!$E$11:$E$16,Pop_Init!F10) = 0,'Indirect Model Parameters'!$G$17,'Indirect Model Parameters'!$G$18*SUMIFS('Indirect Model Parameters'!$G$11:$G$16,'Indirect Model Parameters'!$D$11:$D$16,Pop_Init!E10,'Indirect Model Parameters'!$E$11:$E$16,Pop_Init!F10))</f>
        <v>5.3999999999999979E-2</v>
      </c>
      <c r="L10" s="9">
        <f t="shared" si="2"/>
        <v>0</v>
      </c>
      <c r="M10" s="9">
        <f t="shared" si="3"/>
        <v>0</v>
      </c>
      <c r="N10" s="38">
        <f>M10*'Indirect Model Parameters'!$G$10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269</v>
      </c>
      <c r="C11" s="8">
        <v>1</v>
      </c>
      <c r="D11" s="9">
        <v>1</v>
      </c>
      <c r="E11" s="9">
        <v>3</v>
      </c>
      <c r="F11" s="9">
        <v>1</v>
      </c>
      <c r="G11" s="40" t="str">
        <f t="shared" si="1"/>
        <v>N,1,1,3,1</v>
      </c>
      <c r="H11" s="9">
        <f>IF(F11=1,'Indirect Model Parameters'!$G$19,'Indirect Model Parameters'!$G$20)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IF(SUMIFS('Indirect Model Parameters'!$G$11:$G$16,'Indirect Model Parameters'!$D$11:$D$16,Pop_Init!E11,'Indirect Model Parameters'!$E$11:$E$16,Pop_Init!F11) = 0,'Indirect Model Parameters'!$G$17,'Indirect Model Parameters'!$G$18*SUMIFS('Indirect Model Parameters'!$G$11:$G$16,'Indirect Model Parameters'!$D$11:$D$16,Pop_Init!E11,'Indirect Model Parameters'!$E$11:$E$16,Pop_Init!F11))</f>
        <v>5.3999999999999979E-2</v>
      </c>
      <c r="L11" s="9">
        <f t="shared" si="2"/>
        <v>2.6999999999999989E-2</v>
      </c>
      <c r="M11" s="9">
        <f t="shared" si="3"/>
        <v>4.712041884816753E-3</v>
      </c>
      <c r="N11" s="38">
        <f>M11*'Indirect Model Parameters'!$G$10</f>
        <v>471.20418848167532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269</v>
      </c>
      <c r="C12" s="8">
        <v>1</v>
      </c>
      <c r="D12" s="9">
        <v>2</v>
      </c>
      <c r="E12" s="9">
        <v>3</v>
      </c>
      <c r="F12" s="9">
        <v>2</v>
      </c>
      <c r="G12" s="40" t="str">
        <f t="shared" si="1"/>
        <v>N,1,2,3,2</v>
      </c>
      <c r="H12" s="9">
        <f>IF(F12=1,'Indirect Model Parameters'!$G$19,'Indirect Model Parameters'!$G$20)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IF(SUMIFS('Indirect Model Parameters'!$G$11:$G$16,'Indirect Model Parameters'!$D$11:$D$16,Pop_Init!E12,'Indirect Model Parameters'!$E$11:$E$16,Pop_Init!F12) = 0,'Indirect Model Parameters'!$G$17,'Indirect Model Parameters'!$G$18*SUMIFS('Indirect Model Parameters'!$G$11:$G$16,'Indirect Model Parameters'!$D$11:$D$16,Pop_Init!E12,'Indirect Model Parameters'!$E$11:$E$16,Pop_Init!F12))</f>
        <v>5.3999999999999979E-2</v>
      </c>
      <c r="L12" s="9">
        <f t="shared" si="2"/>
        <v>0</v>
      </c>
      <c r="M12" s="9">
        <f t="shared" si="3"/>
        <v>0</v>
      </c>
      <c r="N12" s="38">
        <f>M12*'Indirect Model Parameters'!$G$10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269</v>
      </c>
      <c r="C13" s="8">
        <v>1</v>
      </c>
      <c r="D13" s="9">
        <v>1</v>
      </c>
      <c r="E13" s="9">
        <v>3</v>
      </c>
      <c r="F13" s="9">
        <v>2</v>
      </c>
      <c r="G13" s="40" t="str">
        <f t="shared" si="1"/>
        <v>N,1,1,3,2</v>
      </c>
      <c r="H13" s="9">
        <f>IF(F13=1,'Indirect Model Parameters'!$G$19,'Indirect Model Parameters'!$G$20)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IF(SUMIFS('Indirect Model Parameters'!$G$11:$G$16,'Indirect Model Parameters'!$D$11:$D$16,Pop_Init!E13,'Indirect Model Parameters'!$E$11:$E$16,Pop_Init!F13) = 0,'Indirect Model Parameters'!$G$17,'Indirect Model Parameters'!$G$18*SUMIFS('Indirect Model Parameters'!$G$11:$G$16,'Indirect Model Parameters'!$D$11:$D$16,Pop_Init!E13,'Indirect Model Parameters'!$E$11:$E$16,Pop_Init!F13))</f>
        <v>5.3999999999999979E-2</v>
      </c>
      <c r="L13" s="9">
        <f t="shared" si="2"/>
        <v>2.6999999999999989E-2</v>
      </c>
      <c r="M13" s="9">
        <f t="shared" si="3"/>
        <v>4.712041884816753E-3</v>
      </c>
      <c r="N13" s="38">
        <f>M13*'Indirect Model Parameters'!$G$10</f>
        <v>471.20418848167532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269</v>
      </c>
      <c r="C14" s="8">
        <v>1</v>
      </c>
      <c r="D14" s="9">
        <v>2</v>
      </c>
      <c r="E14" s="9">
        <v>4</v>
      </c>
      <c r="F14" s="9">
        <v>1</v>
      </c>
      <c r="G14" s="40" t="str">
        <f t="shared" si="1"/>
        <v>N,1,2,4,1</v>
      </c>
      <c r="H14" s="9">
        <f>IF(F14=1,'Indirect Model Parameters'!$G$19,'Indirect Model Parameters'!$G$20)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IF(SUMIFS('Indirect Model Parameters'!$G$11:$G$16,'Indirect Model Parameters'!$D$11:$D$16,Pop_Init!E14,'Indirect Model Parameters'!$E$11:$E$16,Pop_Init!F14) = 0,'Indirect Model Parameters'!$G$17,'Indirect Model Parameters'!$G$18*SUMIFS('Indirect Model Parameters'!$G$11:$G$16,'Indirect Model Parameters'!$D$11:$D$16,Pop_Init!E14,'Indirect Model Parameters'!$E$11:$E$16,Pop_Init!F14))</f>
        <v>8.1000000000000003E-2</v>
      </c>
      <c r="L14" s="9">
        <f t="shared" si="2"/>
        <v>0</v>
      </c>
      <c r="M14" s="9">
        <f t="shared" si="3"/>
        <v>0</v>
      </c>
      <c r="N14" s="38">
        <f>M14*'Indirect Model Parameters'!$G$10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269</v>
      </c>
      <c r="C15" s="8">
        <v>1</v>
      </c>
      <c r="D15" s="9">
        <v>1</v>
      </c>
      <c r="E15" s="9">
        <v>4</v>
      </c>
      <c r="F15" s="9">
        <v>1</v>
      </c>
      <c r="G15" s="40" t="str">
        <f t="shared" si="1"/>
        <v>N,1,1,4,1</v>
      </c>
      <c r="H15" s="9">
        <f>IF(F15=1,'Indirect Model Parameters'!$G$19,'Indirect Model Parameters'!$G$20)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IF(SUMIFS('Indirect Model Parameters'!$G$11:$G$16,'Indirect Model Parameters'!$D$11:$D$16,Pop_Init!E15,'Indirect Model Parameters'!$E$11:$E$16,Pop_Init!F15) = 0,'Indirect Model Parameters'!$G$17,'Indirect Model Parameters'!$G$18*SUMIFS('Indirect Model Parameters'!$G$11:$G$16,'Indirect Model Parameters'!$D$11:$D$16,Pop_Init!E15,'Indirect Model Parameters'!$E$11:$E$16,Pop_Init!F15))</f>
        <v>8.1000000000000003E-2</v>
      </c>
      <c r="L15" s="9">
        <f t="shared" si="2"/>
        <v>4.0500000000000001E-2</v>
      </c>
      <c r="M15" s="9">
        <f t="shared" si="3"/>
        <v>7.068062827225133E-3</v>
      </c>
      <c r="N15" s="38">
        <f>M15*'Indirect Model Parameters'!$G$10</f>
        <v>706.80628272251329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269</v>
      </c>
      <c r="C16" s="8">
        <v>1</v>
      </c>
      <c r="D16" s="9">
        <v>2</v>
      </c>
      <c r="E16" s="9">
        <v>4</v>
      </c>
      <c r="F16" s="9">
        <v>2</v>
      </c>
      <c r="G16" s="40" t="str">
        <f t="shared" si="1"/>
        <v>N,1,2,4,2</v>
      </c>
      <c r="H16" s="9">
        <f>IF(F16=1,'Indirect Model Parameters'!$G$19,'Indirect Model Parameters'!$G$20)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IF(SUMIFS('Indirect Model Parameters'!$G$11:$G$16,'Indirect Model Parameters'!$D$11:$D$16,Pop_Init!E16,'Indirect Model Parameters'!$E$11:$E$16,Pop_Init!F16) = 0,'Indirect Model Parameters'!$G$17,'Indirect Model Parameters'!$G$18*SUMIFS('Indirect Model Parameters'!$G$11:$G$16,'Indirect Model Parameters'!$D$11:$D$16,Pop_Init!E16,'Indirect Model Parameters'!$E$11:$E$16,Pop_Init!F16))</f>
        <v>8.1000000000000003E-2</v>
      </c>
      <c r="L16" s="9">
        <f t="shared" si="2"/>
        <v>0</v>
      </c>
      <c r="M16" s="9">
        <f t="shared" si="3"/>
        <v>0</v>
      </c>
      <c r="N16" s="38">
        <f>M16*'Indirect Model Parameters'!$G$10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269</v>
      </c>
      <c r="C17" s="8">
        <v>1</v>
      </c>
      <c r="D17" s="9">
        <v>1</v>
      </c>
      <c r="E17" s="9">
        <v>4</v>
      </c>
      <c r="F17" s="9">
        <v>2</v>
      </c>
      <c r="G17" s="40" t="str">
        <f t="shared" si="1"/>
        <v>N,1,1,4,2</v>
      </c>
      <c r="H17" s="9">
        <f>IF(F17=1,'Indirect Model Parameters'!$G$19,'Indirect Model Parameters'!$G$20)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IF(SUMIFS('Indirect Model Parameters'!$G$11:$G$16,'Indirect Model Parameters'!$D$11:$D$16,Pop_Init!E17,'Indirect Model Parameters'!$E$11:$E$16,Pop_Init!F17) = 0,'Indirect Model Parameters'!$G$17,'Indirect Model Parameters'!$G$18*SUMIFS('Indirect Model Parameters'!$G$11:$G$16,'Indirect Model Parameters'!$D$11:$D$16,Pop_Init!E17,'Indirect Model Parameters'!$E$11:$E$16,Pop_Init!F17))</f>
        <v>8.1000000000000003E-2</v>
      </c>
      <c r="L17" s="9">
        <f t="shared" si="2"/>
        <v>4.0500000000000001E-2</v>
      </c>
      <c r="M17" s="9">
        <f t="shared" si="3"/>
        <v>7.068062827225133E-3</v>
      </c>
      <c r="N17" s="38">
        <f>M17*'Indirect Model Parameters'!$G$10</f>
        <v>706.80628272251329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269</v>
      </c>
      <c r="C18" s="8">
        <v>2</v>
      </c>
      <c r="D18" s="9">
        <v>1</v>
      </c>
      <c r="E18" s="9">
        <v>1</v>
      </c>
      <c r="F18" s="9">
        <v>1</v>
      </c>
      <c r="G18" s="40" t="str">
        <f t="shared" si="1"/>
        <v>N,2,1,1,1</v>
      </c>
      <c r="H18" s="9">
        <f>IF(F18=1,'Indirect Model Parameters'!$G$19,'Indirect Model Parameters'!$G$20)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IF(SUMIFS('Indirect Model Parameters'!$G$11:$G$16,'Indirect Model Parameters'!$D$11:$D$16,Pop_Init!E18,'Indirect Model Parameters'!$E$11:$E$16,Pop_Init!F18) = 0,'Indirect Model Parameters'!$G$17,'Indirect Model Parameters'!$G$18*SUMIFS('Indirect Model Parameters'!$G$11:$G$16,'Indirect Model Parameters'!$D$11:$D$16,Pop_Init!E18,'Indirect Model Parameters'!$E$11:$E$16,Pop_Init!F18))</f>
        <v>0.7</v>
      </c>
      <c r="L18" s="9">
        <f t="shared" si="2"/>
        <v>0.35</v>
      </c>
      <c r="M18" s="9">
        <f t="shared" si="3"/>
        <v>6.1082024432809787E-2</v>
      </c>
      <c r="N18" s="38">
        <f>M18*'Indirect Model Parameters'!$G$10</f>
        <v>6108.2024432809785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269</v>
      </c>
      <c r="C19" s="8">
        <v>2</v>
      </c>
      <c r="D19" s="9">
        <v>2</v>
      </c>
      <c r="E19" s="9">
        <v>1</v>
      </c>
      <c r="F19" s="9">
        <v>1</v>
      </c>
      <c r="G19" s="40" t="str">
        <f t="shared" si="1"/>
        <v>N,2,2,1,1</v>
      </c>
      <c r="H19" s="9">
        <f>IF(F19=1,'Indirect Model Parameters'!$G$19,'Indirect Model Parameters'!$G$20)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IF(SUMIFS('Indirect Model Parameters'!$G$11:$G$16,'Indirect Model Parameters'!$D$11:$D$16,Pop_Init!E19,'Indirect Model Parameters'!$E$11:$E$16,Pop_Init!F19) = 0,'Indirect Model Parameters'!$G$17,'Indirect Model Parameters'!$G$18*SUMIFS('Indirect Model Parameters'!$G$11:$G$16,'Indirect Model Parameters'!$D$11:$D$16,Pop_Init!E19,'Indirect Model Parameters'!$E$11:$E$16,Pop_Init!F19))</f>
        <v>0.7</v>
      </c>
      <c r="L19" s="9">
        <f t="shared" si="2"/>
        <v>0</v>
      </c>
      <c r="M19" s="9">
        <f t="shared" si="3"/>
        <v>0</v>
      </c>
      <c r="N19" s="38">
        <f>M19*'Indirect Model Parameters'!$G$10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269</v>
      </c>
      <c r="C20" s="8">
        <v>2</v>
      </c>
      <c r="D20" s="9">
        <v>1</v>
      </c>
      <c r="E20" s="9">
        <v>1</v>
      </c>
      <c r="F20" s="9">
        <v>2</v>
      </c>
      <c r="G20" s="40" t="str">
        <f t="shared" si="1"/>
        <v>N,2,1,1,2</v>
      </c>
      <c r="H20" s="9">
        <f>IF(F20=1,'Indirect Model Parameters'!$G$19,'Indirect Model Parameters'!$G$20)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IF(SUMIFS('Indirect Model Parameters'!$G$11:$G$16,'Indirect Model Parameters'!$D$11:$D$16,Pop_Init!E20,'Indirect Model Parameters'!$E$11:$E$16,Pop_Init!F20) = 0,'Indirect Model Parameters'!$G$17,'Indirect Model Parameters'!$G$18*SUMIFS('Indirect Model Parameters'!$G$11:$G$16,'Indirect Model Parameters'!$D$11:$D$16,Pop_Init!E20,'Indirect Model Parameters'!$E$11:$E$16,Pop_Init!F20))</f>
        <v>0.7</v>
      </c>
      <c r="L20" s="9">
        <f t="shared" si="2"/>
        <v>0.35</v>
      </c>
      <c r="M20" s="9">
        <f t="shared" si="3"/>
        <v>6.1082024432809787E-2</v>
      </c>
      <c r="N20" s="38">
        <f>M20*'Indirect Model Parameters'!$G$10</f>
        <v>6108.2024432809785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269</v>
      </c>
      <c r="C21" s="8">
        <v>2</v>
      </c>
      <c r="D21" s="9">
        <v>2</v>
      </c>
      <c r="E21" s="9">
        <v>1</v>
      </c>
      <c r="F21" s="9">
        <v>2</v>
      </c>
      <c r="G21" s="40" t="str">
        <f t="shared" si="1"/>
        <v>N,2,2,1,2</v>
      </c>
      <c r="H21" s="9">
        <f>IF(F21=1,'Indirect Model Parameters'!$G$19,'Indirect Model Parameters'!$G$20)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IF(SUMIFS('Indirect Model Parameters'!$G$11:$G$16,'Indirect Model Parameters'!$D$11:$D$16,Pop_Init!E21,'Indirect Model Parameters'!$E$11:$E$16,Pop_Init!F21) = 0,'Indirect Model Parameters'!$G$17,'Indirect Model Parameters'!$G$18*SUMIFS('Indirect Model Parameters'!$G$11:$G$16,'Indirect Model Parameters'!$D$11:$D$16,Pop_Init!E21,'Indirect Model Parameters'!$E$11:$E$16,Pop_Init!F21))</f>
        <v>0.7</v>
      </c>
      <c r="L21" s="9">
        <f t="shared" si="2"/>
        <v>0</v>
      </c>
      <c r="M21" s="9">
        <f t="shared" si="3"/>
        <v>0</v>
      </c>
      <c r="N21" s="38">
        <f>M21*'Indirect Model Parameters'!$G$10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269</v>
      </c>
      <c r="C22" s="8">
        <v>2</v>
      </c>
      <c r="D22" s="9">
        <v>1</v>
      </c>
      <c r="E22" s="9">
        <v>2</v>
      </c>
      <c r="F22" s="9">
        <v>1</v>
      </c>
      <c r="G22" s="40" t="str">
        <f t="shared" si="1"/>
        <v>N,2,1,2,1</v>
      </c>
      <c r="H22" s="9">
        <f>IF(F22=1,'Indirect Model Parameters'!$G$19,'Indirect Model Parameters'!$G$20)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IF(SUMIFS('Indirect Model Parameters'!$G$11:$G$16,'Indirect Model Parameters'!$D$11:$D$16,Pop_Init!E22,'Indirect Model Parameters'!$E$11:$E$16,Pop_Init!F22) = 0,'Indirect Model Parameters'!$G$17,'Indirect Model Parameters'!$G$18*SUMIFS('Indirect Model Parameters'!$G$11:$G$16,'Indirect Model Parameters'!$D$11:$D$16,Pop_Init!E22,'Indirect Model Parameters'!$E$11:$E$16,Pop_Init!F22))</f>
        <v>0.16500000000000001</v>
      </c>
      <c r="L22" s="9">
        <f t="shared" si="2"/>
        <v>8.2500000000000004E-2</v>
      </c>
      <c r="M22" s="9">
        <f t="shared" si="3"/>
        <v>1.4397905759162308E-2</v>
      </c>
      <c r="N22" s="38">
        <f>M22*'Indirect Model Parameters'!$G$10</f>
        <v>1439.7905759162309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269</v>
      </c>
      <c r="C23" s="8">
        <v>2</v>
      </c>
      <c r="D23" s="9">
        <v>2</v>
      </c>
      <c r="E23" s="9">
        <v>2</v>
      </c>
      <c r="F23" s="9">
        <v>1</v>
      </c>
      <c r="G23" s="40" t="str">
        <f t="shared" si="1"/>
        <v>N,2,2,2,1</v>
      </c>
      <c r="H23" s="9">
        <f>IF(F23=1,'Indirect Model Parameters'!$G$19,'Indirect Model Parameters'!$G$20)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IF(SUMIFS('Indirect Model Parameters'!$G$11:$G$16,'Indirect Model Parameters'!$D$11:$D$16,Pop_Init!E23,'Indirect Model Parameters'!$E$11:$E$16,Pop_Init!F23) = 0,'Indirect Model Parameters'!$G$17,'Indirect Model Parameters'!$G$18*SUMIFS('Indirect Model Parameters'!$G$11:$G$16,'Indirect Model Parameters'!$D$11:$D$16,Pop_Init!E23,'Indirect Model Parameters'!$E$11:$E$16,Pop_Init!F23))</f>
        <v>0.16500000000000001</v>
      </c>
      <c r="L23" s="9">
        <f t="shared" si="2"/>
        <v>0</v>
      </c>
      <c r="M23" s="9">
        <f t="shared" si="3"/>
        <v>0</v>
      </c>
      <c r="N23" s="38">
        <f>M23*'Indirect Model Parameters'!$G$10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269</v>
      </c>
      <c r="C24" s="8">
        <v>2</v>
      </c>
      <c r="D24" s="9">
        <v>1</v>
      </c>
      <c r="E24" s="9">
        <v>2</v>
      </c>
      <c r="F24" s="9">
        <v>2</v>
      </c>
      <c r="G24" s="40" t="str">
        <f t="shared" si="1"/>
        <v>N,2,1,2,2</v>
      </c>
      <c r="H24" s="9">
        <f>IF(F24=1,'Indirect Model Parameters'!$G$19,'Indirect Model Parameters'!$G$20)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IF(SUMIFS('Indirect Model Parameters'!$G$11:$G$16,'Indirect Model Parameters'!$D$11:$D$16,Pop_Init!E24,'Indirect Model Parameters'!$E$11:$E$16,Pop_Init!F24) = 0,'Indirect Model Parameters'!$G$17,'Indirect Model Parameters'!$G$18*SUMIFS('Indirect Model Parameters'!$G$11:$G$16,'Indirect Model Parameters'!$D$11:$D$16,Pop_Init!E24,'Indirect Model Parameters'!$E$11:$E$16,Pop_Init!F24))</f>
        <v>0.16500000000000001</v>
      </c>
      <c r="L24" s="9">
        <f t="shared" si="2"/>
        <v>8.2500000000000004E-2</v>
      </c>
      <c r="M24" s="9">
        <f t="shared" si="3"/>
        <v>1.4397905759162308E-2</v>
      </c>
      <c r="N24" s="38">
        <f>M24*'Indirect Model Parameters'!$G$10</f>
        <v>1439.7905759162309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269</v>
      </c>
      <c r="C25" s="8">
        <v>2</v>
      </c>
      <c r="D25" s="9">
        <v>2</v>
      </c>
      <c r="E25" s="9">
        <v>2</v>
      </c>
      <c r="F25" s="9">
        <v>2</v>
      </c>
      <c r="G25" s="40" t="str">
        <f t="shared" si="1"/>
        <v>N,2,2,2,2</v>
      </c>
      <c r="H25" s="9">
        <f>IF(F25=1,'Indirect Model Parameters'!$G$19,'Indirect Model Parameters'!$G$20)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IF(SUMIFS('Indirect Model Parameters'!$G$11:$G$16,'Indirect Model Parameters'!$D$11:$D$16,Pop_Init!E25,'Indirect Model Parameters'!$E$11:$E$16,Pop_Init!F25) = 0,'Indirect Model Parameters'!$G$17,'Indirect Model Parameters'!$G$18*SUMIFS('Indirect Model Parameters'!$G$11:$G$16,'Indirect Model Parameters'!$D$11:$D$16,Pop_Init!E25,'Indirect Model Parameters'!$E$11:$E$16,Pop_Init!F25))</f>
        <v>0.16500000000000001</v>
      </c>
      <c r="L25" s="9">
        <f t="shared" si="2"/>
        <v>0</v>
      </c>
      <c r="M25" s="9">
        <f t="shared" si="3"/>
        <v>0</v>
      </c>
      <c r="N25" s="38">
        <f>M25*'Indirect Model Parameters'!$G$10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269</v>
      </c>
      <c r="C26" s="8">
        <v>2</v>
      </c>
      <c r="D26" s="9">
        <v>1</v>
      </c>
      <c r="E26" s="9">
        <v>3</v>
      </c>
      <c r="F26" s="9">
        <v>1</v>
      </c>
      <c r="G26" s="40" t="str">
        <f t="shared" si="1"/>
        <v>N,2,1,3,1</v>
      </c>
      <c r="H26" s="9">
        <f>IF(F26=1,'Indirect Model Parameters'!$G$19,'Indirect Model Parameters'!$G$20)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IF(SUMIFS('Indirect Model Parameters'!$G$11:$G$16,'Indirect Model Parameters'!$D$11:$D$16,Pop_Init!E26,'Indirect Model Parameters'!$E$11:$E$16,Pop_Init!F26) = 0,'Indirect Model Parameters'!$G$17,'Indirect Model Parameters'!$G$18*SUMIFS('Indirect Model Parameters'!$G$11:$G$16,'Indirect Model Parameters'!$D$11:$D$16,Pop_Init!E26,'Indirect Model Parameters'!$E$11:$E$16,Pop_Init!F26))</f>
        <v>5.3999999999999979E-2</v>
      </c>
      <c r="L26" s="9">
        <f t="shared" si="2"/>
        <v>2.6999999999999989E-2</v>
      </c>
      <c r="M26" s="9">
        <f t="shared" si="3"/>
        <v>4.712041884816753E-3</v>
      </c>
      <c r="N26" s="38">
        <f>M26*'Indirect Model Parameters'!$G$10</f>
        <v>471.20418848167532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269</v>
      </c>
      <c r="C27" s="8">
        <v>2</v>
      </c>
      <c r="D27" s="9">
        <v>2</v>
      </c>
      <c r="E27" s="9">
        <v>3</v>
      </c>
      <c r="F27" s="9">
        <v>1</v>
      </c>
      <c r="G27" s="40" t="str">
        <f t="shared" si="1"/>
        <v>N,2,2,3,1</v>
      </c>
      <c r="H27" s="9">
        <f>IF(F27=1,'Indirect Model Parameters'!$G$19,'Indirect Model Parameters'!$G$20)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IF(SUMIFS('Indirect Model Parameters'!$G$11:$G$16,'Indirect Model Parameters'!$D$11:$D$16,Pop_Init!E27,'Indirect Model Parameters'!$E$11:$E$16,Pop_Init!F27) = 0,'Indirect Model Parameters'!$G$17,'Indirect Model Parameters'!$G$18*SUMIFS('Indirect Model Parameters'!$G$11:$G$16,'Indirect Model Parameters'!$D$11:$D$16,Pop_Init!E27,'Indirect Model Parameters'!$E$11:$E$16,Pop_Init!F27))</f>
        <v>5.3999999999999979E-2</v>
      </c>
      <c r="L27" s="9">
        <f t="shared" si="2"/>
        <v>0</v>
      </c>
      <c r="M27" s="9">
        <f t="shared" si="3"/>
        <v>0</v>
      </c>
      <c r="N27" s="38">
        <f>M27*'Indirect Model Parameters'!$G$10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269</v>
      </c>
      <c r="C28" s="8">
        <v>2</v>
      </c>
      <c r="D28" s="9">
        <v>1</v>
      </c>
      <c r="E28" s="9">
        <v>3</v>
      </c>
      <c r="F28" s="9">
        <v>2</v>
      </c>
      <c r="G28" s="40" t="str">
        <f t="shared" si="1"/>
        <v>N,2,1,3,2</v>
      </c>
      <c r="H28" s="9">
        <f>IF(F28=1,'Indirect Model Parameters'!$G$19,'Indirect Model Parameters'!$G$20)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IF(SUMIFS('Indirect Model Parameters'!$G$11:$G$16,'Indirect Model Parameters'!$D$11:$D$16,Pop_Init!E28,'Indirect Model Parameters'!$E$11:$E$16,Pop_Init!F28) = 0,'Indirect Model Parameters'!$G$17,'Indirect Model Parameters'!$G$18*SUMIFS('Indirect Model Parameters'!$G$11:$G$16,'Indirect Model Parameters'!$D$11:$D$16,Pop_Init!E28,'Indirect Model Parameters'!$E$11:$E$16,Pop_Init!F28))</f>
        <v>5.3999999999999979E-2</v>
      </c>
      <c r="L28" s="9">
        <f t="shared" si="2"/>
        <v>2.6999999999999989E-2</v>
      </c>
      <c r="M28" s="9">
        <f t="shared" si="3"/>
        <v>4.712041884816753E-3</v>
      </c>
      <c r="N28" s="38">
        <f>M28*'Indirect Model Parameters'!$G$10</f>
        <v>471.20418848167532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269</v>
      </c>
      <c r="C29" s="8">
        <v>2</v>
      </c>
      <c r="D29" s="9">
        <v>2</v>
      </c>
      <c r="E29" s="9">
        <v>3</v>
      </c>
      <c r="F29" s="9">
        <v>2</v>
      </c>
      <c r="G29" s="40" t="str">
        <f t="shared" si="1"/>
        <v>N,2,2,3,2</v>
      </c>
      <c r="H29" s="9">
        <f>IF(F29=1,'Indirect Model Parameters'!$G$19,'Indirect Model Parameters'!$G$20)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IF(SUMIFS('Indirect Model Parameters'!$G$11:$G$16,'Indirect Model Parameters'!$D$11:$D$16,Pop_Init!E29,'Indirect Model Parameters'!$E$11:$E$16,Pop_Init!F29) = 0,'Indirect Model Parameters'!$G$17,'Indirect Model Parameters'!$G$18*SUMIFS('Indirect Model Parameters'!$G$11:$G$16,'Indirect Model Parameters'!$D$11:$D$16,Pop_Init!E29,'Indirect Model Parameters'!$E$11:$E$16,Pop_Init!F29))</f>
        <v>5.3999999999999979E-2</v>
      </c>
      <c r="L29" s="9">
        <f t="shared" si="2"/>
        <v>0</v>
      </c>
      <c r="M29" s="9">
        <f t="shared" si="3"/>
        <v>0</v>
      </c>
      <c r="N29" s="38">
        <f>M29*'Indirect Model Parameters'!$G$10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269</v>
      </c>
      <c r="C30" s="8">
        <v>2</v>
      </c>
      <c r="D30" s="9">
        <v>1</v>
      </c>
      <c r="E30" s="9">
        <v>4</v>
      </c>
      <c r="F30" s="9">
        <v>1</v>
      </c>
      <c r="G30" s="40" t="str">
        <f t="shared" si="1"/>
        <v>N,2,1,4,1</v>
      </c>
      <c r="H30" s="9">
        <f>IF(F30=1,'Indirect Model Parameters'!$G$19,'Indirect Model Parameters'!$G$20)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IF(SUMIFS('Indirect Model Parameters'!$G$11:$G$16,'Indirect Model Parameters'!$D$11:$D$16,Pop_Init!E30,'Indirect Model Parameters'!$E$11:$E$16,Pop_Init!F30) = 0,'Indirect Model Parameters'!$G$17,'Indirect Model Parameters'!$G$18*SUMIFS('Indirect Model Parameters'!$G$11:$G$16,'Indirect Model Parameters'!$D$11:$D$16,Pop_Init!E30,'Indirect Model Parameters'!$E$11:$E$16,Pop_Init!F30))</f>
        <v>8.1000000000000003E-2</v>
      </c>
      <c r="L30" s="9">
        <f t="shared" si="2"/>
        <v>4.0500000000000001E-2</v>
      </c>
      <c r="M30" s="9">
        <f t="shared" si="3"/>
        <v>7.068062827225133E-3</v>
      </c>
      <c r="N30" s="38">
        <f>M30*'Indirect Model Parameters'!$G$10</f>
        <v>706.80628272251329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269</v>
      </c>
      <c r="C31" s="8">
        <v>2</v>
      </c>
      <c r="D31" s="9">
        <v>2</v>
      </c>
      <c r="E31" s="9">
        <v>4</v>
      </c>
      <c r="F31" s="9">
        <v>1</v>
      </c>
      <c r="G31" s="40" t="str">
        <f t="shared" si="1"/>
        <v>N,2,2,4,1</v>
      </c>
      <c r="H31" s="9">
        <f>IF(F31=1,'Indirect Model Parameters'!$G$19,'Indirect Model Parameters'!$G$20)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IF(SUMIFS('Indirect Model Parameters'!$G$11:$G$16,'Indirect Model Parameters'!$D$11:$D$16,Pop_Init!E31,'Indirect Model Parameters'!$E$11:$E$16,Pop_Init!F31) = 0,'Indirect Model Parameters'!$G$17,'Indirect Model Parameters'!$G$18*SUMIFS('Indirect Model Parameters'!$G$11:$G$16,'Indirect Model Parameters'!$D$11:$D$16,Pop_Init!E31,'Indirect Model Parameters'!$E$11:$E$16,Pop_Init!F31))</f>
        <v>8.1000000000000003E-2</v>
      </c>
      <c r="L31" s="9">
        <f t="shared" si="2"/>
        <v>0</v>
      </c>
      <c r="M31" s="9">
        <f t="shared" si="3"/>
        <v>0</v>
      </c>
      <c r="N31" s="38">
        <f>M31*'Indirect Model Parameters'!$G$10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269</v>
      </c>
      <c r="C32" s="8">
        <v>2</v>
      </c>
      <c r="D32" s="9">
        <v>1</v>
      </c>
      <c r="E32" s="9">
        <v>4</v>
      </c>
      <c r="F32" s="9">
        <v>2</v>
      </c>
      <c r="G32" s="40" t="str">
        <f t="shared" si="1"/>
        <v>N,2,1,4,2</v>
      </c>
      <c r="H32" s="9">
        <f>IF(F32=1,'Indirect Model Parameters'!$G$19,'Indirect Model Parameters'!$G$20)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IF(SUMIFS('Indirect Model Parameters'!$G$11:$G$16,'Indirect Model Parameters'!$D$11:$D$16,Pop_Init!E32,'Indirect Model Parameters'!$E$11:$E$16,Pop_Init!F32) = 0,'Indirect Model Parameters'!$G$17,'Indirect Model Parameters'!$G$18*SUMIFS('Indirect Model Parameters'!$G$11:$G$16,'Indirect Model Parameters'!$D$11:$D$16,Pop_Init!E32,'Indirect Model Parameters'!$E$11:$E$16,Pop_Init!F32))</f>
        <v>8.1000000000000003E-2</v>
      </c>
      <c r="L32" s="9">
        <f t="shared" si="2"/>
        <v>4.0500000000000001E-2</v>
      </c>
      <c r="M32" s="9">
        <f t="shared" si="3"/>
        <v>7.068062827225133E-3</v>
      </c>
      <c r="N32" s="38">
        <f>M32*'Indirect Model Parameters'!$G$10</f>
        <v>706.80628272251329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269</v>
      </c>
      <c r="C33" s="8">
        <v>2</v>
      </c>
      <c r="D33" s="9">
        <v>2</v>
      </c>
      <c r="E33" s="9">
        <v>4</v>
      </c>
      <c r="F33" s="9">
        <v>2</v>
      </c>
      <c r="G33" s="40" t="str">
        <f t="shared" si="1"/>
        <v>N,2,2,4,2</v>
      </c>
      <c r="H33" s="9">
        <f>IF(F33=1,'Indirect Model Parameters'!$G$19,'Indirect Model Parameters'!$G$20)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IF(SUMIFS('Indirect Model Parameters'!$G$11:$G$16,'Indirect Model Parameters'!$D$11:$D$16,Pop_Init!E33,'Indirect Model Parameters'!$E$11:$E$16,Pop_Init!F33) = 0,'Indirect Model Parameters'!$G$17,'Indirect Model Parameters'!$G$18*SUMIFS('Indirect Model Parameters'!$G$11:$G$16,'Indirect Model Parameters'!$D$11:$D$16,Pop_Init!E33,'Indirect Model Parameters'!$E$11:$E$16,Pop_Init!F33))</f>
        <v>8.1000000000000003E-2</v>
      </c>
      <c r="L33" s="9">
        <f t="shared" si="2"/>
        <v>0</v>
      </c>
      <c r="M33" s="9">
        <f t="shared" si="3"/>
        <v>0</v>
      </c>
      <c r="N33" s="38">
        <f>M33*'Indirect Model Parameters'!$G$10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269</v>
      </c>
      <c r="C34" s="8">
        <v>3</v>
      </c>
      <c r="D34" s="9">
        <v>1</v>
      </c>
      <c r="E34" s="9">
        <v>1</v>
      </c>
      <c r="F34" s="9">
        <v>1</v>
      </c>
      <c r="G34" s="40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Parameters'!$G$21,'Indirect Model Parameters'!$G$22)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0.7</v>
      </c>
      <c r="J34" s="9">
        <f>IF(SUMIFS('Indirect Model Parameters'!$G$11:$G$16,'Indirect Model Parameters'!$D$11:$D$16,Pop_Init!E34,'Indirect Model Parameters'!$E$11:$E$16,Pop_Init!F34) = 0,'Indirect Model Parameters'!$G$17,'Indirect Model Parameters'!$G$18*SUMIFS('Indirect Model Parameters'!$G$11:$G$16,'Indirect Model Parameters'!$D$11:$D$16,Pop_Init!E34,'Indirect Model Parameters'!$E$11:$E$16,Pop_Init!F34))</f>
        <v>0.7</v>
      </c>
      <c r="L34" s="9">
        <f t="shared" si="2"/>
        <v>0.24009999999999995</v>
      </c>
      <c r="M34" s="9">
        <f t="shared" si="3"/>
        <v>4.1902268760907503E-2</v>
      </c>
      <c r="N34" s="38">
        <f>M34*'Indirect Model Parameters'!$G$10</f>
        <v>4190.22687609075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269</v>
      </c>
      <c r="C35" s="8">
        <v>3</v>
      </c>
      <c r="D35" s="9">
        <v>2</v>
      </c>
      <c r="E35" s="9">
        <v>1</v>
      </c>
      <c r="F35" s="9">
        <v>1</v>
      </c>
      <c r="G35" s="40" t="str">
        <f t="shared" si="5"/>
        <v>N,3,2,1,1</v>
      </c>
      <c r="H35" s="9">
        <f>IF(F35=1,'Indirect Model Parameters'!$G$21,'Indirect Model Parameters'!$G$22)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0.3</v>
      </c>
      <c r="J35" s="9">
        <f>IF(SUMIFS('Indirect Model Parameters'!$G$11:$G$16,'Indirect Model Parameters'!$D$11:$D$16,Pop_Init!E35,'Indirect Model Parameters'!$E$11:$E$16,Pop_Init!F35) = 0,'Indirect Model Parameters'!$G$17,'Indirect Model Parameters'!$G$18*SUMIFS('Indirect Model Parameters'!$G$11:$G$16,'Indirect Model Parameters'!$D$11:$D$16,Pop_Init!E35,'Indirect Model Parameters'!$E$11:$E$16,Pop_Init!F35))</f>
        <v>0.7</v>
      </c>
      <c r="L35" s="9">
        <f t="shared" si="2"/>
        <v>0.10289999999999999</v>
      </c>
      <c r="M35" s="9">
        <f t="shared" si="3"/>
        <v>1.7958115183246075E-2</v>
      </c>
      <c r="N35" s="38">
        <f>M35*'Indirect Model Parameters'!$G$10</f>
        <v>1795.8115183246075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269</v>
      </c>
      <c r="C36" s="8">
        <v>3</v>
      </c>
      <c r="D36" s="9">
        <v>1</v>
      </c>
      <c r="E36" s="9">
        <v>1</v>
      </c>
      <c r="F36" s="9">
        <v>2</v>
      </c>
      <c r="G36" s="40" t="str">
        <f t="shared" si="5"/>
        <v>N,3,1,1,2</v>
      </c>
      <c r="H36" s="9">
        <f>IF(F36=1,'Indirect Model Parameters'!$G$21,'Indirect Model Parameters'!$G$22)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0.7</v>
      </c>
      <c r="J36" s="9">
        <f>IF(SUMIFS('Indirect Model Parameters'!$G$11:$G$16,'Indirect Model Parameters'!$D$11:$D$16,Pop_Init!E36,'Indirect Model Parameters'!$E$11:$E$16,Pop_Init!F36) = 0,'Indirect Model Parameters'!$G$17,'Indirect Model Parameters'!$G$18*SUMIFS('Indirect Model Parameters'!$G$11:$G$16,'Indirect Model Parameters'!$D$11:$D$16,Pop_Init!E36,'Indirect Model Parameters'!$E$11:$E$16,Pop_Init!F36))</f>
        <v>0.7</v>
      </c>
      <c r="L36" s="9">
        <f t="shared" si="2"/>
        <v>0.24009999999999995</v>
      </c>
      <c r="M36" s="9">
        <f t="shared" si="3"/>
        <v>4.1902268760907503E-2</v>
      </c>
      <c r="N36" s="38">
        <f>M36*'Indirect Model Parameters'!$G$10</f>
        <v>4190.22687609075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269</v>
      </c>
      <c r="C37" s="8">
        <v>3</v>
      </c>
      <c r="D37" s="9">
        <v>2</v>
      </c>
      <c r="E37" s="9">
        <v>1</v>
      </c>
      <c r="F37" s="9">
        <v>2</v>
      </c>
      <c r="G37" s="40" t="str">
        <f t="shared" si="5"/>
        <v>N,3,2,1,2</v>
      </c>
      <c r="H37" s="9">
        <f>IF(F37=1,'Indirect Model Parameters'!$G$21,'Indirect Model Parameters'!$G$22)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0.3</v>
      </c>
      <c r="J37" s="9">
        <f>IF(SUMIFS('Indirect Model Parameters'!$G$11:$G$16,'Indirect Model Parameters'!$D$11:$D$16,Pop_Init!E37,'Indirect Model Parameters'!$E$11:$E$16,Pop_Init!F37) = 0,'Indirect Model Parameters'!$G$17,'Indirect Model Parameters'!$G$18*SUMIFS('Indirect Model Parameters'!$G$11:$G$16,'Indirect Model Parameters'!$D$11:$D$16,Pop_Init!E37,'Indirect Model Parameters'!$E$11:$E$16,Pop_Init!F37))</f>
        <v>0.7</v>
      </c>
      <c r="L37" s="9">
        <f t="shared" si="2"/>
        <v>0.10289999999999999</v>
      </c>
      <c r="M37" s="9">
        <f t="shared" si="3"/>
        <v>1.7958115183246075E-2</v>
      </c>
      <c r="N37" s="38">
        <f>M37*'Indirect Model Parameters'!$G$10</f>
        <v>1795.8115183246075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269</v>
      </c>
      <c r="C38" s="8">
        <v>3</v>
      </c>
      <c r="D38" s="9">
        <v>1</v>
      </c>
      <c r="E38" s="9">
        <v>2</v>
      </c>
      <c r="F38" s="9">
        <v>1</v>
      </c>
      <c r="G38" s="40" t="str">
        <f t="shared" si="5"/>
        <v>N,3,1,2,1</v>
      </c>
      <c r="H38" s="9">
        <f>IF(F38=1,'Indirect Model Parameters'!$G$23,'Indirect Model Parameters'!$G$24)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0.3</v>
      </c>
      <c r="J38" s="9">
        <f>IF(SUMIFS('Indirect Model Parameters'!$G$11:$G$16,'Indirect Model Parameters'!$D$11:$D$16,Pop_Init!E38,'Indirect Model Parameters'!$E$11:$E$16,Pop_Init!F38) = 0,'Indirect Model Parameters'!$G$17,'Indirect Model Parameters'!$G$18*SUMIFS('Indirect Model Parameters'!$G$11:$G$16,'Indirect Model Parameters'!$D$11:$D$16,Pop_Init!E38,'Indirect Model Parameters'!$E$11:$E$16,Pop_Init!F38))</f>
        <v>0.16500000000000001</v>
      </c>
      <c r="L38" s="9">
        <f t="shared" si="2"/>
        <v>2.4750000000000001E-2</v>
      </c>
      <c r="M38" s="9">
        <f t="shared" si="3"/>
        <v>4.3193717277486927E-3</v>
      </c>
      <c r="N38" s="38">
        <f>M38*'Indirect Model Parameters'!$G$10</f>
        <v>431.93717277486928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269</v>
      </c>
      <c r="C39" s="8">
        <v>3</v>
      </c>
      <c r="D39" s="9">
        <v>2</v>
      </c>
      <c r="E39" s="9">
        <v>2</v>
      </c>
      <c r="F39" s="9">
        <v>1</v>
      </c>
      <c r="G39" s="40" t="str">
        <f t="shared" si="5"/>
        <v>N,3,2,2,1</v>
      </c>
      <c r="H39" s="9">
        <f>IF(F39=1,'Indirect Model Parameters'!$G$23,'Indirect Model Parameters'!$G$24)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0.3</v>
      </c>
      <c r="J39" s="9">
        <f>IF(SUMIFS('Indirect Model Parameters'!$G$11:$G$16,'Indirect Model Parameters'!$D$11:$D$16,Pop_Init!E39,'Indirect Model Parameters'!$E$11:$E$16,Pop_Init!F39) = 0,'Indirect Model Parameters'!$G$17,'Indirect Model Parameters'!$G$18*SUMIFS('Indirect Model Parameters'!$G$11:$G$16,'Indirect Model Parameters'!$D$11:$D$16,Pop_Init!E39,'Indirect Model Parameters'!$E$11:$E$16,Pop_Init!F39))</f>
        <v>0.16500000000000001</v>
      </c>
      <c r="L39" s="9">
        <f t="shared" si="2"/>
        <v>2.4750000000000001E-2</v>
      </c>
      <c r="M39" s="9">
        <f t="shared" si="3"/>
        <v>4.3193717277486927E-3</v>
      </c>
      <c r="N39" s="38">
        <f>M39*'Indirect Model Parameters'!$G$10</f>
        <v>431.93717277486928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269</v>
      </c>
      <c r="C40" s="8">
        <v>3</v>
      </c>
      <c r="D40" s="9">
        <v>1</v>
      </c>
      <c r="E40" s="9">
        <v>2</v>
      </c>
      <c r="F40" s="9">
        <v>2</v>
      </c>
      <c r="G40" s="40" t="str">
        <f t="shared" si="5"/>
        <v>N,3,1,2,2</v>
      </c>
      <c r="H40" s="9">
        <f>IF(F40=1,'Indirect Model Parameters'!$G$23,'Indirect Model Parameters'!$G$24)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0.3</v>
      </c>
      <c r="J40" s="9">
        <f>IF(SUMIFS('Indirect Model Parameters'!$G$11:$G$16,'Indirect Model Parameters'!$D$11:$D$16,Pop_Init!E40,'Indirect Model Parameters'!$E$11:$E$16,Pop_Init!F40) = 0,'Indirect Model Parameters'!$G$17,'Indirect Model Parameters'!$G$18*SUMIFS('Indirect Model Parameters'!$G$11:$G$16,'Indirect Model Parameters'!$D$11:$D$16,Pop_Init!E40,'Indirect Model Parameters'!$E$11:$E$16,Pop_Init!F40))</f>
        <v>0.16500000000000001</v>
      </c>
      <c r="L40" s="9">
        <f t="shared" si="2"/>
        <v>2.4750000000000001E-2</v>
      </c>
      <c r="M40" s="9">
        <f t="shared" si="3"/>
        <v>4.3193717277486927E-3</v>
      </c>
      <c r="N40" s="38">
        <f>M40*'Indirect Model Parameters'!$G$10</f>
        <v>431.93717277486928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269</v>
      </c>
      <c r="C41" s="8">
        <v>3</v>
      </c>
      <c r="D41" s="9">
        <v>2</v>
      </c>
      <c r="E41" s="9">
        <v>2</v>
      </c>
      <c r="F41" s="9">
        <v>2</v>
      </c>
      <c r="G41" s="40" t="str">
        <f t="shared" si="5"/>
        <v>N,3,2,2,2</v>
      </c>
      <c r="H41" s="9">
        <f>IF(F41=1,'Indirect Model Parameters'!$G$23,'Indirect Model Parameters'!$G$24)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0.3</v>
      </c>
      <c r="J41" s="9">
        <f>IF(SUMIFS('Indirect Model Parameters'!$G$11:$G$16,'Indirect Model Parameters'!$D$11:$D$16,Pop_Init!E41,'Indirect Model Parameters'!$E$11:$E$16,Pop_Init!F41) = 0,'Indirect Model Parameters'!$G$17,'Indirect Model Parameters'!$G$18*SUMIFS('Indirect Model Parameters'!$G$11:$G$16,'Indirect Model Parameters'!$D$11:$D$16,Pop_Init!E41,'Indirect Model Parameters'!$E$11:$E$16,Pop_Init!F41))</f>
        <v>0.16500000000000001</v>
      </c>
      <c r="L41" s="9">
        <f t="shared" si="2"/>
        <v>2.4750000000000001E-2</v>
      </c>
      <c r="M41" s="9">
        <f t="shared" si="3"/>
        <v>4.3193717277486927E-3</v>
      </c>
      <c r="N41" s="38">
        <f>M41*'Indirect Model Parameters'!$G$10</f>
        <v>431.93717277486928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269</v>
      </c>
      <c r="C42" s="8">
        <v>3</v>
      </c>
      <c r="D42" s="9">
        <v>1</v>
      </c>
      <c r="E42" s="9">
        <v>3</v>
      </c>
      <c r="F42" s="9">
        <v>1</v>
      </c>
      <c r="G42" s="40" t="str">
        <f t="shared" si="5"/>
        <v>N,3,1,3,1</v>
      </c>
      <c r="H42" s="9">
        <f>IF(F42=1,'Indirect Model Parameters'!$G$23,'Indirect Model Parameters'!$G$24)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0.3</v>
      </c>
      <c r="J42" s="9">
        <f>IF(SUMIFS('Indirect Model Parameters'!$G$11:$G$16,'Indirect Model Parameters'!$D$11:$D$16,Pop_Init!E42,'Indirect Model Parameters'!$E$11:$E$16,Pop_Init!F42) = 0,'Indirect Model Parameters'!$G$17,'Indirect Model Parameters'!$G$18*SUMIFS('Indirect Model Parameters'!$G$11:$G$16,'Indirect Model Parameters'!$D$11:$D$16,Pop_Init!E42,'Indirect Model Parameters'!$E$11:$E$16,Pop_Init!F42))</f>
        <v>5.3999999999999979E-2</v>
      </c>
      <c r="L42" s="9">
        <f t="shared" si="2"/>
        <v>8.0999999999999961E-3</v>
      </c>
      <c r="M42" s="9">
        <f t="shared" si="3"/>
        <v>1.4136125654450257E-3</v>
      </c>
      <c r="N42" s="38">
        <f>M42*'Indirect Model Parameters'!$G$10</f>
        <v>141.36125654450257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269</v>
      </c>
      <c r="C43" s="8">
        <v>3</v>
      </c>
      <c r="D43" s="9">
        <v>2</v>
      </c>
      <c r="E43" s="9">
        <v>3</v>
      </c>
      <c r="F43" s="9">
        <v>1</v>
      </c>
      <c r="G43" s="40" t="str">
        <f t="shared" si="5"/>
        <v>N,3,2,3,1</v>
      </c>
      <c r="H43" s="9">
        <f>IF(F43=1,'Indirect Model Parameters'!$G$23,'Indirect Model Parameters'!$G$24)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0.3</v>
      </c>
      <c r="J43" s="9">
        <f>IF(SUMIFS('Indirect Model Parameters'!$G$11:$G$16,'Indirect Model Parameters'!$D$11:$D$16,Pop_Init!E43,'Indirect Model Parameters'!$E$11:$E$16,Pop_Init!F43) = 0,'Indirect Model Parameters'!$G$17,'Indirect Model Parameters'!$G$18*SUMIFS('Indirect Model Parameters'!$G$11:$G$16,'Indirect Model Parameters'!$D$11:$D$16,Pop_Init!E43,'Indirect Model Parameters'!$E$11:$E$16,Pop_Init!F43))</f>
        <v>5.3999999999999979E-2</v>
      </c>
      <c r="L43" s="9">
        <f t="shared" si="2"/>
        <v>8.0999999999999961E-3</v>
      </c>
      <c r="M43" s="9">
        <f t="shared" si="3"/>
        <v>1.4136125654450257E-3</v>
      </c>
      <c r="N43" s="38">
        <f>M43*'Indirect Model Parameters'!$G$10</f>
        <v>141.36125654450257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269</v>
      </c>
      <c r="C44" s="8">
        <v>3</v>
      </c>
      <c r="D44" s="9">
        <v>1</v>
      </c>
      <c r="E44" s="9">
        <v>3</v>
      </c>
      <c r="F44" s="9">
        <v>2</v>
      </c>
      <c r="G44" s="40" t="str">
        <f t="shared" si="5"/>
        <v>N,3,1,3,2</v>
      </c>
      <c r="H44" s="9">
        <f>IF(F44=1,'Indirect Model Parameters'!$G$23,'Indirect Model Parameters'!$G$24)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0.3</v>
      </c>
      <c r="J44" s="9">
        <f>IF(SUMIFS('Indirect Model Parameters'!$G$11:$G$16,'Indirect Model Parameters'!$D$11:$D$16,Pop_Init!E44,'Indirect Model Parameters'!$E$11:$E$16,Pop_Init!F44) = 0,'Indirect Model Parameters'!$G$17,'Indirect Model Parameters'!$G$18*SUMIFS('Indirect Model Parameters'!$G$11:$G$16,'Indirect Model Parameters'!$D$11:$D$16,Pop_Init!E44,'Indirect Model Parameters'!$E$11:$E$16,Pop_Init!F44))</f>
        <v>5.3999999999999979E-2</v>
      </c>
      <c r="L44" s="9">
        <f t="shared" si="2"/>
        <v>8.0999999999999961E-3</v>
      </c>
      <c r="M44" s="9">
        <f t="shared" si="3"/>
        <v>1.4136125654450257E-3</v>
      </c>
      <c r="N44" s="38">
        <f>M44*'Indirect Model Parameters'!$G$10</f>
        <v>141.36125654450257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269</v>
      </c>
      <c r="C45" s="8">
        <v>3</v>
      </c>
      <c r="D45" s="9">
        <v>2</v>
      </c>
      <c r="E45" s="9">
        <v>3</v>
      </c>
      <c r="F45" s="9">
        <v>2</v>
      </c>
      <c r="G45" s="40" t="str">
        <f t="shared" si="5"/>
        <v>N,3,2,3,2</v>
      </c>
      <c r="H45" s="9">
        <f>IF(F45=1,'Indirect Model Parameters'!$G$23,'Indirect Model Parameters'!$G$24)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0.3</v>
      </c>
      <c r="J45" s="9">
        <f>IF(SUMIFS('Indirect Model Parameters'!$G$11:$G$16,'Indirect Model Parameters'!$D$11:$D$16,Pop_Init!E45,'Indirect Model Parameters'!$E$11:$E$16,Pop_Init!F45) = 0,'Indirect Model Parameters'!$G$17,'Indirect Model Parameters'!$G$18*SUMIFS('Indirect Model Parameters'!$G$11:$G$16,'Indirect Model Parameters'!$D$11:$D$16,Pop_Init!E45,'Indirect Model Parameters'!$E$11:$E$16,Pop_Init!F45))</f>
        <v>5.3999999999999979E-2</v>
      </c>
      <c r="L45" s="9">
        <f t="shared" si="2"/>
        <v>8.0999999999999961E-3</v>
      </c>
      <c r="M45" s="9">
        <f t="shared" si="3"/>
        <v>1.4136125654450257E-3</v>
      </c>
      <c r="N45" s="38">
        <f>M45*'Indirect Model Parameters'!$G$10</f>
        <v>141.36125654450257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269</v>
      </c>
      <c r="C46" s="8">
        <v>3</v>
      </c>
      <c r="D46" s="9">
        <v>1</v>
      </c>
      <c r="E46" s="9">
        <v>4</v>
      </c>
      <c r="F46" s="9">
        <v>1</v>
      </c>
      <c r="G46" s="40" t="str">
        <f t="shared" si="5"/>
        <v>N,3,1,4,1</v>
      </c>
      <c r="H46" s="9">
        <f>IF(F46=1,'Indirect Model Parameters'!$G$23,'Indirect Model Parameters'!$G$24)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0.3</v>
      </c>
      <c r="J46" s="9">
        <f>IF(SUMIFS('Indirect Model Parameters'!$G$11:$G$16,'Indirect Model Parameters'!$D$11:$D$16,Pop_Init!E46,'Indirect Model Parameters'!$E$11:$E$16,Pop_Init!F46) = 0,'Indirect Model Parameters'!$G$17,'Indirect Model Parameters'!$G$18*SUMIFS('Indirect Model Parameters'!$G$11:$G$16,'Indirect Model Parameters'!$D$11:$D$16,Pop_Init!E46,'Indirect Model Parameters'!$E$11:$E$16,Pop_Init!F46))</f>
        <v>8.1000000000000003E-2</v>
      </c>
      <c r="L46" s="9">
        <f t="shared" si="2"/>
        <v>1.2149999999999999E-2</v>
      </c>
      <c r="M46" s="9">
        <f t="shared" si="3"/>
        <v>2.1204188481675395E-3</v>
      </c>
      <c r="N46" s="38">
        <f>M46*'Indirect Model Parameters'!$G$10</f>
        <v>212.04188481675394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269</v>
      </c>
      <c r="C47" s="8">
        <v>3</v>
      </c>
      <c r="D47" s="9">
        <v>2</v>
      </c>
      <c r="E47" s="9">
        <v>4</v>
      </c>
      <c r="F47" s="9">
        <v>1</v>
      </c>
      <c r="G47" s="40" t="str">
        <f t="shared" si="5"/>
        <v>N,3,2,4,1</v>
      </c>
      <c r="H47" s="9">
        <f>IF(F47=1,'Indirect Model Parameters'!$G$23,'Indirect Model Parameters'!$G$24)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0.3</v>
      </c>
      <c r="J47" s="9">
        <f>IF(SUMIFS('Indirect Model Parameters'!$G$11:$G$16,'Indirect Model Parameters'!$D$11:$D$16,Pop_Init!E47,'Indirect Model Parameters'!$E$11:$E$16,Pop_Init!F47) = 0,'Indirect Model Parameters'!$G$17,'Indirect Model Parameters'!$G$18*SUMIFS('Indirect Model Parameters'!$G$11:$G$16,'Indirect Model Parameters'!$D$11:$D$16,Pop_Init!E47,'Indirect Model Parameters'!$E$11:$E$16,Pop_Init!F47))</f>
        <v>8.1000000000000003E-2</v>
      </c>
      <c r="L47" s="9">
        <f t="shared" si="2"/>
        <v>1.2149999999999999E-2</v>
      </c>
      <c r="M47" s="9">
        <f t="shared" si="3"/>
        <v>2.1204188481675395E-3</v>
      </c>
      <c r="N47" s="38">
        <f>M47*'Indirect Model Parameters'!$G$10</f>
        <v>212.04188481675394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269</v>
      </c>
      <c r="C48" s="8">
        <v>3</v>
      </c>
      <c r="D48" s="9">
        <v>1</v>
      </c>
      <c r="E48" s="9">
        <v>4</v>
      </c>
      <c r="F48" s="9">
        <v>2</v>
      </c>
      <c r="G48" s="40" t="str">
        <f t="shared" si="5"/>
        <v>N,3,1,4,2</v>
      </c>
      <c r="H48" s="9">
        <f>IF(F48=1,'Indirect Model Parameters'!$G$23,'Indirect Model Parameters'!$G$24)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0.3</v>
      </c>
      <c r="J48" s="9">
        <f>IF(SUMIFS('Indirect Model Parameters'!$G$11:$G$16,'Indirect Model Parameters'!$D$11:$D$16,Pop_Init!E48,'Indirect Model Parameters'!$E$11:$E$16,Pop_Init!F48) = 0,'Indirect Model Parameters'!$G$17,'Indirect Model Parameters'!$G$18*SUMIFS('Indirect Model Parameters'!$G$11:$G$16,'Indirect Model Parameters'!$D$11:$D$16,Pop_Init!E48,'Indirect Model Parameters'!$E$11:$E$16,Pop_Init!F48))</f>
        <v>8.1000000000000003E-2</v>
      </c>
      <c r="L48" s="9">
        <f t="shared" si="2"/>
        <v>1.2149999999999999E-2</v>
      </c>
      <c r="M48" s="9">
        <f t="shared" si="3"/>
        <v>2.1204188481675395E-3</v>
      </c>
      <c r="N48" s="38">
        <f>M48*'Indirect Model Parameters'!$G$10</f>
        <v>212.04188481675394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269</v>
      </c>
      <c r="C49" s="8">
        <v>3</v>
      </c>
      <c r="D49" s="9">
        <v>2</v>
      </c>
      <c r="E49" s="9">
        <v>4</v>
      </c>
      <c r="F49" s="9">
        <v>2</v>
      </c>
      <c r="G49" s="40" t="str">
        <f t="shared" si="5"/>
        <v>N,3,2,4,2</v>
      </c>
      <c r="H49" s="9">
        <f>IF(F49=1,'Indirect Model Parameters'!$G$23,'Indirect Model Parameters'!$G$24)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0.3</v>
      </c>
      <c r="J49" s="9">
        <f>IF(SUMIFS('Indirect Model Parameters'!$G$11:$G$16,'Indirect Model Parameters'!$D$11:$D$16,Pop_Init!E49,'Indirect Model Parameters'!$E$11:$E$16,Pop_Init!F49) = 0,'Indirect Model Parameters'!$G$17,'Indirect Model Parameters'!$G$18*SUMIFS('Indirect Model Parameters'!$G$11:$G$16,'Indirect Model Parameters'!$D$11:$D$16,Pop_Init!E49,'Indirect Model Parameters'!$E$11:$E$16,Pop_Init!F49))</f>
        <v>8.1000000000000003E-2</v>
      </c>
      <c r="L49" s="9">
        <f t="shared" si="2"/>
        <v>1.2149999999999999E-2</v>
      </c>
      <c r="M49" s="9">
        <f t="shared" si="3"/>
        <v>2.1204188481675395E-3</v>
      </c>
      <c r="N49" s="38">
        <f>M49*'Indirect Model Parameters'!$G$10</f>
        <v>212.04188481675394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269</v>
      </c>
      <c r="C50" s="8">
        <v>4</v>
      </c>
      <c r="D50" s="9">
        <v>1</v>
      </c>
      <c r="E50" s="9">
        <v>1</v>
      </c>
      <c r="F50" s="9">
        <v>1</v>
      </c>
      <c r="G50" s="40" t="str">
        <f t="shared" si="5"/>
        <v>N,4,1,1,1</v>
      </c>
      <c r="H50" s="9">
        <f>IF(F50=1,'Indirect Model Parameters'!$G$21,'Indirect Model Parameters'!$G$22)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0.7</v>
      </c>
      <c r="J50" s="9">
        <f>IF(SUMIFS('Indirect Model Parameters'!$G$11:$G$16,'Indirect Model Parameters'!$D$11:$D$16,Pop_Init!E50,'Indirect Model Parameters'!$E$11:$E$16,Pop_Init!F50) = 0,'Indirect Model Parameters'!$G$17,'Indirect Model Parameters'!$G$18*SUMIFS('Indirect Model Parameters'!$G$11:$G$16,'Indirect Model Parameters'!$D$11:$D$16,Pop_Init!E50,'Indirect Model Parameters'!$E$11:$E$16,Pop_Init!F50))</f>
        <v>0.7</v>
      </c>
      <c r="L50" s="9">
        <f t="shared" si="2"/>
        <v>0.24009999999999995</v>
      </c>
      <c r="M50" s="9">
        <f t="shared" si="3"/>
        <v>4.1902268760907503E-2</v>
      </c>
      <c r="N50" s="38">
        <f>M50*'Indirect Model Parameters'!$G$10</f>
        <v>4190.22687609075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269</v>
      </c>
      <c r="C51" s="8">
        <v>4</v>
      </c>
      <c r="D51" s="9">
        <v>2</v>
      </c>
      <c r="E51" s="9">
        <v>1</v>
      </c>
      <c r="F51" s="9">
        <v>1</v>
      </c>
      <c r="G51" s="40" t="str">
        <f t="shared" si="5"/>
        <v>N,4,2,1,1</v>
      </c>
      <c r="H51" s="9">
        <f>IF(F51=1,'Indirect Model Parameters'!$G$21,'Indirect Model Parameters'!$G$22)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0.3</v>
      </c>
      <c r="J51" s="9">
        <f>IF(SUMIFS('Indirect Model Parameters'!$G$11:$G$16,'Indirect Model Parameters'!$D$11:$D$16,Pop_Init!E51,'Indirect Model Parameters'!$E$11:$E$16,Pop_Init!F51) = 0,'Indirect Model Parameters'!$G$17,'Indirect Model Parameters'!$G$18*SUMIFS('Indirect Model Parameters'!$G$11:$G$16,'Indirect Model Parameters'!$D$11:$D$16,Pop_Init!E51,'Indirect Model Parameters'!$E$11:$E$16,Pop_Init!F51))</f>
        <v>0.7</v>
      </c>
      <c r="L51" s="9">
        <f t="shared" si="2"/>
        <v>0.10289999999999999</v>
      </c>
      <c r="M51" s="9">
        <f t="shared" si="3"/>
        <v>1.7958115183246075E-2</v>
      </c>
      <c r="N51" s="38">
        <f>M51*'Indirect Model Parameters'!$G$10</f>
        <v>1795.8115183246075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269</v>
      </c>
      <c r="C52" s="8">
        <v>4</v>
      </c>
      <c r="D52" s="9">
        <v>1</v>
      </c>
      <c r="E52" s="9">
        <v>1</v>
      </c>
      <c r="F52" s="9">
        <v>2</v>
      </c>
      <c r="G52" s="40" t="str">
        <f t="shared" si="5"/>
        <v>N,4,1,1,2</v>
      </c>
      <c r="H52" s="9">
        <f>IF(F52=1,'Indirect Model Parameters'!$G$21,'Indirect Model Parameters'!$G$22)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0.7</v>
      </c>
      <c r="J52" s="9">
        <f>IF(SUMIFS('Indirect Model Parameters'!$G$11:$G$16,'Indirect Model Parameters'!$D$11:$D$16,Pop_Init!E52,'Indirect Model Parameters'!$E$11:$E$16,Pop_Init!F52) = 0,'Indirect Model Parameters'!$G$17,'Indirect Model Parameters'!$G$18*SUMIFS('Indirect Model Parameters'!$G$11:$G$16,'Indirect Model Parameters'!$D$11:$D$16,Pop_Init!E52,'Indirect Model Parameters'!$E$11:$E$16,Pop_Init!F52))</f>
        <v>0.7</v>
      </c>
      <c r="L52" s="9">
        <f t="shared" si="2"/>
        <v>0.24009999999999995</v>
      </c>
      <c r="M52" s="9">
        <f t="shared" si="3"/>
        <v>4.1902268760907503E-2</v>
      </c>
      <c r="N52" s="38">
        <f>M52*'Indirect Model Parameters'!$G$10</f>
        <v>4190.22687609075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269</v>
      </c>
      <c r="C53" s="8">
        <v>4</v>
      </c>
      <c r="D53" s="9">
        <v>2</v>
      </c>
      <c r="E53" s="9">
        <v>1</v>
      </c>
      <c r="F53" s="9">
        <v>2</v>
      </c>
      <c r="G53" s="40" t="str">
        <f t="shared" si="5"/>
        <v>N,4,2,1,2</v>
      </c>
      <c r="H53" s="9">
        <f>IF(F53=1,'Indirect Model Parameters'!$G$21,'Indirect Model Parameters'!$G$22)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0.3</v>
      </c>
      <c r="J53" s="9">
        <f>IF(SUMIFS('Indirect Model Parameters'!$G$11:$G$16,'Indirect Model Parameters'!$D$11:$D$16,Pop_Init!E53,'Indirect Model Parameters'!$E$11:$E$16,Pop_Init!F53) = 0,'Indirect Model Parameters'!$G$17,'Indirect Model Parameters'!$G$18*SUMIFS('Indirect Model Parameters'!$G$11:$G$16,'Indirect Model Parameters'!$D$11:$D$16,Pop_Init!E53,'Indirect Model Parameters'!$E$11:$E$16,Pop_Init!F53))</f>
        <v>0.7</v>
      </c>
      <c r="L53" s="9">
        <f t="shared" si="2"/>
        <v>0.10289999999999999</v>
      </c>
      <c r="M53" s="9">
        <f t="shared" si="3"/>
        <v>1.7958115183246075E-2</v>
      </c>
      <c r="N53" s="38">
        <f>M53*'Indirect Model Parameters'!$G$10</f>
        <v>1795.8115183246075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269</v>
      </c>
      <c r="C54" s="8">
        <v>4</v>
      </c>
      <c r="D54" s="9">
        <v>1</v>
      </c>
      <c r="E54" s="9">
        <v>2</v>
      </c>
      <c r="F54" s="9">
        <v>1</v>
      </c>
      <c r="G54" s="40" t="str">
        <f t="shared" si="5"/>
        <v>N,4,1,2,1</v>
      </c>
      <c r="H54" s="9">
        <f>IF(F54=1,'Indirect Model Parameters'!$G$23,'Indirect Model Parameters'!$G$24)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0.3</v>
      </c>
      <c r="J54" s="9">
        <f>IF(SUMIFS('Indirect Model Parameters'!$G$11:$G$16,'Indirect Model Parameters'!$D$11:$D$16,Pop_Init!E54,'Indirect Model Parameters'!$E$11:$E$16,Pop_Init!F54) = 0,'Indirect Model Parameters'!$G$17,'Indirect Model Parameters'!$G$18*SUMIFS('Indirect Model Parameters'!$G$11:$G$16,'Indirect Model Parameters'!$D$11:$D$16,Pop_Init!E54,'Indirect Model Parameters'!$E$11:$E$16,Pop_Init!F54))</f>
        <v>0.16500000000000001</v>
      </c>
      <c r="L54" s="9">
        <f t="shared" si="2"/>
        <v>2.4750000000000001E-2</v>
      </c>
      <c r="M54" s="9">
        <f t="shared" si="3"/>
        <v>4.3193717277486927E-3</v>
      </c>
      <c r="N54" s="38">
        <f>M54*'Indirect Model Parameters'!$G$10</f>
        <v>431.93717277486928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269</v>
      </c>
      <c r="C55" s="8">
        <v>4</v>
      </c>
      <c r="D55" s="9">
        <v>2</v>
      </c>
      <c r="E55" s="9">
        <v>2</v>
      </c>
      <c r="F55" s="9">
        <v>1</v>
      </c>
      <c r="G55" s="40" t="str">
        <f t="shared" si="5"/>
        <v>N,4,2,2,1</v>
      </c>
      <c r="H55" s="9">
        <f>IF(F55=1,'Indirect Model Parameters'!$G$23,'Indirect Model Parameters'!$G$24)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0.3</v>
      </c>
      <c r="J55" s="9">
        <f>IF(SUMIFS('Indirect Model Parameters'!$G$11:$G$16,'Indirect Model Parameters'!$D$11:$D$16,Pop_Init!E55,'Indirect Model Parameters'!$E$11:$E$16,Pop_Init!F55) = 0,'Indirect Model Parameters'!$G$17,'Indirect Model Parameters'!$G$18*SUMIFS('Indirect Model Parameters'!$G$11:$G$16,'Indirect Model Parameters'!$D$11:$D$16,Pop_Init!E55,'Indirect Model Parameters'!$E$11:$E$16,Pop_Init!F55))</f>
        <v>0.16500000000000001</v>
      </c>
      <c r="L55" s="9">
        <f t="shared" si="2"/>
        <v>2.4750000000000001E-2</v>
      </c>
      <c r="M55" s="9">
        <f t="shared" si="3"/>
        <v>4.3193717277486927E-3</v>
      </c>
      <c r="N55" s="38">
        <f>M55*'Indirect Model Parameters'!$G$10</f>
        <v>431.93717277486928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269</v>
      </c>
      <c r="C56" s="8">
        <v>4</v>
      </c>
      <c r="D56" s="9">
        <v>1</v>
      </c>
      <c r="E56" s="9">
        <v>2</v>
      </c>
      <c r="F56" s="9">
        <v>2</v>
      </c>
      <c r="G56" s="40" t="str">
        <f t="shared" si="5"/>
        <v>N,4,1,2,2</v>
      </c>
      <c r="H56" s="9">
        <f>IF(F56=1,'Indirect Model Parameters'!$G$23,'Indirect Model Parameters'!$G$24)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0.3</v>
      </c>
      <c r="J56" s="9">
        <f>IF(SUMIFS('Indirect Model Parameters'!$G$11:$G$16,'Indirect Model Parameters'!$D$11:$D$16,Pop_Init!E56,'Indirect Model Parameters'!$E$11:$E$16,Pop_Init!F56) = 0,'Indirect Model Parameters'!$G$17,'Indirect Model Parameters'!$G$18*SUMIFS('Indirect Model Parameters'!$G$11:$G$16,'Indirect Model Parameters'!$D$11:$D$16,Pop_Init!E56,'Indirect Model Parameters'!$E$11:$E$16,Pop_Init!F56))</f>
        <v>0.16500000000000001</v>
      </c>
      <c r="L56" s="9">
        <f t="shared" si="2"/>
        <v>2.4750000000000001E-2</v>
      </c>
      <c r="M56" s="9">
        <f t="shared" si="3"/>
        <v>4.3193717277486927E-3</v>
      </c>
      <c r="N56" s="38">
        <f>M56*'Indirect Model Parameters'!$G$10</f>
        <v>431.93717277486928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269</v>
      </c>
      <c r="C57" s="8">
        <v>4</v>
      </c>
      <c r="D57" s="9">
        <v>2</v>
      </c>
      <c r="E57" s="9">
        <v>2</v>
      </c>
      <c r="F57" s="9">
        <v>2</v>
      </c>
      <c r="G57" s="40" t="str">
        <f t="shared" si="5"/>
        <v>N,4,2,2,2</v>
      </c>
      <c r="H57" s="9">
        <f>IF(F57=1,'Indirect Model Parameters'!$G$23,'Indirect Model Parameters'!$G$24)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0.3</v>
      </c>
      <c r="J57" s="9">
        <f>IF(SUMIFS('Indirect Model Parameters'!$G$11:$G$16,'Indirect Model Parameters'!$D$11:$D$16,Pop_Init!E57,'Indirect Model Parameters'!$E$11:$E$16,Pop_Init!F57) = 0,'Indirect Model Parameters'!$G$17,'Indirect Model Parameters'!$G$18*SUMIFS('Indirect Model Parameters'!$G$11:$G$16,'Indirect Model Parameters'!$D$11:$D$16,Pop_Init!E57,'Indirect Model Parameters'!$E$11:$E$16,Pop_Init!F57))</f>
        <v>0.16500000000000001</v>
      </c>
      <c r="L57" s="9">
        <f t="shared" si="2"/>
        <v>2.4750000000000001E-2</v>
      </c>
      <c r="M57" s="9">
        <f t="shared" si="3"/>
        <v>4.3193717277486927E-3</v>
      </c>
      <c r="N57" s="38">
        <f>M57*'Indirect Model Parameters'!$G$10</f>
        <v>431.93717277486928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269</v>
      </c>
      <c r="C58" s="8">
        <v>4</v>
      </c>
      <c r="D58" s="9">
        <v>1</v>
      </c>
      <c r="E58" s="9">
        <v>3</v>
      </c>
      <c r="F58" s="9">
        <v>1</v>
      </c>
      <c r="G58" s="40" t="str">
        <f t="shared" si="5"/>
        <v>N,4,1,3,1</v>
      </c>
      <c r="H58" s="9">
        <f>IF(F58=1,'Indirect Model Parameters'!$G$23,'Indirect Model Parameters'!$G$24)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0.3</v>
      </c>
      <c r="J58" s="9">
        <f>IF(SUMIFS('Indirect Model Parameters'!$G$11:$G$16,'Indirect Model Parameters'!$D$11:$D$16,Pop_Init!E58,'Indirect Model Parameters'!$E$11:$E$16,Pop_Init!F58) = 0,'Indirect Model Parameters'!$G$17,'Indirect Model Parameters'!$G$18*SUMIFS('Indirect Model Parameters'!$G$11:$G$16,'Indirect Model Parameters'!$D$11:$D$16,Pop_Init!E58,'Indirect Model Parameters'!$E$11:$E$16,Pop_Init!F58))</f>
        <v>5.3999999999999979E-2</v>
      </c>
      <c r="L58" s="9">
        <f t="shared" si="2"/>
        <v>8.0999999999999961E-3</v>
      </c>
      <c r="M58" s="9">
        <f t="shared" si="3"/>
        <v>1.4136125654450257E-3</v>
      </c>
      <c r="N58" s="38">
        <f>M58*'Indirect Model Parameters'!$G$10</f>
        <v>141.36125654450257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269</v>
      </c>
      <c r="C59" s="8">
        <v>4</v>
      </c>
      <c r="D59" s="9">
        <v>2</v>
      </c>
      <c r="E59" s="9">
        <v>3</v>
      </c>
      <c r="F59" s="9">
        <v>1</v>
      </c>
      <c r="G59" s="40" t="str">
        <f t="shared" si="5"/>
        <v>N,4,2,3,1</v>
      </c>
      <c r="H59" s="9">
        <f>IF(F59=1,'Indirect Model Parameters'!$G$23,'Indirect Model Parameters'!$G$24)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0.3</v>
      </c>
      <c r="J59" s="9">
        <f>IF(SUMIFS('Indirect Model Parameters'!$G$11:$G$16,'Indirect Model Parameters'!$D$11:$D$16,Pop_Init!E59,'Indirect Model Parameters'!$E$11:$E$16,Pop_Init!F59) = 0,'Indirect Model Parameters'!$G$17,'Indirect Model Parameters'!$G$18*SUMIFS('Indirect Model Parameters'!$G$11:$G$16,'Indirect Model Parameters'!$D$11:$D$16,Pop_Init!E59,'Indirect Model Parameters'!$E$11:$E$16,Pop_Init!F59))</f>
        <v>5.3999999999999979E-2</v>
      </c>
      <c r="L59" s="9">
        <f t="shared" si="2"/>
        <v>8.0999999999999961E-3</v>
      </c>
      <c r="M59" s="9">
        <f t="shared" si="3"/>
        <v>1.4136125654450257E-3</v>
      </c>
      <c r="N59" s="38">
        <f>M59*'Indirect Model Parameters'!$G$10</f>
        <v>141.36125654450257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269</v>
      </c>
      <c r="C60" s="8">
        <v>4</v>
      </c>
      <c r="D60" s="9">
        <v>1</v>
      </c>
      <c r="E60" s="9">
        <v>3</v>
      </c>
      <c r="F60" s="9">
        <v>2</v>
      </c>
      <c r="G60" s="40" t="str">
        <f t="shared" si="5"/>
        <v>N,4,1,3,2</v>
      </c>
      <c r="H60" s="9">
        <f>IF(F60=1,'Indirect Model Parameters'!$G$23,'Indirect Model Parameters'!$G$24)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0.3</v>
      </c>
      <c r="J60" s="9">
        <f>IF(SUMIFS('Indirect Model Parameters'!$G$11:$G$16,'Indirect Model Parameters'!$D$11:$D$16,Pop_Init!E60,'Indirect Model Parameters'!$E$11:$E$16,Pop_Init!F60) = 0,'Indirect Model Parameters'!$G$17,'Indirect Model Parameters'!$G$18*SUMIFS('Indirect Model Parameters'!$G$11:$G$16,'Indirect Model Parameters'!$D$11:$D$16,Pop_Init!E60,'Indirect Model Parameters'!$E$11:$E$16,Pop_Init!F60))</f>
        <v>5.3999999999999979E-2</v>
      </c>
      <c r="L60" s="9">
        <f t="shared" si="2"/>
        <v>8.0999999999999961E-3</v>
      </c>
      <c r="M60" s="9">
        <f t="shared" si="3"/>
        <v>1.4136125654450257E-3</v>
      </c>
      <c r="N60" s="38">
        <f>M60*'Indirect Model Parameters'!$G$10</f>
        <v>141.36125654450257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269</v>
      </c>
      <c r="C61" s="8">
        <v>4</v>
      </c>
      <c r="D61" s="9">
        <v>2</v>
      </c>
      <c r="E61" s="9">
        <v>3</v>
      </c>
      <c r="F61" s="9">
        <v>2</v>
      </c>
      <c r="G61" s="40" t="str">
        <f t="shared" si="5"/>
        <v>N,4,2,3,2</v>
      </c>
      <c r="H61" s="9">
        <f>IF(F61=1,'Indirect Model Parameters'!$G$23,'Indirect Model Parameters'!$G$24)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0.3</v>
      </c>
      <c r="J61" s="9">
        <f>IF(SUMIFS('Indirect Model Parameters'!$G$11:$G$16,'Indirect Model Parameters'!$D$11:$D$16,Pop_Init!E61,'Indirect Model Parameters'!$E$11:$E$16,Pop_Init!F61) = 0,'Indirect Model Parameters'!$G$17,'Indirect Model Parameters'!$G$18*SUMIFS('Indirect Model Parameters'!$G$11:$G$16,'Indirect Model Parameters'!$D$11:$D$16,Pop_Init!E61,'Indirect Model Parameters'!$E$11:$E$16,Pop_Init!F61))</f>
        <v>5.3999999999999979E-2</v>
      </c>
      <c r="L61" s="9">
        <f t="shared" si="2"/>
        <v>8.0999999999999961E-3</v>
      </c>
      <c r="M61" s="9">
        <f t="shared" si="3"/>
        <v>1.4136125654450257E-3</v>
      </c>
      <c r="N61" s="38">
        <f>M61*'Indirect Model Parameters'!$G$10</f>
        <v>141.36125654450257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269</v>
      </c>
      <c r="C62" s="8">
        <v>4</v>
      </c>
      <c r="D62" s="9">
        <v>1</v>
      </c>
      <c r="E62" s="9">
        <v>4</v>
      </c>
      <c r="F62" s="9">
        <v>1</v>
      </c>
      <c r="G62" s="40" t="str">
        <f t="shared" si="5"/>
        <v>N,4,1,4,1</v>
      </c>
      <c r="H62" s="9">
        <f>IF(F62=1,'Indirect Model Parameters'!$G$23,'Indirect Model Parameters'!$G$24)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0.3</v>
      </c>
      <c r="J62" s="9">
        <f>IF(SUMIFS('Indirect Model Parameters'!$G$11:$G$16,'Indirect Model Parameters'!$D$11:$D$16,Pop_Init!E62,'Indirect Model Parameters'!$E$11:$E$16,Pop_Init!F62) = 0,'Indirect Model Parameters'!$G$17,'Indirect Model Parameters'!$G$18*SUMIFS('Indirect Model Parameters'!$G$11:$G$16,'Indirect Model Parameters'!$D$11:$D$16,Pop_Init!E62,'Indirect Model Parameters'!$E$11:$E$16,Pop_Init!F62))</f>
        <v>8.1000000000000003E-2</v>
      </c>
      <c r="L62" s="9">
        <f t="shared" si="2"/>
        <v>1.2149999999999999E-2</v>
      </c>
      <c r="M62" s="9">
        <f t="shared" si="3"/>
        <v>2.1204188481675395E-3</v>
      </c>
      <c r="N62" s="38">
        <f>M62*'Indirect Model Parameters'!$G$10</f>
        <v>212.04188481675394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269</v>
      </c>
      <c r="C63" s="8">
        <v>4</v>
      </c>
      <c r="D63" s="9">
        <v>2</v>
      </c>
      <c r="E63" s="9">
        <v>4</v>
      </c>
      <c r="F63" s="9">
        <v>1</v>
      </c>
      <c r="G63" s="40" t="str">
        <f t="shared" si="5"/>
        <v>N,4,2,4,1</v>
      </c>
      <c r="H63" s="9">
        <f>IF(F63=1,'Indirect Model Parameters'!$G$23,'Indirect Model Parameters'!$G$24)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0.3</v>
      </c>
      <c r="J63" s="9">
        <f>IF(SUMIFS('Indirect Model Parameters'!$G$11:$G$16,'Indirect Model Parameters'!$D$11:$D$16,Pop_Init!E63,'Indirect Model Parameters'!$E$11:$E$16,Pop_Init!F63) = 0,'Indirect Model Parameters'!$G$17,'Indirect Model Parameters'!$G$18*SUMIFS('Indirect Model Parameters'!$G$11:$G$16,'Indirect Model Parameters'!$D$11:$D$16,Pop_Init!E63,'Indirect Model Parameters'!$E$11:$E$16,Pop_Init!F63))</f>
        <v>8.1000000000000003E-2</v>
      </c>
      <c r="L63" s="9">
        <f t="shared" si="2"/>
        <v>1.2149999999999999E-2</v>
      </c>
      <c r="M63" s="9">
        <f t="shared" si="3"/>
        <v>2.1204188481675395E-3</v>
      </c>
      <c r="N63" s="38">
        <f>M63*'Indirect Model Parameters'!$G$10</f>
        <v>212.04188481675394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269</v>
      </c>
      <c r="C64" s="8">
        <v>4</v>
      </c>
      <c r="D64" s="9">
        <v>1</v>
      </c>
      <c r="E64" s="9">
        <v>4</v>
      </c>
      <c r="F64" s="9">
        <v>2</v>
      </c>
      <c r="G64" s="40" t="str">
        <f t="shared" si="5"/>
        <v>N,4,1,4,2</v>
      </c>
      <c r="H64" s="9">
        <f>IF(F64=1,'Indirect Model Parameters'!$G$23,'Indirect Model Parameters'!$G$24)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0.3</v>
      </c>
      <c r="J64" s="9">
        <f>IF(SUMIFS('Indirect Model Parameters'!$G$11:$G$16,'Indirect Model Parameters'!$D$11:$D$16,Pop_Init!E64,'Indirect Model Parameters'!$E$11:$E$16,Pop_Init!F64) = 0,'Indirect Model Parameters'!$G$17,'Indirect Model Parameters'!$G$18*SUMIFS('Indirect Model Parameters'!$G$11:$G$16,'Indirect Model Parameters'!$D$11:$D$16,Pop_Init!E64,'Indirect Model Parameters'!$E$11:$E$16,Pop_Init!F64))</f>
        <v>8.1000000000000003E-2</v>
      </c>
      <c r="L64" s="9">
        <f t="shared" si="2"/>
        <v>1.2149999999999999E-2</v>
      </c>
      <c r="M64" s="9">
        <f t="shared" si="3"/>
        <v>2.1204188481675395E-3</v>
      </c>
      <c r="N64" s="38">
        <f>M64*'Indirect Model Parameters'!$G$10</f>
        <v>212.04188481675394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269</v>
      </c>
      <c r="C65" s="8">
        <v>4</v>
      </c>
      <c r="D65" s="9">
        <v>2</v>
      </c>
      <c r="E65" s="9">
        <v>4</v>
      </c>
      <c r="F65" s="9">
        <v>2</v>
      </c>
      <c r="G65" s="40" t="str">
        <f t="shared" si="5"/>
        <v>N,4,2,4,2</v>
      </c>
      <c r="H65" s="9">
        <f>IF(F65=1,'Indirect Model Parameters'!$G$23,'Indirect Model Parameters'!$G$24)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0.3</v>
      </c>
      <c r="J65" s="9">
        <f>IF(SUMIFS('Indirect Model Parameters'!$G$11:$G$16,'Indirect Model Parameters'!$D$11:$D$16,Pop_Init!E65,'Indirect Model Parameters'!$E$11:$E$16,Pop_Init!F65) = 0,'Indirect Model Parameters'!$G$17,'Indirect Model Parameters'!$G$18*SUMIFS('Indirect Model Parameters'!$G$11:$G$16,'Indirect Model Parameters'!$D$11:$D$16,Pop_Init!E65,'Indirect Model Parameters'!$E$11:$E$16,Pop_Init!F65))</f>
        <v>8.1000000000000003E-2</v>
      </c>
      <c r="L65" s="9">
        <f t="shared" si="2"/>
        <v>1.2149999999999999E-2</v>
      </c>
      <c r="M65" s="9">
        <f t="shared" si="3"/>
        <v>2.1204188481675395E-3</v>
      </c>
      <c r="N65" s="38">
        <f>M65*'Indirect Model Parameters'!$G$10</f>
        <v>212.04188481675394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269</v>
      </c>
      <c r="C66" s="8">
        <v>5</v>
      </c>
      <c r="D66" s="9">
        <v>1</v>
      </c>
      <c r="E66" s="9">
        <v>1</v>
      </c>
      <c r="F66" s="9">
        <v>1</v>
      </c>
      <c r="G66" s="40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Parameters'!$G$21,'Indirect Model Parameters'!$G$22)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0.7</v>
      </c>
      <c r="J66" s="9">
        <f>IF(SUMIFS('Indirect Model Parameters'!$G$11:$G$16,'Indirect Model Parameters'!$D$11:$D$16,Pop_Init!E66,'Indirect Model Parameters'!$E$11:$E$16,Pop_Init!F66) = 0,'Indirect Model Parameters'!$G$17,'Indirect Model Parameters'!$G$18*SUMIFS('Indirect Model Parameters'!$G$11:$G$16,'Indirect Model Parameters'!$D$11:$D$16,Pop_Init!E66,'Indirect Model Parameters'!$E$11:$E$16,Pop_Init!F66))</f>
        <v>0.7</v>
      </c>
      <c r="L66" s="9">
        <f t="shared" si="2"/>
        <v>0.24009999999999995</v>
      </c>
      <c r="M66" s="9">
        <f t="shared" si="3"/>
        <v>4.1902268760907503E-2</v>
      </c>
      <c r="N66" s="38">
        <f>M66*'Indirect Model Parameters'!$G$10</f>
        <v>4190.22687609075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269</v>
      </c>
      <c r="C67" s="8">
        <v>5</v>
      </c>
      <c r="D67" s="9">
        <v>2</v>
      </c>
      <c r="E67" s="9">
        <v>1</v>
      </c>
      <c r="F67" s="9">
        <v>1</v>
      </c>
      <c r="G67" s="40" t="str">
        <f t="shared" si="7"/>
        <v>N,5,2,1,1</v>
      </c>
      <c r="H67" s="9">
        <f>IF(F67=1,'Indirect Model Parameters'!$G$21,'Indirect Model Parameters'!$G$22)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0.3</v>
      </c>
      <c r="J67" s="9">
        <f>IF(SUMIFS('Indirect Model Parameters'!$G$11:$G$16,'Indirect Model Parameters'!$D$11:$D$16,Pop_Init!E67,'Indirect Model Parameters'!$E$11:$E$16,Pop_Init!F67) = 0,'Indirect Model Parameters'!$G$17,'Indirect Model Parameters'!$G$18*SUMIFS('Indirect Model Parameters'!$G$11:$G$16,'Indirect Model Parameters'!$D$11:$D$16,Pop_Init!E67,'Indirect Model Parameters'!$E$11:$E$16,Pop_Init!F67))</f>
        <v>0.7</v>
      </c>
      <c r="L67" s="9">
        <f t="shared" ref="L67:L129" si="8">PRODUCT(H67:J67)</f>
        <v>0.10289999999999999</v>
      </c>
      <c r="M67" s="9">
        <f t="shared" ref="M67:M129" si="9">L67/SUM($L$2:$L$129)</f>
        <v>1.7958115183246075E-2</v>
      </c>
      <c r="N67" s="38">
        <f>M67*'Indirect Model Parameters'!$G$10</f>
        <v>1795.8115183246075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269</v>
      </c>
      <c r="C68" s="8">
        <v>5</v>
      </c>
      <c r="D68" s="9">
        <v>1</v>
      </c>
      <c r="E68" s="9">
        <v>1</v>
      </c>
      <c r="F68" s="9">
        <v>2</v>
      </c>
      <c r="G68" s="40" t="str">
        <f t="shared" si="7"/>
        <v>N,5,1,1,2</v>
      </c>
      <c r="H68" s="9">
        <f>IF(F68=1,'Indirect Model Parameters'!$G$21,'Indirect Model Parameters'!$G$22)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0.7</v>
      </c>
      <c r="J68" s="9">
        <f>IF(SUMIFS('Indirect Model Parameters'!$G$11:$G$16,'Indirect Model Parameters'!$D$11:$D$16,Pop_Init!E68,'Indirect Model Parameters'!$E$11:$E$16,Pop_Init!F68) = 0,'Indirect Model Parameters'!$G$17,'Indirect Model Parameters'!$G$18*SUMIFS('Indirect Model Parameters'!$G$11:$G$16,'Indirect Model Parameters'!$D$11:$D$16,Pop_Init!E68,'Indirect Model Parameters'!$E$11:$E$16,Pop_Init!F68))</f>
        <v>0.7</v>
      </c>
      <c r="L68" s="9">
        <f t="shared" si="8"/>
        <v>0.24009999999999995</v>
      </c>
      <c r="M68" s="9">
        <f t="shared" si="9"/>
        <v>4.1902268760907503E-2</v>
      </c>
      <c r="N68" s="38">
        <f>M68*'Indirect Model Parameters'!$G$10</f>
        <v>4190.22687609075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269</v>
      </c>
      <c r="C69" s="8">
        <v>5</v>
      </c>
      <c r="D69" s="9">
        <v>2</v>
      </c>
      <c r="E69" s="9">
        <v>1</v>
      </c>
      <c r="F69" s="9">
        <v>2</v>
      </c>
      <c r="G69" s="40" t="str">
        <f t="shared" si="7"/>
        <v>N,5,2,1,2</v>
      </c>
      <c r="H69" s="9">
        <f>IF(F69=1,'Indirect Model Parameters'!$G$21,'Indirect Model Parameters'!$G$22)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0.3</v>
      </c>
      <c r="J69" s="9">
        <f>IF(SUMIFS('Indirect Model Parameters'!$G$11:$G$16,'Indirect Model Parameters'!$D$11:$D$16,Pop_Init!E69,'Indirect Model Parameters'!$E$11:$E$16,Pop_Init!F69) = 0,'Indirect Model Parameters'!$G$17,'Indirect Model Parameters'!$G$18*SUMIFS('Indirect Model Parameters'!$G$11:$G$16,'Indirect Model Parameters'!$D$11:$D$16,Pop_Init!E69,'Indirect Model Parameters'!$E$11:$E$16,Pop_Init!F69))</f>
        <v>0.7</v>
      </c>
      <c r="L69" s="9">
        <f t="shared" si="8"/>
        <v>0.10289999999999999</v>
      </c>
      <c r="M69" s="9">
        <f t="shared" si="9"/>
        <v>1.7958115183246075E-2</v>
      </c>
      <c r="N69" s="38">
        <f>M69*'Indirect Model Parameters'!$G$10</f>
        <v>1795.8115183246075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269</v>
      </c>
      <c r="C70" s="8">
        <v>5</v>
      </c>
      <c r="D70" s="9">
        <v>1</v>
      </c>
      <c r="E70" s="9">
        <v>2</v>
      </c>
      <c r="F70" s="9">
        <v>1</v>
      </c>
      <c r="G70" s="40" t="str">
        <f t="shared" si="7"/>
        <v>N,5,1,2,1</v>
      </c>
      <c r="H70" s="9">
        <f>IF(F70=1,'Indirect Model Parameters'!$G$23,'Indirect Model Parameters'!$G$24)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0.3</v>
      </c>
      <c r="J70" s="9">
        <f>IF(SUMIFS('Indirect Model Parameters'!$G$11:$G$16,'Indirect Model Parameters'!$D$11:$D$16,Pop_Init!E70,'Indirect Model Parameters'!$E$11:$E$16,Pop_Init!F70) = 0,'Indirect Model Parameters'!$G$17,'Indirect Model Parameters'!$G$18*SUMIFS('Indirect Model Parameters'!$G$11:$G$16,'Indirect Model Parameters'!$D$11:$D$16,Pop_Init!E70,'Indirect Model Parameters'!$E$11:$E$16,Pop_Init!F70))</f>
        <v>0.16500000000000001</v>
      </c>
      <c r="L70" s="9">
        <f t="shared" si="8"/>
        <v>2.4750000000000001E-2</v>
      </c>
      <c r="M70" s="9">
        <f t="shared" si="9"/>
        <v>4.3193717277486927E-3</v>
      </c>
      <c r="N70" s="38">
        <f>M70*'Indirect Model Parameters'!$G$10</f>
        <v>431.93717277486928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269</v>
      </c>
      <c r="C71" s="8">
        <v>5</v>
      </c>
      <c r="D71" s="9">
        <v>2</v>
      </c>
      <c r="E71" s="9">
        <v>2</v>
      </c>
      <c r="F71" s="9">
        <v>1</v>
      </c>
      <c r="G71" s="40" t="str">
        <f t="shared" si="7"/>
        <v>N,5,2,2,1</v>
      </c>
      <c r="H71" s="9">
        <f>IF(F71=1,'Indirect Model Parameters'!$G$23,'Indirect Model Parameters'!$G$24)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0.3</v>
      </c>
      <c r="J71" s="9">
        <f>IF(SUMIFS('Indirect Model Parameters'!$G$11:$G$16,'Indirect Model Parameters'!$D$11:$D$16,Pop_Init!E71,'Indirect Model Parameters'!$E$11:$E$16,Pop_Init!F71) = 0,'Indirect Model Parameters'!$G$17,'Indirect Model Parameters'!$G$18*SUMIFS('Indirect Model Parameters'!$G$11:$G$16,'Indirect Model Parameters'!$D$11:$D$16,Pop_Init!E71,'Indirect Model Parameters'!$E$11:$E$16,Pop_Init!F71))</f>
        <v>0.16500000000000001</v>
      </c>
      <c r="L71" s="9">
        <f t="shared" si="8"/>
        <v>2.4750000000000001E-2</v>
      </c>
      <c r="M71" s="9">
        <f t="shared" si="9"/>
        <v>4.3193717277486927E-3</v>
      </c>
      <c r="N71" s="38">
        <f>M71*'Indirect Model Parameters'!$G$10</f>
        <v>431.93717277486928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269</v>
      </c>
      <c r="C72" s="8">
        <v>5</v>
      </c>
      <c r="D72" s="9">
        <v>1</v>
      </c>
      <c r="E72" s="9">
        <v>2</v>
      </c>
      <c r="F72" s="9">
        <v>2</v>
      </c>
      <c r="G72" s="40" t="str">
        <f t="shared" si="7"/>
        <v>N,5,1,2,2</v>
      </c>
      <c r="H72" s="9">
        <f>IF(F72=1,'Indirect Model Parameters'!$G$23,'Indirect Model Parameters'!$G$24)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0.3</v>
      </c>
      <c r="J72" s="9">
        <f>IF(SUMIFS('Indirect Model Parameters'!$G$11:$G$16,'Indirect Model Parameters'!$D$11:$D$16,Pop_Init!E72,'Indirect Model Parameters'!$E$11:$E$16,Pop_Init!F72) = 0,'Indirect Model Parameters'!$G$17,'Indirect Model Parameters'!$G$18*SUMIFS('Indirect Model Parameters'!$G$11:$G$16,'Indirect Model Parameters'!$D$11:$D$16,Pop_Init!E72,'Indirect Model Parameters'!$E$11:$E$16,Pop_Init!F72))</f>
        <v>0.16500000000000001</v>
      </c>
      <c r="L72" s="9">
        <f t="shared" si="8"/>
        <v>2.4750000000000001E-2</v>
      </c>
      <c r="M72" s="9">
        <f t="shared" si="9"/>
        <v>4.3193717277486927E-3</v>
      </c>
      <c r="N72" s="38">
        <f>M72*'Indirect Model Parameters'!$G$10</f>
        <v>431.93717277486928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269</v>
      </c>
      <c r="C73" s="8">
        <v>5</v>
      </c>
      <c r="D73" s="9">
        <v>2</v>
      </c>
      <c r="E73" s="9">
        <v>2</v>
      </c>
      <c r="F73" s="9">
        <v>2</v>
      </c>
      <c r="G73" s="40" t="str">
        <f t="shared" si="7"/>
        <v>N,5,2,2,2</v>
      </c>
      <c r="H73" s="9">
        <f>IF(F73=1,'Indirect Model Parameters'!$G$23,'Indirect Model Parameters'!$G$24)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0.3</v>
      </c>
      <c r="J73" s="9">
        <f>IF(SUMIFS('Indirect Model Parameters'!$G$11:$G$16,'Indirect Model Parameters'!$D$11:$D$16,Pop_Init!E73,'Indirect Model Parameters'!$E$11:$E$16,Pop_Init!F73) = 0,'Indirect Model Parameters'!$G$17,'Indirect Model Parameters'!$G$18*SUMIFS('Indirect Model Parameters'!$G$11:$G$16,'Indirect Model Parameters'!$D$11:$D$16,Pop_Init!E73,'Indirect Model Parameters'!$E$11:$E$16,Pop_Init!F73))</f>
        <v>0.16500000000000001</v>
      </c>
      <c r="L73" s="9">
        <f t="shared" si="8"/>
        <v>2.4750000000000001E-2</v>
      </c>
      <c r="M73" s="9">
        <f t="shared" si="9"/>
        <v>4.3193717277486927E-3</v>
      </c>
      <c r="N73" s="38">
        <f>M73*'Indirect Model Parameters'!$G$10</f>
        <v>431.93717277486928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269</v>
      </c>
      <c r="C74" s="8">
        <v>5</v>
      </c>
      <c r="D74" s="9">
        <v>1</v>
      </c>
      <c r="E74" s="9">
        <v>3</v>
      </c>
      <c r="F74" s="9">
        <v>1</v>
      </c>
      <c r="G74" s="40" t="str">
        <f t="shared" si="7"/>
        <v>N,5,1,3,1</v>
      </c>
      <c r="H74" s="9">
        <f>IF(F74=1,'Indirect Model Parameters'!$G$23,'Indirect Model Parameters'!$G$24)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0.3</v>
      </c>
      <c r="J74" s="9">
        <f>IF(SUMIFS('Indirect Model Parameters'!$G$11:$G$16,'Indirect Model Parameters'!$D$11:$D$16,Pop_Init!E74,'Indirect Model Parameters'!$E$11:$E$16,Pop_Init!F74) = 0,'Indirect Model Parameters'!$G$17,'Indirect Model Parameters'!$G$18*SUMIFS('Indirect Model Parameters'!$G$11:$G$16,'Indirect Model Parameters'!$D$11:$D$16,Pop_Init!E74,'Indirect Model Parameters'!$E$11:$E$16,Pop_Init!F74))</f>
        <v>5.3999999999999979E-2</v>
      </c>
      <c r="L74" s="9">
        <f t="shared" si="8"/>
        <v>8.0999999999999961E-3</v>
      </c>
      <c r="M74" s="9">
        <f t="shared" si="9"/>
        <v>1.4136125654450257E-3</v>
      </c>
      <c r="N74" s="38">
        <f>M74*'Indirect Model Parameters'!$G$10</f>
        <v>141.36125654450257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269</v>
      </c>
      <c r="C75" s="8">
        <v>5</v>
      </c>
      <c r="D75" s="9">
        <v>2</v>
      </c>
      <c r="E75" s="9">
        <v>3</v>
      </c>
      <c r="F75" s="9">
        <v>1</v>
      </c>
      <c r="G75" s="40" t="str">
        <f t="shared" si="7"/>
        <v>N,5,2,3,1</v>
      </c>
      <c r="H75" s="9">
        <f>IF(F75=1,'Indirect Model Parameters'!$G$23,'Indirect Model Parameters'!$G$24)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0.3</v>
      </c>
      <c r="J75" s="9">
        <f>IF(SUMIFS('Indirect Model Parameters'!$G$11:$G$16,'Indirect Model Parameters'!$D$11:$D$16,Pop_Init!E75,'Indirect Model Parameters'!$E$11:$E$16,Pop_Init!F75) = 0,'Indirect Model Parameters'!$G$17,'Indirect Model Parameters'!$G$18*SUMIFS('Indirect Model Parameters'!$G$11:$G$16,'Indirect Model Parameters'!$D$11:$D$16,Pop_Init!E75,'Indirect Model Parameters'!$E$11:$E$16,Pop_Init!F75))</f>
        <v>5.3999999999999979E-2</v>
      </c>
      <c r="L75" s="9">
        <f t="shared" si="8"/>
        <v>8.0999999999999961E-3</v>
      </c>
      <c r="M75" s="9">
        <f t="shared" si="9"/>
        <v>1.4136125654450257E-3</v>
      </c>
      <c r="N75" s="38">
        <f>M75*'Indirect Model Parameters'!$G$10</f>
        <v>141.36125654450257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269</v>
      </c>
      <c r="C76" s="8">
        <v>5</v>
      </c>
      <c r="D76" s="9">
        <v>1</v>
      </c>
      <c r="E76" s="9">
        <v>3</v>
      </c>
      <c r="F76" s="9">
        <v>2</v>
      </c>
      <c r="G76" s="40" t="str">
        <f t="shared" si="7"/>
        <v>N,5,1,3,2</v>
      </c>
      <c r="H76" s="9">
        <f>IF(F76=1,'Indirect Model Parameters'!$G$23,'Indirect Model Parameters'!$G$24)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0.3</v>
      </c>
      <c r="J76" s="9">
        <f>IF(SUMIFS('Indirect Model Parameters'!$G$11:$G$16,'Indirect Model Parameters'!$D$11:$D$16,Pop_Init!E76,'Indirect Model Parameters'!$E$11:$E$16,Pop_Init!F76) = 0,'Indirect Model Parameters'!$G$17,'Indirect Model Parameters'!$G$18*SUMIFS('Indirect Model Parameters'!$G$11:$G$16,'Indirect Model Parameters'!$D$11:$D$16,Pop_Init!E76,'Indirect Model Parameters'!$E$11:$E$16,Pop_Init!F76))</f>
        <v>5.3999999999999979E-2</v>
      </c>
      <c r="L76" s="9">
        <f t="shared" si="8"/>
        <v>8.0999999999999961E-3</v>
      </c>
      <c r="M76" s="9">
        <f t="shared" si="9"/>
        <v>1.4136125654450257E-3</v>
      </c>
      <c r="N76" s="38">
        <f>M76*'Indirect Model Parameters'!$G$10</f>
        <v>141.36125654450257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269</v>
      </c>
      <c r="C77" s="8">
        <v>5</v>
      </c>
      <c r="D77" s="9">
        <v>2</v>
      </c>
      <c r="E77" s="9">
        <v>3</v>
      </c>
      <c r="F77" s="9">
        <v>2</v>
      </c>
      <c r="G77" s="40" t="str">
        <f t="shared" si="7"/>
        <v>N,5,2,3,2</v>
      </c>
      <c r="H77" s="9">
        <f>IF(F77=1,'Indirect Model Parameters'!$G$23,'Indirect Model Parameters'!$G$24)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0.3</v>
      </c>
      <c r="J77" s="9">
        <f>IF(SUMIFS('Indirect Model Parameters'!$G$11:$G$16,'Indirect Model Parameters'!$D$11:$D$16,Pop_Init!E77,'Indirect Model Parameters'!$E$11:$E$16,Pop_Init!F77) = 0,'Indirect Model Parameters'!$G$17,'Indirect Model Parameters'!$G$18*SUMIFS('Indirect Model Parameters'!$G$11:$G$16,'Indirect Model Parameters'!$D$11:$D$16,Pop_Init!E77,'Indirect Model Parameters'!$E$11:$E$16,Pop_Init!F77))</f>
        <v>5.3999999999999979E-2</v>
      </c>
      <c r="L77" s="9">
        <f t="shared" si="8"/>
        <v>8.0999999999999961E-3</v>
      </c>
      <c r="M77" s="9">
        <f t="shared" si="9"/>
        <v>1.4136125654450257E-3</v>
      </c>
      <c r="N77" s="38">
        <f>M77*'Indirect Model Parameters'!$G$10</f>
        <v>141.36125654450257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269</v>
      </c>
      <c r="C78" s="8">
        <v>5</v>
      </c>
      <c r="D78" s="9">
        <v>1</v>
      </c>
      <c r="E78" s="9">
        <v>4</v>
      </c>
      <c r="F78" s="9">
        <v>1</v>
      </c>
      <c r="G78" s="40" t="str">
        <f t="shared" si="7"/>
        <v>N,5,1,4,1</v>
      </c>
      <c r="H78" s="9">
        <f>IF(F78=1,'Indirect Model Parameters'!$G$23,'Indirect Model Parameters'!$G$24)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0.3</v>
      </c>
      <c r="J78" s="9">
        <f>IF(SUMIFS('Indirect Model Parameters'!$G$11:$G$16,'Indirect Model Parameters'!$D$11:$D$16,Pop_Init!E78,'Indirect Model Parameters'!$E$11:$E$16,Pop_Init!F78) = 0,'Indirect Model Parameters'!$G$17,'Indirect Model Parameters'!$G$18*SUMIFS('Indirect Model Parameters'!$G$11:$G$16,'Indirect Model Parameters'!$D$11:$D$16,Pop_Init!E78,'Indirect Model Parameters'!$E$11:$E$16,Pop_Init!F78))</f>
        <v>8.1000000000000003E-2</v>
      </c>
      <c r="L78" s="9">
        <f t="shared" si="8"/>
        <v>1.2149999999999999E-2</v>
      </c>
      <c r="M78" s="9">
        <f t="shared" si="9"/>
        <v>2.1204188481675395E-3</v>
      </c>
      <c r="N78" s="38">
        <f>M78*'Indirect Model Parameters'!$G$10</f>
        <v>212.04188481675394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269</v>
      </c>
      <c r="C79" s="8">
        <v>5</v>
      </c>
      <c r="D79" s="9">
        <v>2</v>
      </c>
      <c r="E79" s="9">
        <v>4</v>
      </c>
      <c r="F79" s="9">
        <v>1</v>
      </c>
      <c r="G79" s="40" t="str">
        <f t="shared" si="7"/>
        <v>N,5,2,4,1</v>
      </c>
      <c r="H79" s="9">
        <f>IF(F79=1,'Indirect Model Parameters'!$G$23,'Indirect Model Parameters'!$G$24)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0.3</v>
      </c>
      <c r="J79" s="9">
        <f>IF(SUMIFS('Indirect Model Parameters'!$G$11:$G$16,'Indirect Model Parameters'!$D$11:$D$16,Pop_Init!E79,'Indirect Model Parameters'!$E$11:$E$16,Pop_Init!F79) = 0,'Indirect Model Parameters'!$G$17,'Indirect Model Parameters'!$G$18*SUMIFS('Indirect Model Parameters'!$G$11:$G$16,'Indirect Model Parameters'!$D$11:$D$16,Pop_Init!E79,'Indirect Model Parameters'!$E$11:$E$16,Pop_Init!F79))</f>
        <v>8.1000000000000003E-2</v>
      </c>
      <c r="L79" s="9">
        <f t="shared" si="8"/>
        <v>1.2149999999999999E-2</v>
      </c>
      <c r="M79" s="9">
        <f t="shared" si="9"/>
        <v>2.1204188481675395E-3</v>
      </c>
      <c r="N79" s="38">
        <f>M79*'Indirect Model Parameters'!$G$10</f>
        <v>212.04188481675394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269</v>
      </c>
      <c r="C80" s="8">
        <v>5</v>
      </c>
      <c r="D80" s="9">
        <v>1</v>
      </c>
      <c r="E80" s="9">
        <v>4</v>
      </c>
      <c r="F80" s="9">
        <v>2</v>
      </c>
      <c r="G80" s="40" t="str">
        <f t="shared" si="7"/>
        <v>N,5,1,4,2</v>
      </c>
      <c r="H80" s="9">
        <f>IF(F80=1,'Indirect Model Parameters'!$G$23,'Indirect Model Parameters'!$G$24)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0.3</v>
      </c>
      <c r="J80" s="9">
        <f>IF(SUMIFS('Indirect Model Parameters'!$G$11:$G$16,'Indirect Model Parameters'!$D$11:$D$16,Pop_Init!E80,'Indirect Model Parameters'!$E$11:$E$16,Pop_Init!F80) = 0,'Indirect Model Parameters'!$G$17,'Indirect Model Parameters'!$G$18*SUMIFS('Indirect Model Parameters'!$G$11:$G$16,'Indirect Model Parameters'!$D$11:$D$16,Pop_Init!E80,'Indirect Model Parameters'!$E$11:$E$16,Pop_Init!F80))</f>
        <v>8.1000000000000003E-2</v>
      </c>
      <c r="L80" s="9">
        <f t="shared" si="8"/>
        <v>1.2149999999999999E-2</v>
      </c>
      <c r="M80" s="9">
        <f t="shared" si="9"/>
        <v>2.1204188481675395E-3</v>
      </c>
      <c r="N80" s="38">
        <f>M80*'Indirect Model Parameters'!$G$10</f>
        <v>212.04188481675394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269</v>
      </c>
      <c r="C81" s="8">
        <v>5</v>
      </c>
      <c r="D81" s="9">
        <v>2</v>
      </c>
      <c r="E81" s="9">
        <v>4</v>
      </c>
      <c r="F81" s="9">
        <v>2</v>
      </c>
      <c r="G81" s="40" t="str">
        <f t="shared" si="7"/>
        <v>N,5,2,4,2</v>
      </c>
      <c r="H81" s="9">
        <f>IF(F81=1,'Indirect Model Parameters'!$G$23,'Indirect Model Parameters'!$G$24)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0.3</v>
      </c>
      <c r="J81" s="9">
        <f>IF(SUMIFS('Indirect Model Parameters'!$G$11:$G$16,'Indirect Model Parameters'!$D$11:$D$16,Pop_Init!E81,'Indirect Model Parameters'!$E$11:$E$16,Pop_Init!F81) = 0,'Indirect Model Parameters'!$G$17,'Indirect Model Parameters'!$G$18*SUMIFS('Indirect Model Parameters'!$G$11:$G$16,'Indirect Model Parameters'!$D$11:$D$16,Pop_Init!E81,'Indirect Model Parameters'!$E$11:$E$16,Pop_Init!F81))</f>
        <v>8.1000000000000003E-2</v>
      </c>
      <c r="L81" s="9">
        <f t="shared" si="8"/>
        <v>1.2149999999999999E-2</v>
      </c>
      <c r="M81" s="9">
        <f t="shared" si="9"/>
        <v>2.1204188481675395E-3</v>
      </c>
      <c r="N81" s="38">
        <f>M81*'Indirect Model Parameters'!$G$10</f>
        <v>212.04188481675394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269</v>
      </c>
      <c r="C82" s="8">
        <v>6</v>
      </c>
      <c r="D82" s="9">
        <v>1</v>
      </c>
      <c r="E82" s="9">
        <v>1</v>
      </c>
      <c r="F82" s="9">
        <v>1</v>
      </c>
      <c r="G82" s="40" t="str">
        <f t="shared" si="7"/>
        <v>N,6,1,1,1</v>
      </c>
      <c r="H82" s="9">
        <f>IF(F82=1,'Indirect Model Parameters'!$G$25,'Indirect Model Parameters'!$G$26)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0.7</v>
      </c>
      <c r="J82" s="9">
        <f>IF(SUMIFS('Indirect Model Parameters'!$G$11:$G$16,'Indirect Model Parameters'!$D$11:$D$16,Pop_Init!E82,'Indirect Model Parameters'!$E$11:$E$16,Pop_Init!F82) = 0,'Indirect Model Parameters'!$G$17,'Indirect Model Parameters'!$G$18*SUMIFS('Indirect Model Parameters'!$G$11:$G$16,'Indirect Model Parameters'!$D$11:$D$16,Pop_Init!E82,'Indirect Model Parameters'!$E$11:$E$16,Pop_Init!F82))</f>
        <v>0.7</v>
      </c>
      <c r="L82" s="9">
        <f t="shared" si="8"/>
        <v>4.899999999999999E-3</v>
      </c>
      <c r="M82" s="9">
        <f t="shared" si="9"/>
        <v>8.5514834205933682E-4</v>
      </c>
      <c r="N82" s="38">
        <f>M82*'Indirect Model Parameters'!$G$10</f>
        <v>85.514834205933681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269</v>
      </c>
      <c r="C83" s="8">
        <v>6</v>
      </c>
      <c r="D83" s="9">
        <v>2</v>
      </c>
      <c r="E83" s="9">
        <v>1</v>
      </c>
      <c r="F83" s="9">
        <v>1</v>
      </c>
      <c r="G83" s="40" t="str">
        <f t="shared" si="7"/>
        <v>N,6,2,1,1</v>
      </c>
      <c r="H83" s="9">
        <f>IF(F83=1,'Indirect Model Parameters'!$G$25,'Indirect Model Parameters'!$G$26)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0.3</v>
      </c>
      <c r="J83" s="9">
        <f>IF(SUMIFS('Indirect Model Parameters'!$G$11:$G$16,'Indirect Model Parameters'!$D$11:$D$16,Pop_Init!E83,'Indirect Model Parameters'!$E$11:$E$16,Pop_Init!F83) = 0,'Indirect Model Parameters'!$G$17,'Indirect Model Parameters'!$G$18*SUMIFS('Indirect Model Parameters'!$G$11:$G$16,'Indirect Model Parameters'!$D$11:$D$16,Pop_Init!E83,'Indirect Model Parameters'!$E$11:$E$16,Pop_Init!F83))</f>
        <v>0.7</v>
      </c>
      <c r="L83" s="9">
        <f t="shared" si="8"/>
        <v>2.0999999999999999E-3</v>
      </c>
      <c r="M83" s="9">
        <f t="shared" si="9"/>
        <v>3.6649214659685868E-4</v>
      </c>
      <c r="N83" s="38">
        <f>M83*'Indirect Model Parameters'!$G$10</f>
        <v>36.649214659685867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269</v>
      </c>
      <c r="C84" s="8">
        <v>6</v>
      </c>
      <c r="D84" s="9">
        <v>1</v>
      </c>
      <c r="E84" s="9">
        <v>1</v>
      </c>
      <c r="F84" s="9">
        <v>2</v>
      </c>
      <c r="G84" s="40" t="str">
        <f t="shared" si="7"/>
        <v>N,6,1,1,2</v>
      </c>
      <c r="H84" s="9">
        <f>IF(F84=1,'Indirect Model Parameters'!$G$25,'Indirect Model Parameters'!$G$26)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0.7</v>
      </c>
      <c r="J84" s="9">
        <f>IF(SUMIFS('Indirect Model Parameters'!$G$11:$G$16,'Indirect Model Parameters'!$D$11:$D$16,Pop_Init!E84,'Indirect Model Parameters'!$E$11:$E$16,Pop_Init!F84) = 0,'Indirect Model Parameters'!$G$17,'Indirect Model Parameters'!$G$18*SUMIFS('Indirect Model Parameters'!$G$11:$G$16,'Indirect Model Parameters'!$D$11:$D$16,Pop_Init!E84,'Indirect Model Parameters'!$E$11:$E$16,Pop_Init!F84))</f>
        <v>0.7</v>
      </c>
      <c r="L84" s="9">
        <f t="shared" si="8"/>
        <v>4.899999999999999E-3</v>
      </c>
      <c r="M84" s="9">
        <f t="shared" si="9"/>
        <v>8.5514834205933682E-4</v>
      </c>
      <c r="N84" s="38">
        <f>M84*'Indirect Model Parameters'!$G$10</f>
        <v>85.514834205933681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269</v>
      </c>
      <c r="C85" s="8">
        <v>6</v>
      </c>
      <c r="D85" s="9">
        <v>2</v>
      </c>
      <c r="E85" s="9">
        <v>1</v>
      </c>
      <c r="F85" s="9">
        <v>2</v>
      </c>
      <c r="G85" s="40" t="str">
        <f t="shared" si="7"/>
        <v>N,6,2,1,2</v>
      </c>
      <c r="H85" s="9">
        <f>IF(F85=1,'Indirect Model Parameters'!$G$25,'Indirect Model Parameters'!$G$26)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0.3</v>
      </c>
      <c r="J85" s="9">
        <f>IF(SUMIFS('Indirect Model Parameters'!$G$11:$G$16,'Indirect Model Parameters'!$D$11:$D$16,Pop_Init!E85,'Indirect Model Parameters'!$E$11:$E$16,Pop_Init!F85) = 0,'Indirect Model Parameters'!$G$17,'Indirect Model Parameters'!$G$18*SUMIFS('Indirect Model Parameters'!$G$11:$G$16,'Indirect Model Parameters'!$D$11:$D$16,Pop_Init!E85,'Indirect Model Parameters'!$E$11:$E$16,Pop_Init!F85))</f>
        <v>0.7</v>
      </c>
      <c r="L85" s="9">
        <f t="shared" si="8"/>
        <v>2.0999999999999999E-3</v>
      </c>
      <c r="M85" s="9">
        <f t="shared" si="9"/>
        <v>3.6649214659685868E-4</v>
      </c>
      <c r="N85" s="38">
        <f>M85*'Indirect Model Parameters'!$G$10</f>
        <v>36.649214659685867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269</v>
      </c>
      <c r="C86" s="8">
        <v>6</v>
      </c>
      <c r="D86" s="9">
        <v>1</v>
      </c>
      <c r="E86" s="9">
        <v>2</v>
      </c>
      <c r="F86" s="9">
        <v>1</v>
      </c>
      <c r="G86" s="40" t="str">
        <f t="shared" si="7"/>
        <v>N,6,1,2,1</v>
      </c>
      <c r="H86" s="9">
        <f>IF(F86=1,'Indirect Model Parameters'!$G$27,'Indirect Model Parameters'!$G$28)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0.3</v>
      </c>
      <c r="J86" s="9">
        <f>IF(SUMIFS('Indirect Model Parameters'!$G$11:$G$16,'Indirect Model Parameters'!$D$11:$D$16,Pop_Init!E86,'Indirect Model Parameters'!$E$11:$E$16,Pop_Init!F86) = 0,'Indirect Model Parameters'!$G$17,'Indirect Model Parameters'!$G$18*SUMIFS('Indirect Model Parameters'!$G$11:$G$16,'Indirect Model Parameters'!$D$11:$D$16,Pop_Init!E86,'Indirect Model Parameters'!$E$11:$E$16,Pop_Init!F86))</f>
        <v>0.16500000000000001</v>
      </c>
      <c r="L86" s="9">
        <f t="shared" si="8"/>
        <v>2.9700000000000001E-2</v>
      </c>
      <c r="M86" s="9">
        <f t="shared" si="9"/>
        <v>5.1832460732984306E-3</v>
      </c>
      <c r="N86" s="38">
        <f>M86*'Indirect Model Parameters'!$G$10</f>
        <v>518.32460732984305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269</v>
      </c>
      <c r="C87" s="8">
        <v>6</v>
      </c>
      <c r="D87" s="9">
        <v>2</v>
      </c>
      <c r="E87" s="9">
        <v>2</v>
      </c>
      <c r="F87" s="9">
        <v>1</v>
      </c>
      <c r="G87" s="40" t="str">
        <f t="shared" si="7"/>
        <v>N,6,2,2,1</v>
      </c>
      <c r="H87" s="9">
        <f>IF(F87=1,'Indirect Model Parameters'!$G$27,'Indirect Model Parameters'!$G$28)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0.3</v>
      </c>
      <c r="J87" s="9">
        <f>IF(SUMIFS('Indirect Model Parameters'!$G$11:$G$16,'Indirect Model Parameters'!$D$11:$D$16,Pop_Init!E87,'Indirect Model Parameters'!$E$11:$E$16,Pop_Init!F87) = 0,'Indirect Model Parameters'!$G$17,'Indirect Model Parameters'!$G$18*SUMIFS('Indirect Model Parameters'!$G$11:$G$16,'Indirect Model Parameters'!$D$11:$D$16,Pop_Init!E87,'Indirect Model Parameters'!$E$11:$E$16,Pop_Init!F87))</f>
        <v>0.16500000000000001</v>
      </c>
      <c r="L87" s="9">
        <f t="shared" si="8"/>
        <v>2.9700000000000001E-2</v>
      </c>
      <c r="M87" s="9">
        <f t="shared" si="9"/>
        <v>5.1832460732984306E-3</v>
      </c>
      <c r="N87" s="38">
        <f>M87*'Indirect Model Parameters'!$G$10</f>
        <v>518.32460732984305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269</v>
      </c>
      <c r="C88" s="8">
        <v>6</v>
      </c>
      <c r="D88" s="9">
        <v>1</v>
      </c>
      <c r="E88" s="9">
        <v>2</v>
      </c>
      <c r="F88" s="9">
        <v>2</v>
      </c>
      <c r="G88" s="40" t="str">
        <f t="shared" si="7"/>
        <v>N,6,1,2,2</v>
      </c>
      <c r="H88" s="9">
        <f>IF(F88=1,'Indirect Model Parameters'!$G$27,'Indirect Model Parameters'!$G$28)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0.3</v>
      </c>
      <c r="J88" s="9">
        <f>IF(SUMIFS('Indirect Model Parameters'!$G$11:$G$16,'Indirect Model Parameters'!$D$11:$D$16,Pop_Init!E88,'Indirect Model Parameters'!$E$11:$E$16,Pop_Init!F88) = 0,'Indirect Model Parameters'!$G$17,'Indirect Model Parameters'!$G$18*SUMIFS('Indirect Model Parameters'!$G$11:$G$16,'Indirect Model Parameters'!$D$11:$D$16,Pop_Init!E88,'Indirect Model Parameters'!$E$11:$E$16,Pop_Init!F88))</f>
        <v>0.16500000000000001</v>
      </c>
      <c r="L88" s="9">
        <f t="shared" si="8"/>
        <v>3.9600000000000003E-2</v>
      </c>
      <c r="M88" s="9">
        <f t="shared" si="9"/>
        <v>6.910994764397908E-3</v>
      </c>
      <c r="N88" s="38">
        <f>M88*'Indirect Model Parameters'!$G$10</f>
        <v>691.09947643979081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269</v>
      </c>
      <c r="C89" s="8">
        <v>6</v>
      </c>
      <c r="D89" s="9">
        <v>2</v>
      </c>
      <c r="E89" s="9">
        <v>2</v>
      </c>
      <c r="F89" s="9">
        <v>2</v>
      </c>
      <c r="G89" s="40" t="str">
        <f t="shared" si="7"/>
        <v>N,6,2,2,2</v>
      </c>
      <c r="H89" s="9">
        <f>IF(F89=1,'Indirect Model Parameters'!$G$27,'Indirect Model Parameters'!$G$28)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0.3</v>
      </c>
      <c r="J89" s="9">
        <f>IF(SUMIFS('Indirect Model Parameters'!$G$11:$G$16,'Indirect Model Parameters'!$D$11:$D$16,Pop_Init!E89,'Indirect Model Parameters'!$E$11:$E$16,Pop_Init!F89) = 0,'Indirect Model Parameters'!$G$17,'Indirect Model Parameters'!$G$18*SUMIFS('Indirect Model Parameters'!$G$11:$G$16,'Indirect Model Parameters'!$D$11:$D$16,Pop_Init!E89,'Indirect Model Parameters'!$E$11:$E$16,Pop_Init!F89))</f>
        <v>0.16500000000000001</v>
      </c>
      <c r="L89" s="9">
        <f t="shared" si="8"/>
        <v>3.9600000000000003E-2</v>
      </c>
      <c r="M89" s="9">
        <f t="shared" si="9"/>
        <v>6.910994764397908E-3</v>
      </c>
      <c r="N89" s="38">
        <f>M89*'Indirect Model Parameters'!$G$10</f>
        <v>691.09947643979081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269</v>
      </c>
      <c r="C90" s="8">
        <v>6</v>
      </c>
      <c r="D90" s="9">
        <v>1</v>
      </c>
      <c r="E90" s="9">
        <v>3</v>
      </c>
      <c r="F90" s="9">
        <v>1</v>
      </c>
      <c r="G90" s="40" t="str">
        <f t="shared" si="7"/>
        <v>N,6,1,3,1</v>
      </c>
      <c r="H90" s="9">
        <f>IF(F90=1,'Indirect Model Parameters'!$G$27,'Indirect Model Parameters'!$G$28)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0.3</v>
      </c>
      <c r="J90" s="9">
        <f>IF(SUMIFS('Indirect Model Parameters'!$G$11:$G$16,'Indirect Model Parameters'!$D$11:$D$16,Pop_Init!E90,'Indirect Model Parameters'!$E$11:$E$16,Pop_Init!F90) = 0,'Indirect Model Parameters'!$G$17,'Indirect Model Parameters'!$G$18*SUMIFS('Indirect Model Parameters'!$G$11:$G$16,'Indirect Model Parameters'!$D$11:$D$16,Pop_Init!E90,'Indirect Model Parameters'!$E$11:$E$16,Pop_Init!F90))</f>
        <v>5.3999999999999979E-2</v>
      </c>
      <c r="L90" s="9">
        <f t="shared" si="8"/>
        <v>9.719999999999996E-3</v>
      </c>
      <c r="M90" s="9">
        <f t="shared" si="9"/>
        <v>1.696335078534031E-3</v>
      </c>
      <c r="N90" s="38">
        <f>M90*'Indirect Model Parameters'!$G$10</f>
        <v>169.6335078534031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269</v>
      </c>
      <c r="C91" s="8">
        <v>6</v>
      </c>
      <c r="D91" s="9">
        <v>2</v>
      </c>
      <c r="E91" s="9">
        <v>3</v>
      </c>
      <c r="F91" s="9">
        <v>1</v>
      </c>
      <c r="G91" s="40" t="str">
        <f t="shared" si="7"/>
        <v>N,6,2,3,1</v>
      </c>
      <c r="H91" s="9">
        <f>IF(F91=1,'Indirect Model Parameters'!$G$27,'Indirect Model Parameters'!$G$28)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0.3</v>
      </c>
      <c r="J91" s="9">
        <f>IF(SUMIFS('Indirect Model Parameters'!$G$11:$G$16,'Indirect Model Parameters'!$D$11:$D$16,Pop_Init!E91,'Indirect Model Parameters'!$E$11:$E$16,Pop_Init!F91) = 0,'Indirect Model Parameters'!$G$17,'Indirect Model Parameters'!$G$18*SUMIFS('Indirect Model Parameters'!$G$11:$G$16,'Indirect Model Parameters'!$D$11:$D$16,Pop_Init!E91,'Indirect Model Parameters'!$E$11:$E$16,Pop_Init!F91))</f>
        <v>5.3999999999999979E-2</v>
      </c>
      <c r="L91" s="9">
        <f t="shared" si="8"/>
        <v>9.719999999999996E-3</v>
      </c>
      <c r="M91" s="9">
        <f t="shared" si="9"/>
        <v>1.696335078534031E-3</v>
      </c>
      <c r="N91" s="38">
        <f>M91*'Indirect Model Parameters'!$G$10</f>
        <v>169.6335078534031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269</v>
      </c>
      <c r="C92" s="8">
        <v>6</v>
      </c>
      <c r="D92" s="9">
        <v>1</v>
      </c>
      <c r="E92" s="9">
        <v>3</v>
      </c>
      <c r="F92" s="9">
        <v>2</v>
      </c>
      <c r="G92" s="40" t="str">
        <f t="shared" si="7"/>
        <v>N,6,1,3,2</v>
      </c>
      <c r="H92" s="9">
        <f>IF(F92=1,'Indirect Model Parameters'!$G$27,'Indirect Model Parameters'!$G$28)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0.3</v>
      </c>
      <c r="J92" s="9">
        <f>IF(SUMIFS('Indirect Model Parameters'!$G$11:$G$16,'Indirect Model Parameters'!$D$11:$D$16,Pop_Init!E92,'Indirect Model Parameters'!$E$11:$E$16,Pop_Init!F92) = 0,'Indirect Model Parameters'!$G$17,'Indirect Model Parameters'!$G$18*SUMIFS('Indirect Model Parameters'!$G$11:$G$16,'Indirect Model Parameters'!$D$11:$D$16,Pop_Init!E92,'Indirect Model Parameters'!$E$11:$E$16,Pop_Init!F92))</f>
        <v>5.3999999999999979E-2</v>
      </c>
      <c r="L92" s="9">
        <f t="shared" si="8"/>
        <v>1.2959999999999994E-2</v>
      </c>
      <c r="M92" s="9">
        <f t="shared" si="9"/>
        <v>2.2617801047120412E-3</v>
      </c>
      <c r="N92" s="38">
        <f>M92*'Indirect Model Parameters'!$G$10</f>
        <v>226.17801047120412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269</v>
      </c>
      <c r="C93" s="8">
        <v>6</v>
      </c>
      <c r="D93" s="9">
        <v>2</v>
      </c>
      <c r="E93" s="9">
        <v>3</v>
      </c>
      <c r="F93" s="9">
        <v>2</v>
      </c>
      <c r="G93" s="40" t="str">
        <f t="shared" si="7"/>
        <v>N,6,2,3,2</v>
      </c>
      <c r="H93" s="9">
        <f>IF(F93=1,'Indirect Model Parameters'!$G$27,'Indirect Model Parameters'!$G$28)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0.3</v>
      </c>
      <c r="J93" s="9">
        <f>IF(SUMIFS('Indirect Model Parameters'!$G$11:$G$16,'Indirect Model Parameters'!$D$11:$D$16,Pop_Init!E93,'Indirect Model Parameters'!$E$11:$E$16,Pop_Init!F93) = 0,'Indirect Model Parameters'!$G$17,'Indirect Model Parameters'!$G$18*SUMIFS('Indirect Model Parameters'!$G$11:$G$16,'Indirect Model Parameters'!$D$11:$D$16,Pop_Init!E93,'Indirect Model Parameters'!$E$11:$E$16,Pop_Init!F93))</f>
        <v>5.3999999999999979E-2</v>
      </c>
      <c r="L93" s="9">
        <f t="shared" si="8"/>
        <v>1.2959999999999994E-2</v>
      </c>
      <c r="M93" s="9">
        <f t="shared" si="9"/>
        <v>2.2617801047120412E-3</v>
      </c>
      <c r="N93" s="38">
        <f>M93*'Indirect Model Parameters'!$G$10</f>
        <v>226.17801047120412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269</v>
      </c>
      <c r="C94" s="8">
        <v>6</v>
      </c>
      <c r="D94" s="9">
        <v>1</v>
      </c>
      <c r="E94" s="9">
        <v>4</v>
      </c>
      <c r="F94" s="9">
        <v>1</v>
      </c>
      <c r="G94" s="40" t="str">
        <f t="shared" si="7"/>
        <v>N,6,1,4,1</v>
      </c>
      <c r="H94" s="9">
        <f>IF(F94=1,'Indirect Model Parameters'!$G$27,'Indirect Model Parameters'!$G$28)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0.3</v>
      </c>
      <c r="J94" s="9">
        <f>IF(SUMIFS('Indirect Model Parameters'!$G$11:$G$16,'Indirect Model Parameters'!$D$11:$D$16,Pop_Init!E94,'Indirect Model Parameters'!$E$11:$E$16,Pop_Init!F94) = 0,'Indirect Model Parameters'!$G$17,'Indirect Model Parameters'!$G$18*SUMIFS('Indirect Model Parameters'!$G$11:$G$16,'Indirect Model Parameters'!$D$11:$D$16,Pop_Init!E94,'Indirect Model Parameters'!$E$11:$E$16,Pop_Init!F94))</f>
        <v>8.1000000000000003E-2</v>
      </c>
      <c r="L94" s="9">
        <f t="shared" si="8"/>
        <v>1.4579999999999999E-2</v>
      </c>
      <c r="M94" s="9">
        <f t="shared" si="9"/>
        <v>2.5445026178010474E-3</v>
      </c>
      <c r="N94" s="38">
        <f>M94*'Indirect Model Parameters'!$G$10</f>
        <v>254.45026178010474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269</v>
      </c>
      <c r="C95" s="8">
        <v>6</v>
      </c>
      <c r="D95" s="9">
        <v>2</v>
      </c>
      <c r="E95" s="9">
        <v>4</v>
      </c>
      <c r="F95" s="9">
        <v>1</v>
      </c>
      <c r="G95" s="40" t="str">
        <f t="shared" si="7"/>
        <v>N,6,2,4,1</v>
      </c>
      <c r="H95" s="9">
        <f>IF(F95=1,'Indirect Model Parameters'!$G$27,'Indirect Model Parameters'!$G$28)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0.3</v>
      </c>
      <c r="J95" s="9">
        <f>IF(SUMIFS('Indirect Model Parameters'!$G$11:$G$16,'Indirect Model Parameters'!$D$11:$D$16,Pop_Init!E95,'Indirect Model Parameters'!$E$11:$E$16,Pop_Init!F95) = 0,'Indirect Model Parameters'!$G$17,'Indirect Model Parameters'!$G$18*SUMIFS('Indirect Model Parameters'!$G$11:$G$16,'Indirect Model Parameters'!$D$11:$D$16,Pop_Init!E95,'Indirect Model Parameters'!$E$11:$E$16,Pop_Init!F95))</f>
        <v>8.1000000000000003E-2</v>
      </c>
      <c r="L95" s="9">
        <f t="shared" si="8"/>
        <v>1.4579999999999999E-2</v>
      </c>
      <c r="M95" s="9">
        <f t="shared" si="9"/>
        <v>2.5445026178010474E-3</v>
      </c>
      <c r="N95" s="38">
        <f>M95*'Indirect Model Parameters'!$G$10</f>
        <v>254.45026178010474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269</v>
      </c>
      <c r="C96" s="8">
        <v>6</v>
      </c>
      <c r="D96" s="9">
        <v>1</v>
      </c>
      <c r="E96" s="9">
        <v>4</v>
      </c>
      <c r="F96" s="9">
        <v>2</v>
      </c>
      <c r="G96" s="40" t="str">
        <f t="shared" si="7"/>
        <v>N,6,1,4,2</v>
      </c>
      <c r="H96" s="9">
        <f>IF(F96=1,'Indirect Model Parameters'!$G$27,'Indirect Model Parameters'!$G$28)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0.3</v>
      </c>
      <c r="J96" s="9">
        <f>IF(SUMIFS('Indirect Model Parameters'!$G$11:$G$16,'Indirect Model Parameters'!$D$11:$D$16,Pop_Init!E96,'Indirect Model Parameters'!$E$11:$E$16,Pop_Init!F96) = 0,'Indirect Model Parameters'!$G$17,'Indirect Model Parameters'!$G$18*SUMIFS('Indirect Model Parameters'!$G$11:$G$16,'Indirect Model Parameters'!$D$11:$D$16,Pop_Init!E96,'Indirect Model Parameters'!$E$11:$E$16,Pop_Init!F96))</f>
        <v>8.1000000000000003E-2</v>
      </c>
      <c r="L96" s="9">
        <f t="shared" si="8"/>
        <v>1.9439999999999999E-2</v>
      </c>
      <c r="M96" s="9">
        <f t="shared" si="9"/>
        <v>3.3926701570680634E-3</v>
      </c>
      <c r="N96" s="38">
        <f>M96*'Indirect Model Parameters'!$G$10</f>
        <v>339.26701570680632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269</v>
      </c>
      <c r="C97" s="8">
        <v>6</v>
      </c>
      <c r="D97" s="9">
        <v>2</v>
      </c>
      <c r="E97" s="9">
        <v>4</v>
      </c>
      <c r="F97" s="9">
        <v>2</v>
      </c>
      <c r="G97" s="40" t="str">
        <f t="shared" si="7"/>
        <v>N,6,2,4,2</v>
      </c>
      <c r="H97" s="9">
        <f>IF(F97=1,'Indirect Model Parameters'!$G$27,'Indirect Model Parameters'!$G$28)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0.3</v>
      </c>
      <c r="J97" s="9">
        <f>IF(SUMIFS('Indirect Model Parameters'!$G$11:$G$16,'Indirect Model Parameters'!$D$11:$D$16,Pop_Init!E97,'Indirect Model Parameters'!$E$11:$E$16,Pop_Init!F97) = 0,'Indirect Model Parameters'!$G$17,'Indirect Model Parameters'!$G$18*SUMIFS('Indirect Model Parameters'!$G$11:$G$16,'Indirect Model Parameters'!$D$11:$D$16,Pop_Init!E97,'Indirect Model Parameters'!$E$11:$E$16,Pop_Init!F97))</f>
        <v>8.1000000000000003E-2</v>
      </c>
      <c r="L97" s="9">
        <f t="shared" si="8"/>
        <v>1.9439999999999999E-2</v>
      </c>
      <c r="M97" s="9">
        <f t="shared" si="9"/>
        <v>3.3926701570680634E-3</v>
      </c>
      <c r="N97" s="38">
        <f>M97*'Indirect Model Parameters'!$G$10</f>
        <v>339.26701570680632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269</v>
      </c>
      <c r="C98" s="8">
        <v>7</v>
      </c>
      <c r="D98" s="9">
        <v>1</v>
      </c>
      <c r="E98" s="9">
        <v>1</v>
      </c>
      <c r="F98" s="9">
        <v>1</v>
      </c>
      <c r="G98" s="40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0.7</v>
      </c>
      <c r="J98" s="9">
        <f>IF(SUMIFS('Indirect Model Parameters'!$G$11:$G$16,'Indirect Model Parameters'!$D$11:$D$16,Pop_Init!E98,'Indirect Model Parameters'!$E$11:$E$16,Pop_Init!F98) = 0,'Indirect Model Parameters'!$G$17,'Indirect Model Parameters'!$G$18*SUMIFS('Indirect Model Parameters'!$G$11:$G$16,'Indirect Model Parameters'!$D$11:$D$16,Pop_Init!E98,'Indirect Model Parameters'!$E$11:$E$16,Pop_Init!F98))</f>
        <v>0.7</v>
      </c>
      <c r="L98" s="9">
        <f t="shared" si="8"/>
        <v>0</v>
      </c>
      <c r="M98" s="9">
        <f t="shared" si="9"/>
        <v>0</v>
      </c>
      <c r="N98" s="38">
        <f>M98*'Indirect Model Parameters'!$G$10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269</v>
      </c>
      <c r="C99" s="8">
        <v>7</v>
      </c>
      <c r="D99" s="9">
        <v>2</v>
      </c>
      <c r="E99" s="9">
        <v>1</v>
      </c>
      <c r="F99" s="9">
        <v>1</v>
      </c>
      <c r="G99" s="40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0.3</v>
      </c>
      <c r="J99" s="9">
        <f>IF(SUMIFS('Indirect Model Parameters'!$G$11:$G$16,'Indirect Model Parameters'!$D$11:$D$16,Pop_Init!E99,'Indirect Model Parameters'!$E$11:$E$16,Pop_Init!F99) = 0,'Indirect Model Parameters'!$G$17,'Indirect Model Parameters'!$G$18*SUMIFS('Indirect Model Parameters'!$G$11:$G$16,'Indirect Model Parameters'!$D$11:$D$16,Pop_Init!E99,'Indirect Model Parameters'!$E$11:$E$16,Pop_Init!F99))</f>
        <v>0.7</v>
      </c>
      <c r="L99" s="9">
        <f t="shared" si="8"/>
        <v>0</v>
      </c>
      <c r="M99" s="9">
        <f t="shared" si="9"/>
        <v>0</v>
      </c>
      <c r="N99" s="38">
        <f>M99*'Indirect Model Parameters'!$G$10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269</v>
      </c>
      <c r="C100" s="8">
        <v>7</v>
      </c>
      <c r="D100" s="9">
        <v>1</v>
      </c>
      <c r="E100" s="9">
        <v>1</v>
      </c>
      <c r="F100" s="9">
        <v>2</v>
      </c>
      <c r="G100" s="40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0.7</v>
      </c>
      <c r="J100" s="9">
        <f>IF(SUMIFS('Indirect Model Parameters'!$G$11:$G$16,'Indirect Model Parameters'!$D$11:$D$16,Pop_Init!E100,'Indirect Model Parameters'!$E$11:$E$16,Pop_Init!F100) = 0,'Indirect Model Parameters'!$G$17,'Indirect Model Parameters'!$G$18*SUMIFS('Indirect Model Parameters'!$G$11:$G$16,'Indirect Model Parameters'!$D$11:$D$16,Pop_Init!E100,'Indirect Model Parameters'!$E$11:$E$16,Pop_Init!F100))</f>
        <v>0.7</v>
      </c>
      <c r="L100" s="9">
        <f t="shared" si="8"/>
        <v>0</v>
      </c>
      <c r="M100" s="9">
        <f t="shared" si="9"/>
        <v>0</v>
      </c>
      <c r="N100" s="38">
        <f>M100*'Indirect Model Parameters'!$G$10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269</v>
      </c>
      <c r="C101" s="8">
        <v>7</v>
      </c>
      <c r="D101" s="9">
        <v>2</v>
      </c>
      <c r="E101" s="9">
        <v>1</v>
      </c>
      <c r="F101" s="9">
        <v>2</v>
      </c>
      <c r="G101" s="40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0.3</v>
      </c>
      <c r="J101" s="9">
        <f>IF(SUMIFS('Indirect Model Parameters'!$G$11:$G$16,'Indirect Model Parameters'!$D$11:$D$16,Pop_Init!E101,'Indirect Model Parameters'!$E$11:$E$16,Pop_Init!F101) = 0,'Indirect Model Parameters'!$G$17,'Indirect Model Parameters'!$G$18*SUMIFS('Indirect Model Parameters'!$G$11:$G$16,'Indirect Model Parameters'!$D$11:$D$16,Pop_Init!E101,'Indirect Model Parameters'!$E$11:$E$16,Pop_Init!F101))</f>
        <v>0.7</v>
      </c>
      <c r="L101" s="9">
        <f t="shared" si="8"/>
        <v>0</v>
      </c>
      <c r="M101" s="9">
        <f t="shared" si="9"/>
        <v>0</v>
      </c>
      <c r="N101" s="38">
        <f>M101*'Indirect Model Parameters'!$G$10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269</v>
      </c>
      <c r="C102" s="8">
        <v>7</v>
      </c>
      <c r="D102" s="9">
        <v>1</v>
      </c>
      <c r="E102" s="9">
        <v>2</v>
      </c>
      <c r="F102" s="9">
        <v>1</v>
      </c>
      <c r="G102" s="40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0.3</v>
      </c>
      <c r="J102" s="9">
        <f>IF(SUMIFS('Indirect Model Parameters'!$G$11:$G$16,'Indirect Model Parameters'!$D$11:$D$16,Pop_Init!E102,'Indirect Model Parameters'!$E$11:$E$16,Pop_Init!F102) = 0,'Indirect Model Parameters'!$G$17,'Indirect Model Parameters'!$G$18*SUMIFS('Indirect Model Parameters'!$G$11:$G$16,'Indirect Model Parameters'!$D$11:$D$16,Pop_Init!E102,'Indirect Model Parameters'!$E$11:$E$16,Pop_Init!F102))</f>
        <v>0.16500000000000001</v>
      </c>
      <c r="L102" s="9">
        <f t="shared" si="8"/>
        <v>0</v>
      </c>
      <c r="M102" s="9">
        <f t="shared" si="9"/>
        <v>0</v>
      </c>
      <c r="N102" s="38">
        <f>M102*'Indirect Model Parameters'!$G$10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269</v>
      </c>
      <c r="C103" s="8">
        <v>7</v>
      </c>
      <c r="D103" s="9">
        <v>2</v>
      </c>
      <c r="E103" s="9">
        <v>2</v>
      </c>
      <c r="F103" s="9">
        <v>1</v>
      </c>
      <c r="G103" s="40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0.3</v>
      </c>
      <c r="J103" s="9">
        <f>IF(SUMIFS('Indirect Model Parameters'!$G$11:$G$16,'Indirect Model Parameters'!$D$11:$D$16,Pop_Init!E103,'Indirect Model Parameters'!$E$11:$E$16,Pop_Init!F103) = 0,'Indirect Model Parameters'!$G$17,'Indirect Model Parameters'!$G$18*SUMIFS('Indirect Model Parameters'!$G$11:$G$16,'Indirect Model Parameters'!$D$11:$D$16,Pop_Init!E103,'Indirect Model Parameters'!$E$11:$E$16,Pop_Init!F103))</f>
        <v>0.16500000000000001</v>
      </c>
      <c r="L103" s="9">
        <f t="shared" si="8"/>
        <v>0</v>
      </c>
      <c r="M103" s="9">
        <f t="shared" si="9"/>
        <v>0</v>
      </c>
      <c r="N103" s="38">
        <f>M103*'Indirect Model Parameters'!$G$10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269</v>
      </c>
      <c r="C104" s="8">
        <v>7</v>
      </c>
      <c r="D104" s="9">
        <v>1</v>
      </c>
      <c r="E104" s="9">
        <v>2</v>
      </c>
      <c r="F104" s="9">
        <v>2</v>
      </c>
      <c r="G104" s="40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0.3</v>
      </c>
      <c r="J104" s="9">
        <f>IF(SUMIFS('Indirect Model Parameters'!$G$11:$G$16,'Indirect Model Parameters'!$D$11:$D$16,Pop_Init!E104,'Indirect Model Parameters'!$E$11:$E$16,Pop_Init!F104) = 0,'Indirect Model Parameters'!$G$17,'Indirect Model Parameters'!$G$18*SUMIFS('Indirect Model Parameters'!$G$11:$G$16,'Indirect Model Parameters'!$D$11:$D$16,Pop_Init!E104,'Indirect Model Parameters'!$E$11:$E$16,Pop_Init!F104))</f>
        <v>0.16500000000000001</v>
      </c>
      <c r="L104" s="9">
        <f t="shared" si="8"/>
        <v>0</v>
      </c>
      <c r="M104" s="9">
        <f t="shared" si="9"/>
        <v>0</v>
      </c>
      <c r="N104" s="38">
        <f>M104*'Indirect Model Parameters'!$G$10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269</v>
      </c>
      <c r="C105" s="8">
        <v>7</v>
      </c>
      <c r="D105" s="9">
        <v>2</v>
      </c>
      <c r="E105" s="9">
        <v>2</v>
      </c>
      <c r="F105" s="9">
        <v>2</v>
      </c>
      <c r="G105" s="40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0.3</v>
      </c>
      <c r="J105" s="9">
        <f>IF(SUMIFS('Indirect Model Parameters'!$G$11:$G$16,'Indirect Model Parameters'!$D$11:$D$16,Pop_Init!E105,'Indirect Model Parameters'!$E$11:$E$16,Pop_Init!F105) = 0,'Indirect Model Parameters'!$G$17,'Indirect Model Parameters'!$G$18*SUMIFS('Indirect Model Parameters'!$G$11:$G$16,'Indirect Model Parameters'!$D$11:$D$16,Pop_Init!E105,'Indirect Model Parameters'!$E$11:$E$16,Pop_Init!F105))</f>
        <v>0.16500000000000001</v>
      </c>
      <c r="L105" s="9">
        <f t="shared" si="8"/>
        <v>0</v>
      </c>
      <c r="M105" s="9">
        <f t="shared" si="9"/>
        <v>0</v>
      </c>
      <c r="N105" s="38">
        <f>M105*'Indirect Model Parameters'!$G$10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269</v>
      </c>
      <c r="C106" s="8">
        <v>7</v>
      </c>
      <c r="D106" s="9">
        <v>1</v>
      </c>
      <c r="E106" s="9">
        <v>3</v>
      </c>
      <c r="F106" s="9">
        <v>1</v>
      </c>
      <c r="G106" s="40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0.3</v>
      </c>
      <c r="J106" s="9">
        <f>IF(SUMIFS('Indirect Model Parameters'!$G$11:$G$16,'Indirect Model Parameters'!$D$11:$D$16,Pop_Init!E106,'Indirect Model Parameters'!$E$11:$E$16,Pop_Init!F106) = 0,'Indirect Model Parameters'!$G$17,'Indirect Model Parameters'!$G$18*SUMIFS('Indirect Model Parameters'!$G$11:$G$16,'Indirect Model Parameters'!$D$11:$D$16,Pop_Init!E106,'Indirect Model Parameters'!$E$11:$E$16,Pop_Init!F106))</f>
        <v>5.3999999999999979E-2</v>
      </c>
      <c r="L106" s="9">
        <f t="shared" si="8"/>
        <v>0</v>
      </c>
      <c r="M106" s="9">
        <f t="shared" si="9"/>
        <v>0</v>
      </c>
      <c r="N106" s="38">
        <f>M106*'Indirect Model Parameters'!$G$10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269</v>
      </c>
      <c r="C107" s="8">
        <v>7</v>
      </c>
      <c r="D107" s="9">
        <v>2</v>
      </c>
      <c r="E107" s="9">
        <v>3</v>
      </c>
      <c r="F107" s="9">
        <v>1</v>
      </c>
      <c r="G107" s="40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0.3</v>
      </c>
      <c r="J107" s="9">
        <f>IF(SUMIFS('Indirect Model Parameters'!$G$11:$G$16,'Indirect Model Parameters'!$D$11:$D$16,Pop_Init!E107,'Indirect Model Parameters'!$E$11:$E$16,Pop_Init!F107) = 0,'Indirect Model Parameters'!$G$17,'Indirect Model Parameters'!$G$18*SUMIFS('Indirect Model Parameters'!$G$11:$G$16,'Indirect Model Parameters'!$D$11:$D$16,Pop_Init!E107,'Indirect Model Parameters'!$E$11:$E$16,Pop_Init!F107))</f>
        <v>5.3999999999999979E-2</v>
      </c>
      <c r="L107" s="9">
        <f t="shared" si="8"/>
        <v>0</v>
      </c>
      <c r="M107" s="9">
        <f t="shared" si="9"/>
        <v>0</v>
      </c>
      <c r="N107" s="38">
        <f>M107*'Indirect Model Parameters'!$G$10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269</v>
      </c>
      <c r="C108" s="8">
        <v>7</v>
      </c>
      <c r="D108" s="9">
        <v>1</v>
      </c>
      <c r="E108" s="9">
        <v>3</v>
      </c>
      <c r="F108" s="9">
        <v>2</v>
      </c>
      <c r="G108" s="40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0.3</v>
      </c>
      <c r="J108" s="9">
        <f>IF(SUMIFS('Indirect Model Parameters'!$G$11:$G$16,'Indirect Model Parameters'!$D$11:$D$16,Pop_Init!E108,'Indirect Model Parameters'!$E$11:$E$16,Pop_Init!F108) = 0,'Indirect Model Parameters'!$G$17,'Indirect Model Parameters'!$G$18*SUMIFS('Indirect Model Parameters'!$G$11:$G$16,'Indirect Model Parameters'!$D$11:$D$16,Pop_Init!E108,'Indirect Model Parameters'!$E$11:$E$16,Pop_Init!F108))</f>
        <v>5.3999999999999979E-2</v>
      </c>
      <c r="L108" s="9">
        <f t="shared" si="8"/>
        <v>0</v>
      </c>
      <c r="M108" s="9">
        <f t="shared" si="9"/>
        <v>0</v>
      </c>
      <c r="N108" s="38">
        <f>M108*'Indirect Model Parameters'!$G$10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269</v>
      </c>
      <c r="C109" s="8">
        <v>7</v>
      </c>
      <c r="D109" s="9">
        <v>2</v>
      </c>
      <c r="E109" s="9">
        <v>3</v>
      </c>
      <c r="F109" s="9">
        <v>2</v>
      </c>
      <c r="G109" s="40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0.3</v>
      </c>
      <c r="J109" s="9">
        <f>IF(SUMIFS('Indirect Model Parameters'!$G$11:$G$16,'Indirect Model Parameters'!$D$11:$D$16,Pop_Init!E109,'Indirect Model Parameters'!$E$11:$E$16,Pop_Init!F109) = 0,'Indirect Model Parameters'!$G$17,'Indirect Model Parameters'!$G$18*SUMIFS('Indirect Model Parameters'!$G$11:$G$16,'Indirect Model Parameters'!$D$11:$D$16,Pop_Init!E109,'Indirect Model Parameters'!$E$11:$E$16,Pop_Init!F109))</f>
        <v>5.3999999999999979E-2</v>
      </c>
      <c r="L109" s="9">
        <f t="shared" si="8"/>
        <v>0</v>
      </c>
      <c r="M109" s="9">
        <f t="shared" si="9"/>
        <v>0</v>
      </c>
      <c r="N109" s="38">
        <f>M109*'Indirect Model Parameters'!$G$10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269</v>
      </c>
      <c r="C110" s="8">
        <v>7</v>
      </c>
      <c r="D110" s="9">
        <v>1</v>
      </c>
      <c r="E110" s="9">
        <v>4</v>
      </c>
      <c r="F110" s="9">
        <v>1</v>
      </c>
      <c r="G110" s="40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0.3</v>
      </c>
      <c r="J110" s="9">
        <f>IF(SUMIFS('Indirect Model Parameters'!$G$11:$G$16,'Indirect Model Parameters'!$D$11:$D$16,Pop_Init!E110,'Indirect Model Parameters'!$E$11:$E$16,Pop_Init!F110) = 0,'Indirect Model Parameters'!$G$17,'Indirect Model Parameters'!$G$18*SUMIFS('Indirect Model Parameters'!$G$11:$G$16,'Indirect Model Parameters'!$D$11:$D$16,Pop_Init!E110,'Indirect Model Parameters'!$E$11:$E$16,Pop_Init!F110))</f>
        <v>8.1000000000000003E-2</v>
      </c>
      <c r="L110" s="9">
        <f t="shared" si="8"/>
        <v>0</v>
      </c>
      <c r="M110" s="9">
        <f t="shared" si="9"/>
        <v>0</v>
      </c>
      <c r="N110" s="38">
        <f>M110*'Indirect Model Parameters'!$G$10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269</v>
      </c>
      <c r="C111" s="8">
        <v>7</v>
      </c>
      <c r="D111" s="9">
        <v>2</v>
      </c>
      <c r="E111" s="9">
        <v>4</v>
      </c>
      <c r="F111" s="9">
        <v>1</v>
      </c>
      <c r="G111" s="40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0.3</v>
      </c>
      <c r="J111" s="9">
        <f>IF(SUMIFS('Indirect Model Parameters'!$G$11:$G$16,'Indirect Model Parameters'!$D$11:$D$16,Pop_Init!E111,'Indirect Model Parameters'!$E$11:$E$16,Pop_Init!F111) = 0,'Indirect Model Parameters'!$G$17,'Indirect Model Parameters'!$G$18*SUMIFS('Indirect Model Parameters'!$G$11:$G$16,'Indirect Model Parameters'!$D$11:$D$16,Pop_Init!E111,'Indirect Model Parameters'!$E$11:$E$16,Pop_Init!F111))</f>
        <v>8.1000000000000003E-2</v>
      </c>
      <c r="L111" s="9">
        <f t="shared" si="8"/>
        <v>0</v>
      </c>
      <c r="M111" s="9">
        <f t="shared" si="9"/>
        <v>0</v>
      </c>
      <c r="N111" s="38">
        <f>M111*'Indirect Model Parameters'!$G$10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269</v>
      </c>
      <c r="C112" s="8">
        <v>7</v>
      </c>
      <c r="D112" s="9">
        <v>1</v>
      </c>
      <c r="E112" s="9">
        <v>4</v>
      </c>
      <c r="F112" s="9">
        <v>2</v>
      </c>
      <c r="G112" s="40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0.3</v>
      </c>
      <c r="J112" s="9">
        <f>IF(SUMIFS('Indirect Model Parameters'!$G$11:$G$16,'Indirect Model Parameters'!$D$11:$D$16,Pop_Init!E112,'Indirect Model Parameters'!$E$11:$E$16,Pop_Init!F112) = 0,'Indirect Model Parameters'!$G$17,'Indirect Model Parameters'!$G$18*SUMIFS('Indirect Model Parameters'!$G$11:$G$16,'Indirect Model Parameters'!$D$11:$D$16,Pop_Init!E112,'Indirect Model Parameters'!$E$11:$E$16,Pop_Init!F112))</f>
        <v>8.1000000000000003E-2</v>
      </c>
      <c r="L112" s="9">
        <f t="shared" si="8"/>
        <v>0</v>
      </c>
      <c r="M112" s="9">
        <f t="shared" si="9"/>
        <v>0</v>
      </c>
      <c r="N112" s="38">
        <f>M112*'Indirect Model Parameters'!$G$10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269</v>
      </c>
      <c r="C113" s="8">
        <v>7</v>
      </c>
      <c r="D113" s="9">
        <v>2</v>
      </c>
      <c r="E113" s="9">
        <v>4</v>
      </c>
      <c r="F113" s="9">
        <v>2</v>
      </c>
      <c r="G113" s="40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0.3</v>
      </c>
      <c r="J113" s="9">
        <f>IF(SUMIFS('Indirect Model Parameters'!$G$11:$G$16,'Indirect Model Parameters'!$D$11:$D$16,Pop_Init!E113,'Indirect Model Parameters'!$E$11:$E$16,Pop_Init!F113) = 0,'Indirect Model Parameters'!$G$17,'Indirect Model Parameters'!$G$18*SUMIFS('Indirect Model Parameters'!$G$11:$G$16,'Indirect Model Parameters'!$D$11:$D$16,Pop_Init!E113,'Indirect Model Parameters'!$E$11:$E$16,Pop_Init!F113))</f>
        <v>8.1000000000000003E-2</v>
      </c>
      <c r="L113" s="9">
        <f t="shared" si="8"/>
        <v>0</v>
      </c>
      <c r="M113" s="9">
        <f t="shared" si="9"/>
        <v>0</v>
      </c>
      <c r="N113" s="38">
        <f>M113*'Indirect Model Parameters'!$G$10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269</v>
      </c>
      <c r="C114" s="8">
        <v>8</v>
      </c>
      <c r="D114" s="9">
        <v>1</v>
      </c>
      <c r="E114" s="9">
        <v>1</v>
      </c>
      <c r="F114" s="9">
        <v>1</v>
      </c>
      <c r="G114" s="40" t="str">
        <f t="shared" si="11"/>
        <v>N,8,1,1,1</v>
      </c>
      <c r="H114" s="9">
        <f>IF(F114=1,'Indirect Model Parameters'!$G$21,'Indirect Model Parameters'!$G$22)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0.7</v>
      </c>
      <c r="J114" s="9">
        <f>IF(SUMIFS('Indirect Model Parameters'!$G$11:$G$16,'Indirect Model Parameters'!$D$11:$D$16,Pop_Init!E114,'Indirect Model Parameters'!$E$11:$E$16,Pop_Init!F114) = 0,'Indirect Model Parameters'!$G$17,'Indirect Model Parameters'!$G$18*SUMIFS('Indirect Model Parameters'!$G$11:$G$16,'Indirect Model Parameters'!$D$11:$D$16,Pop_Init!E114,'Indirect Model Parameters'!$E$11:$E$16,Pop_Init!F114))</f>
        <v>0.7</v>
      </c>
      <c r="L114" s="9">
        <f t="shared" si="8"/>
        <v>0.24009999999999995</v>
      </c>
      <c r="M114" s="9">
        <f t="shared" si="9"/>
        <v>4.1902268760907503E-2</v>
      </c>
      <c r="N114" s="38">
        <f>M114*'Indirect Model Parameters'!$G$10</f>
        <v>4190.22687609075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269</v>
      </c>
      <c r="C115" s="8">
        <v>8</v>
      </c>
      <c r="D115" s="9">
        <v>2</v>
      </c>
      <c r="E115" s="9">
        <v>1</v>
      </c>
      <c r="F115" s="9">
        <v>1</v>
      </c>
      <c r="G115" s="40" t="str">
        <f t="shared" si="11"/>
        <v>N,8,2,1,1</v>
      </c>
      <c r="H115" s="9">
        <f>IF(F115=1,'Indirect Model Parameters'!$G$21,'Indirect Model Parameters'!$G$22)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0.3</v>
      </c>
      <c r="J115" s="9">
        <f>IF(SUMIFS('Indirect Model Parameters'!$G$11:$G$16,'Indirect Model Parameters'!$D$11:$D$16,Pop_Init!E115,'Indirect Model Parameters'!$E$11:$E$16,Pop_Init!F115) = 0,'Indirect Model Parameters'!$G$17,'Indirect Model Parameters'!$G$18*SUMIFS('Indirect Model Parameters'!$G$11:$G$16,'Indirect Model Parameters'!$D$11:$D$16,Pop_Init!E115,'Indirect Model Parameters'!$E$11:$E$16,Pop_Init!F115))</f>
        <v>0.7</v>
      </c>
      <c r="L115" s="9">
        <f t="shared" si="8"/>
        <v>0.10289999999999999</v>
      </c>
      <c r="M115" s="9">
        <f t="shared" si="9"/>
        <v>1.7958115183246075E-2</v>
      </c>
      <c r="N115" s="38">
        <f>M115*'Indirect Model Parameters'!$G$10</f>
        <v>1795.8115183246075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269</v>
      </c>
      <c r="C116" s="8">
        <v>8</v>
      </c>
      <c r="D116" s="9">
        <v>1</v>
      </c>
      <c r="E116" s="9">
        <v>1</v>
      </c>
      <c r="F116" s="9">
        <v>2</v>
      </c>
      <c r="G116" s="40" t="str">
        <f t="shared" si="11"/>
        <v>N,8,1,1,2</v>
      </c>
      <c r="H116" s="9">
        <f>IF(F116=1,'Indirect Model Parameters'!$G$21,'Indirect Model Parameters'!$G$22)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0.7</v>
      </c>
      <c r="J116" s="9">
        <f>IF(SUMIFS('Indirect Model Parameters'!$G$11:$G$16,'Indirect Model Parameters'!$D$11:$D$16,Pop_Init!E116,'Indirect Model Parameters'!$E$11:$E$16,Pop_Init!F116) = 0,'Indirect Model Parameters'!$G$17,'Indirect Model Parameters'!$G$18*SUMIFS('Indirect Model Parameters'!$G$11:$G$16,'Indirect Model Parameters'!$D$11:$D$16,Pop_Init!E116,'Indirect Model Parameters'!$E$11:$E$16,Pop_Init!F116))</f>
        <v>0.7</v>
      </c>
      <c r="L116" s="9">
        <f t="shared" si="8"/>
        <v>0.24009999999999995</v>
      </c>
      <c r="M116" s="9">
        <f t="shared" si="9"/>
        <v>4.1902268760907503E-2</v>
      </c>
      <c r="N116" s="38">
        <f>M116*'Indirect Model Parameters'!$G$10</f>
        <v>4190.22687609075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269</v>
      </c>
      <c r="C117" s="8">
        <v>8</v>
      </c>
      <c r="D117" s="9">
        <v>2</v>
      </c>
      <c r="E117" s="9">
        <v>1</v>
      </c>
      <c r="F117" s="9">
        <v>2</v>
      </c>
      <c r="G117" s="40" t="str">
        <f t="shared" si="11"/>
        <v>N,8,2,1,2</v>
      </c>
      <c r="H117" s="9">
        <f>IF(F117=1,'Indirect Model Parameters'!$G$21,'Indirect Model Parameters'!$G$22)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0.3</v>
      </c>
      <c r="J117" s="9">
        <f>IF(SUMIFS('Indirect Model Parameters'!$G$11:$G$16,'Indirect Model Parameters'!$D$11:$D$16,Pop_Init!E117,'Indirect Model Parameters'!$E$11:$E$16,Pop_Init!F117) = 0,'Indirect Model Parameters'!$G$17,'Indirect Model Parameters'!$G$18*SUMIFS('Indirect Model Parameters'!$G$11:$G$16,'Indirect Model Parameters'!$D$11:$D$16,Pop_Init!E117,'Indirect Model Parameters'!$E$11:$E$16,Pop_Init!F117))</f>
        <v>0.7</v>
      </c>
      <c r="L117" s="9">
        <f t="shared" si="8"/>
        <v>0.10289999999999999</v>
      </c>
      <c r="M117" s="9">
        <f t="shared" si="9"/>
        <v>1.7958115183246075E-2</v>
      </c>
      <c r="N117" s="38">
        <f>M117*'Indirect Model Parameters'!$G$10</f>
        <v>1795.8115183246075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269</v>
      </c>
      <c r="C118" s="8">
        <v>8</v>
      </c>
      <c r="D118" s="9">
        <v>1</v>
      </c>
      <c r="E118" s="9">
        <v>2</v>
      </c>
      <c r="F118" s="9">
        <v>1</v>
      </c>
      <c r="G118" s="40" t="str">
        <f t="shared" si="11"/>
        <v>N,8,1,2,1</v>
      </c>
      <c r="H118" s="9">
        <f>IF(F118=1,'Indirect Model Parameters'!$G$23,'Indirect Model Parameters'!$G$24)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0.3</v>
      </c>
      <c r="J118" s="9">
        <f>IF(SUMIFS('Indirect Model Parameters'!$G$11:$G$16,'Indirect Model Parameters'!$D$11:$D$16,Pop_Init!E118,'Indirect Model Parameters'!$E$11:$E$16,Pop_Init!F118) = 0,'Indirect Model Parameters'!$G$17,'Indirect Model Parameters'!$G$18*SUMIFS('Indirect Model Parameters'!$G$11:$G$16,'Indirect Model Parameters'!$D$11:$D$16,Pop_Init!E118,'Indirect Model Parameters'!$E$11:$E$16,Pop_Init!F118))</f>
        <v>0.16500000000000001</v>
      </c>
      <c r="L118" s="9">
        <f t="shared" si="8"/>
        <v>2.4750000000000001E-2</v>
      </c>
      <c r="M118" s="9">
        <f t="shared" si="9"/>
        <v>4.3193717277486927E-3</v>
      </c>
      <c r="N118" s="38">
        <f>M118*'Indirect Model Parameters'!$G$10</f>
        <v>431.93717277486928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269</v>
      </c>
      <c r="C119" s="8">
        <v>8</v>
      </c>
      <c r="D119" s="9">
        <v>2</v>
      </c>
      <c r="E119" s="9">
        <v>2</v>
      </c>
      <c r="F119" s="9">
        <v>1</v>
      </c>
      <c r="G119" s="40" t="str">
        <f t="shared" si="11"/>
        <v>N,8,2,2,1</v>
      </c>
      <c r="H119" s="9">
        <f>IF(F119=1,'Indirect Model Parameters'!$G$23,'Indirect Model Parameters'!$G$24)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0.3</v>
      </c>
      <c r="J119" s="9">
        <f>IF(SUMIFS('Indirect Model Parameters'!$G$11:$G$16,'Indirect Model Parameters'!$D$11:$D$16,Pop_Init!E119,'Indirect Model Parameters'!$E$11:$E$16,Pop_Init!F119) = 0,'Indirect Model Parameters'!$G$17,'Indirect Model Parameters'!$G$18*SUMIFS('Indirect Model Parameters'!$G$11:$G$16,'Indirect Model Parameters'!$D$11:$D$16,Pop_Init!E119,'Indirect Model Parameters'!$E$11:$E$16,Pop_Init!F119))</f>
        <v>0.16500000000000001</v>
      </c>
      <c r="L119" s="9">
        <f t="shared" si="8"/>
        <v>2.4750000000000001E-2</v>
      </c>
      <c r="M119" s="9">
        <f t="shared" si="9"/>
        <v>4.3193717277486927E-3</v>
      </c>
      <c r="N119" s="38">
        <f>M119*'Indirect Model Parameters'!$G$10</f>
        <v>431.93717277486928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269</v>
      </c>
      <c r="C120" s="8">
        <v>8</v>
      </c>
      <c r="D120" s="9">
        <v>1</v>
      </c>
      <c r="E120" s="9">
        <v>2</v>
      </c>
      <c r="F120" s="9">
        <v>2</v>
      </c>
      <c r="G120" s="40" t="str">
        <f t="shared" si="11"/>
        <v>N,8,1,2,2</v>
      </c>
      <c r="H120" s="9">
        <f>IF(F120=1,'Indirect Model Parameters'!$G$23,'Indirect Model Parameters'!$G$24)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0.3</v>
      </c>
      <c r="J120" s="9">
        <f>IF(SUMIFS('Indirect Model Parameters'!$G$11:$G$16,'Indirect Model Parameters'!$D$11:$D$16,Pop_Init!E120,'Indirect Model Parameters'!$E$11:$E$16,Pop_Init!F120) = 0,'Indirect Model Parameters'!$G$17,'Indirect Model Parameters'!$G$18*SUMIFS('Indirect Model Parameters'!$G$11:$G$16,'Indirect Model Parameters'!$D$11:$D$16,Pop_Init!E120,'Indirect Model Parameters'!$E$11:$E$16,Pop_Init!F120))</f>
        <v>0.16500000000000001</v>
      </c>
      <c r="L120" s="9">
        <f t="shared" si="8"/>
        <v>2.4750000000000001E-2</v>
      </c>
      <c r="M120" s="9">
        <f t="shared" si="9"/>
        <v>4.3193717277486927E-3</v>
      </c>
      <c r="N120" s="38">
        <f>M120*'Indirect Model Parameters'!$G$10</f>
        <v>431.93717277486928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269</v>
      </c>
      <c r="C121" s="8">
        <v>8</v>
      </c>
      <c r="D121" s="9">
        <v>2</v>
      </c>
      <c r="E121" s="9">
        <v>2</v>
      </c>
      <c r="F121" s="9">
        <v>2</v>
      </c>
      <c r="G121" s="40" t="str">
        <f t="shared" si="11"/>
        <v>N,8,2,2,2</v>
      </c>
      <c r="H121" s="9">
        <f>IF(F121=1,'Indirect Model Parameters'!$G$23,'Indirect Model Parameters'!$G$24)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0.3</v>
      </c>
      <c r="J121" s="9">
        <f>IF(SUMIFS('Indirect Model Parameters'!$G$11:$G$16,'Indirect Model Parameters'!$D$11:$D$16,Pop_Init!E121,'Indirect Model Parameters'!$E$11:$E$16,Pop_Init!F121) = 0,'Indirect Model Parameters'!$G$17,'Indirect Model Parameters'!$G$18*SUMIFS('Indirect Model Parameters'!$G$11:$G$16,'Indirect Model Parameters'!$D$11:$D$16,Pop_Init!E121,'Indirect Model Parameters'!$E$11:$E$16,Pop_Init!F121))</f>
        <v>0.16500000000000001</v>
      </c>
      <c r="L121" s="9">
        <f t="shared" si="8"/>
        <v>2.4750000000000001E-2</v>
      </c>
      <c r="M121" s="9">
        <f t="shared" si="9"/>
        <v>4.3193717277486927E-3</v>
      </c>
      <c r="N121" s="38">
        <f>M121*'Indirect Model Parameters'!$G$10</f>
        <v>431.93717277486928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269</v>
      </c>
      <c r="C122" s="8">
        <v>8</v>
      </c>
      <c r="D122" s="9">
        <v>1</v>
      </c>
      <c r="E122" s="9">
        <v>3</v>
      </c>
      <c r="F122" s="9">
        <v>1</v>
      </c>
      <c r="G122" s="40" t="str">
        <f t="shared" si="11"/>
        <v>N,8,1,3,1</v>
      </c>
      <c r="H122" s="9">
        <f>IF(F122=1,'Indirect Model Parameters'!$G$23,'Indirect Model Parameters'!$G$24)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0.3</v>
      </c>
      <c r="J122" s="9">
        <f>IF(SUMIFS('Indirect Model Parameters'!$G$11:$G$16,'Indirect Model Parameters'!$D$11:$D$16,Pop_Init!E122,'Indirect Model Parameters'!$E$11:$E$16,Pop_Init!F122) = 0,'Indirect Model Parameters'!$G$17,'Indirect Model Parameters'!$G$18*SUMIFS('Indirect Model Parameters'!$G$11:$G$16,'Indirect Model Parameters'!$D$11:$D$16,Pop_Init!E122,'Indirect Model Parameters'!$E$11:$E$16,Pop_Init!F122))</f>
        <v>5.3999999999999979E-2</v>
      </c>
      <c r="L122" s="9">
        <f t="shared" si="8"/>
        <v>8.0999999999999961E-3</v>
      </c>
      <c r="M122" s="9">
        <f t="shared" si="9"/>
        <v>1.4136125654450257E-3</v>
      </c>
      <c r="N122" s="38">
        <f>M122*'Indirect Model Parameters'!$G$10</f>
        <v>141.36125654450257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269</v>
      </c>
      <c r="C123" s="8">
        <v>8</v>
      </c>
      <c r="D123" s="9">
        <v>2</v>
      </c>
      <c r="E123" s="9">
        <v>3</v>
      </c>
      <c r="F123" s="9">
        <v>1</v>
      </c>
      <c r="G123" s="40" t="str">
        <f t="shared" si="11"/>
        <v>N,8,2,3,1</v>
      </c>
      <c r="H123" s="9">
        <f>IF(F123=1,'Indirect Model Parameters'!$G$23,'Indirect Model Parameters'!$G$24)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0.3</v>
      </c>
      <c r="J123" s="9">
        <f>IF(SUMIFS('Indirect Model Parameters'!$G$11:$G$16,'Indirect Model Parameters'!$D$11:$D$16,Pop_Init!E123,'Indirect Model Parameters'!$E$11:$E$16,Pop_Init!F123) = 0,'Indirect Model Parameters'!$G$17,'Indirect Model Parameters'!$G$18*SUMIFS('Indirect Model Parameters'!$G$11:$G$16,'Indirect Model Parameters'!$D$11:$D$16,Pop_Init!E123,'Indirect Model Parameters'!$E$11:$E$16,Pop_Init!F123))</f>
        <v>5.3999999999999979E-2</v>
      </c>
      <c r="L123" s="9">
        <f t="shared" si="8"/>
        <v>8.0999999999999961E-3</v>
      </c>
      <c r="M123" s="9">
        <f t="shared" si="9"/>
        <v>1.4136125654450257E-3</v>
      </c>
      <c r="N123" s="38">
        <f>M123*'Indirect Model Parameters'!$G$10</f>
        <v>141.36125654450257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269</v>
      </c>
      <c r="C124" s="8">
        <v>8</v>
      </c>
      <c r="D124" s="9">
        <v>1</v>
      </c>
      <c r="E124" s="9">
        <v>3</v>
      </c>
      <c r="F124" s="9">
        <v>2</v>
      </c>
      <c r="G124" s="40" t="str">
        <f t="shared" si="11"/>
        <v>N,8,1,3,2</v>
      </c>
      <c r="H124" s="9">
        <f>IF(F124=1,'Indirect Model Parameters'!$G$23,'Indirect Model Parameters'!$G$24)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0.3</v>
      </c>
      <c r="J124" s="9">
        <f>IF(SUMIFS('Indirect Model Parameters'!$G$11:$G$16,'Indirect Model Parameters'!$D$11:$D$16,Pop_Init!E124,'Indirect Model Parameters'!$E$11:$E$16,Pop_Init!F124) = 0,'Indirect Model Parameters'!$G$17,'Indirect Model Parameters'!$G$18*SUMIFS('Indirect Model Parameters'!$G$11:$G$16,'Indirect Model Parameters'!$D$11:$D$16,Pop_Init!E124,'Indirect Model Parameters'!$E$11:$E$16,Pop_Init!F124))</f>
        <v>5.3999999999999979E-2</v>
      </c>
      <c r="L124" s="9">
        <f t="shared" si="8"/>
        <v>8.0999999999999961E-3</v>
      </c>
      <c r="M124" s="9">
        <f t="shared" si="9"/>
        <v>1.4136125654450257E-3</v>
      </c>
      <c r="N124" s="38">
        <f>M124*'Indirect Model Parameters'!$G$10</f>
        <v>141.36125654450257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269</v>
      </c>
      <c r="C125" s="8">
        <v>8</v>
      </c>
      <c r="D125" s="9">
        <v>2</v>
      </c>
      <c r="E125" s="9">
        <v>3</v>
      </c>
      <c r="F125" s="9">
        <v>2</v>
      </c>
      <c r="G125" s="40" t="str">
        <f t="shared" si="11"/>
        <v>N,8,2,3,2</v>
      </c>
      <c r="H125" s="9">
        <f>IF(F125=1,'Indirect Model Parameters'!$G$23,'Indirect Model Parameters'!$G$24)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0.3</v>
      </c>
      <c r="J125" s="9">
        <f>IF(SUMIFS('Indirect Model Parameters'!$G$11:$G$16,'Indirect Model Parameters'!$D$11:$D$16,Pop_Init!E125,'Indirect Model Parameters'!$E$11:$E$16,Pop_Init!F125) = 0,'Indirect Model Parameters'!$G$17,'Indirect Model Parameters'!$G$18*SUMIFS('Indirect Model Parameters'!$G$11:$G$16,'Indirect Model Parameters'!$D$11:$D$16,Pop_Init!E125,'Indirect Model Parameters'!$E$11:$E$16,Pop_Init!F125))</f>
        <v>5.3999999999999979E-2</v>
      </c>
      <c r="L125" s="9">
        <f t="shared" si="8"/>
        <v>8.0999999999999961E-3</v>
      </c>
      <c r="M125" s="9">
        <f t="shared" si="9"/>
        <v>1.4136125654450257E-3</v>
      </c>
      <c r="N125" s="38">
        <f>M125*'Indirect Model Parameters'!$G$10</f>
        <v>141.36125654450257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269</v>
      </c>
      <c r="C126" s="8">
        <v>8</v>
      </c>
      <c r="D126" s="9">
        <v>1</v>
      </c>
      <c r="E126" s="9">
        <v>4</v>
      </c>
      <c r="F126" s="9">
        <v>1</v>
      </c>
      <c r="G126" s="40" t="str">
        <f t="shared" si="11"/>
        <v>N,8,1,4,1</v>
      </c>
      <c r="H126" s="9">
        <f>IF(F126=1,'Indirect Model Parameters'!$G$23,'Indirect Model Parameters'!$G$24)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0.3</v>
      </c>
      <c r="J126" s="9">
        <f>IF(SUMIFS('Indirect Model Parameters'!$G$11:$G$16,'Indirect Model Parameters'!$D$11:$D$16,Pop_Init!E126,'Indirect Model Parameters'!$E$11:$E$16,Pop_Init!F126) = 0,'Indirect Model Parameters'!$G$17,'Indirect Model Parameters'!$G$18*SUMIFS('Indirect Model Parameters'!$G$11:$G$16,'Indirect Model Parameters'!$D$11:$D$16,Pop_Init!E126,'Indirect Model Parameters'!$E$11:$E$16,Pop_Init!F126))</f>
        <v>8.1000000000000003E-2</v>
      </c>
      <c r="L126" s="9">
        <f t="shared" si="8"/>
        <v>1.2149999999999999E-2</v>
      </c>
      <c r="M126" s="9">
        <f t="shared" si="9"/>
        <v>2.1204188481675395E-3</v>
      </c>
      <c r="N126" s="38">
        <f>M126*'Indirect Model Parameters'!$G$10</f>
        <v>212.04188481675394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269</v>
      </c>
      <c r="C127" s="8">
        <v>8</v>
      </c>
      <c r="D127" s="9">
        <v>2</v>
      </c>
      <c r="E127" s="9">
        <v>4</v>
      </c>
      <c r="F127" s="9">
        <v>1</v>
      </c>
      <c r="G127" s="40" t="str">
        <f t="shared" si="11"/>
        <v>N,8,2,4,1</v>
      </c>
      <c r="H127" s="9">
        <f>IF(F127=1,'Indirect Model Parameters'!$G$23,'Indirect Model Parameters'!$G$24)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0.3</v>
      </c>
      <c r="J127" s="9">
        <f>IF(SUMIFS('Indirect Model Parameters'!$G$11:$G$16,'Indirect Model Parameters'!$D$11:$D$16,Pop_Init!E127,'Indirect Model Parameters'!$E$11:$E$16,Pop_Init!F127) = 0,'Indirect Model Parameters'!$G$17,'Indirect Model Parameters'!$G$18*SUMIFS('Indirect Model Parameters'!$G$11:$G$16,'Indirect Model Parameters'!$D$11:$D$16,Pop_Init!E127,'Indirect Model Parameters'!$E$11:$E$16,Pop_Init!F127))</f>
        <v>8.1000000000000003E-2</v>
      </c>
      <c r="L127" s="9">
        <f t="shared" si="8"/>
        <v>1.2149999999999999E-2</v>
      </c>
      <c r="M127" s="9">
        <f t="shared" si="9"/>
        <v>2.1204188481675395E-3</v>
      </c>
      <c r="N127" s="38">
        <f>M127*'Indirect Model Parameters'!$G$10</f>
        <v>212.04188481675394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269</v>
      </c>
      <c r="C128" s="8">
        <v>8</v>
      </c>
      <c r="D128" s="9">
        <v>1</v>
      </c>
      <c r="E128" s="9">
        <v>4</v>
      </c>
      <c r="F128" s="9">
        <v>2</v>
      </c>
      <c r="G128" s="40" t="str">
        <f t="shared" si="11"/>
        <v>N,8,1,4,2</v>
      </c>
      <c r="H128" s="9">
        <f>IF(F128=1,'Indirect Model Parameters'!$G$23,'Indirect Model Parameters'!$G$24)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0.3</v>
      </c>
      <c r="J128" s="9">
        <f>IF(SUMIFS('Indirect Model Parameters'!$G$11:$G$16,'Indirect Model Parameters'!$D$11:$D$16,Pop_Init!E128,'Indirect Model Parameters'!$E$11:$E$16,Pop_Init!F128) = 0,'Indirect Model Parameters'!$G$17,'Indirect Model Parameters'!$G$18*SUMIFS('Indirect Model Parameters'!$G$11:$G$16,'Indirect Model Parameters'!$D$11:$D$16,Pop_Init!E128,'Indirect Model Parameters'!$E$11:$E$16,Pop_Init!F128))</f>
        <v>8.1000000000000003E-2</v>
      </c>
      <c r="L128" s="9">
        <f t="shared" si="8"/>
        <v>1.2149999999999999E-2</v>
      </c>
      <c r="M128" s="9">
        <f t="shared" si="9"/>
        <v>2.1204188481675395E-3</v>
      </c>
      <c r="N128" s="38">
        <f>M128*'Indirect Model Parameters'!$G$10</f>
        <v>212.04188481675394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269</v>
      </c>
      <c r="C129" s="8">
        <v>8</v>
      </c>
      <c r="D129" s="9">
        <v>2</v>
      </c>
      <c r="E129" s="9">
        <v>4</v>
      </c>
      <c r="F129" s="9">
        <v>2</v>
      </c>
      <c r="G129" s="40" t="str">
        <f t="shared" si="11"/>
        <v>N,8,2,4,2</v>
      </c>
      <c r="H129" s="9">
        <f>IF(F129=1,'Indirect Model Parameters'!$G$23,'Indirect Model Parameters'!$G$24)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0.3</v>
      </c>
      <c r="J129" s="9">
        <f>IF(SUMIFS('Indirect Model Parameters'!$G$11:$G$16,'Indirect Model Parameters'!$D$11:$D$16,Pop_Init!E129,'Indirect Model Parameters'!$E$11:$E$16,Pop_Init!F129) = 0,'Indirect Model Parameters'!$G$17,'Indirect Model Parameters'!$G$18*SUMIFS('Indirect Model Parameters'!$G$11:$G$16,'Indirect Model Parameters'!$D$11:$D$16,Pop_Init!E129,'Indirect Model Parameters'!$E$11:$E$16,Pop_Init!F129))</f>
        <v>8.1000000000000003E-2</v>
      </c>
      <c r="L129" s="9">
        <f t="shared" si="8"/>
        <v>1.2149999999999999E-2</v>
      </c>
      <c r="M129" s="9">
        <f t="shared" si="9"/>
        <v>2.1204188481675395E-3</v>
      </c>
      <c r="N129" s="38">
        <f>M129*'Indirect Model Parameters'!$G$10</f>
        <v>212.04188481675394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E9" sqref="E9"/>
    </sheetView>
  </sheetViews>
  <sheetFormatPr baseColWidth="10" defaultColWidth="11.5" defaultRowHeight="15"/>
  <sheetData>
    <row r="1" spans="1:2">
      <c r="A1" t="s">
        <v>244</v>
      </c>
    </row>
    <row r="2" spans="1:2">
      <c r="A2">
        <v>1</v>
      </c>
      <c r="B2" t="s">
        <v>245</v>
      </c>
    </row>
    <row r="3" spans="1:2">
      <c r="A3">
        <v>2</v>
      </c>
      <c r="B3" t="s">
        <v>246</v>
      </c>
    </row>
    <row r="4" spans="1:2">
      <c r="A4">
        <v>3</v>
      </c>
      <c r="B4" t="s">
        <v>247</v>
      </c>
    </row>
    <row r="5" spans="1:2">
      <c r="A5">
        <v>4</v>
      </c>
      <c r="B5" t="s">
        <v>248</v>
      </c>
    </row>
    <row r="6" spans="1:2">
      <c r="A6">
        <v>5</v>
      </c>
      <c r="B6" t="s">
        <v>249</v>
      </c>
    </row>
    <row r="7" spans="1:2">
      <c r="A7">
        <v>6</v>
      </c>
      <c r="B7" t="s">
        <v>250</v>
      </c>
    </row>
    <row r="8" spans="1:2">
      <c r="A8">
        <v>7</v>
      </c>
      <c r="B8" t="s">
        <v>251</v>
      </c>
    </row>
    <row r="9" spans="1:2">
      <c r="A9">
        <v>8</v>
      </c>
      <c r="B9" t="s">
        <v>252</v>
      </c>
    </row>
    <row r="11" spans="1:2">
      <c r="A11" t="s">
        <v>253</v>
      </c>
    </row>
    <row r="12" spans="1:2">
      <c r="A12">
        <v>1</v>
      </c>
      <c r="B12" t="s">
        <v>254</v>
      </c>
    </row>
    <row r="13" spans="1:2">
      <c r="A13">
        <v>2</v>
      </c>
      <c r="B13" t="s">
        <v>255</v>
      </c>
    </row>
    <row r="15" spans="1:2">
      <c r="A15" t="s">
        <v>256</v>
      </c>
    </row>
    <row r="16" spans="1:2">
      <c r="A16">
        <v>1</v>
      </c>
      <c r="B16" t="s">
        <v>257</v>
      </c>
    </row>
    <row r="17" spans="1:2">
      <c r="A17">
        <v>2</v>
      </c>
      <c r="B17" t="s">
        <v>258</v>
      </c>
    </row>
    <row r="18" spans="1:2">
      <c r="A18">
        <v>3</v>
      </c>
      <c r="B18" t="s">
        <v>259</v>
      </c>
    </row>
    <row r="19" spans="1:2">
      <c r="A19">
        <v>4</v>
      </c>
      <c r="B19" t="s">
        <v>260</v>
      </c>
    </row>
    <row r="21" spans="1:2">
      <c r="A21" t="s">
        <v>261</v>
      </c>
    </row>
    <row r="22" spans="1:2">
      <c r="A22">
        <v>1</v>
      </c>
      <c r="B22" t="s">
        <v>262</v>
      </c>
    </row>
    <row r="23" spans="1:2">
      <c r="A23">
        <v>2</v>
      </c>
      <c r="B23" t="s">
        <v>263</v>
      </c>
    </row>
    <row r="25" spans="1:2">
      <c r="A25" t="s">
        <v>264</v>
      </c>
    </row>
    <row r="26" spans="1:2">
      <c r="A26">
        <v>1</v>
      </c>
      <c r="B26" t="s">
        <v>265</v>
      </c>
    </row>
    <row r="27" spans="1:2">
      <c r="A27">
        <v>2</v>
      </c>
      <c r="B27" t="s">
        <v>266</v>
      </c>
    </row>
    <row r="28" spans="1:2">
      <c r="A28">
        <v>3</v>
      </c>
      <c r="B28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Indirect Model Parameters</vt:lpstr>
      <vt:lpstr>Pop_Init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2020-08-11T22:15:11Z</dcterms:modified>
  <cp:category/>
  <cp:contentStatus/>
</cp:coreProperties>
</file>