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F4FA5DD7-056D-0247-8C1E-AFE5E98D987B}" xr6:coauthVersionLast="46" xr6:coauthVersionMax="46" xr10:uidLastSave="{00000000-0000-0000-0000-000000000000}"/>
  <bookViews>
    <workbookView xWindow="6860" yWindow="500" windowWidth="28980" windowHeight="20200" activeTab="1" xr2:uid="{00000000-000D-0000-FFFF-FFFF00000000}"/>
  </bookViews>
  <sheets>
    <sheet name="model_matched_parameters" sheetId="1" r:id="rId1"/>
    <sheet name="indirect_model_parameters" sheetId="4" r:id="rId2"/>
    <sheet name="Sheet3" sheetId="10" r:id="rId3"/>
    <sheet name="pop_init" sheetId="6" r:id="rId4"/>
    <sheet name="aging_in" sheetId="7" r:id="rId5"/>
    <sheet name="Set Ref" sheetId="5" r:id="rId6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_xlnm._FilterDatabase" localSheetId="3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4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6" l="1"/>
  <c r="H92" i="6"/>
  <c r="H93" i="6"/>
  <c r="H94" i="6"/>
  <c r="H95" i="6"/>
  <c r="H96" i="6"/>
  <c r="H97" i="6"/>
  <c r="H90" i="6"/>
  <c r="H83" i="6"/>
  <c r="H84" i="6"/>
  <c r="H85" i="6"/>
  <c r="H86" i="6"/>
  <c r="H87" i="6"/>
  <c r="H88" i="6"/>
  <c r="H89" i="6"/>
  <c r="H82" i="6"/>
  <c r="J91" i="6"/>
  <c r="J92" i="6"/>
  <c r="J93" i="6"/>
  <c r="J96" i="6"/>
  <c r="J97" i="6"/>
  <c r="J90" i="6"/>
  <c r="J83" i="6"/>
  <c r="J84" i="6"/>
  <c r="J85" i="6"/>
  <c r="J88" i="6"/>
  <c r="J89" i="6"/>
  <c r="J82" i="6"/>
  <c r="H2" i="6"/>
  <c r="L202" i="1"/>
  <c r="L176" i="1"/>
  <c r="L165" i="1"/>
  <c r="L164" i="1"/>
  <c r="L162" i="1"/>
  <c r="J3" i="6"/>
  <c r="J10" i="6"/>
  <c r="J11" i="6"/>
  <c r="J6" i="6"/>
  <c r="J7" i="6"/>
  <c r="J14" i="6"/>
  <c r="J15" i="6"/>
  <c r="J8" i="6"/>
  <c r="J9" i="6"/>
  <c r="J16" i="6"/>
  <c r="J17" i="6"/>
  <c r="J18" i="6"/>
  <c r="J19" i="6"/>
  <c r="J26" i="6"/>
  <c r="J27" i="6"/>
  <c r="J22" i="6"/>
  <c r="J23" i="6"/>
  <c r="J30" i="6"/>
  <c r="J31" i="6"/>
  <c r="J24" i="6"/>
  <c r="J25" i="6"/>
  <c r="J32" i="6"/>
  <c r="J33" i="6"/>
  <c r="J34" i="6"/>
  <c r="J35" i="6"/>
  <c r="J42" i="6"/>
  <c r="J43" i="6"/>
  <c r="J38" i="6"/>
  <c r="J39" i="6"/>
  <c r="J46" i="6"/>
  <c r="J47" i="6"/>
  <c r="J40" i="6"/>
  <c r="J41" i="6"/>
  <c r="J48" i="6"/>
  <c r="J49" i="6"/>
  <c r="J50" i="6"/>
  <c r="J51" i="6"/>
  <c r="J58" i="6"/>
  <c r="J59" i="6"/>
  <c r="J54" i="6"/>
  <c r="J55" i="6"/>
  <c r="J62" i="6"/>
  <c r="J63" i="6"/>
  <c r="J56" i="6"/>
  <c r="J57" i="6"/>
  <c r="J64" i="6"/>
  <c r="J65" i="6"/>
  <c r="J66" i="6"/>
  <c r="J67" i="6"/>
  <c r="J74" i="6"/>
  <c r="J75" i="6"/>
  <c r="J70" i="6"/>
  <c r="J71" i="6"/>
  <c r="J78" i="6"/>
  <c r="J79" i="6"/>
  <c r="J72" i="6"/>
  <c r="J73" i="6"/>
  <c r="J80" i="6"/>
  <c r="J81" i="6"/>
  <c r="J98" i="6"/>
  <c r="J99" i="6"/>
  <c r="J106" i="6"/>
  <c r="J107" i="6"/>
  <c r="J102" i="6"/>
  <c r="J103" i="6"/>
  <c r="J110" i="6"/>
  <c r="J111" i="6"/>
  <c r="J104" i="6"/>
  <c r="J105" i="6"/>
  <c r="J112" i="6"/>
  <c r="J113" i="6"/>
  <c r="J114" i="6"/>
  <c r="J115" i="6"/>
  <c r="J122" i="6"/>
  <c r="J123" i="6"/>
  <c r="J118" i="6"/>
  <c r="J119" i="6"/>
  <c r="J126" i="6"/>
  <c r="J127" i="6"/>
  <c r="J120" i="6"/>
  <c r="J121" i="6"/>
  <c r="J128" i="6"/>
  <c r="J129" i="6"/>
  <c r="J2" i="6"/>
  <c r="I3" i="6"/>
  <c r="I10" i="6"/>
  <c r="I11" i="6"/>
  <c r="I4" i="6"/>
  <c r="I5" i="6"/>
  <c r="I12" i="6"/>
  <c r="I13" i="6"/>
  <c r="I6" i="6"/>
  <c r="I7" i="6"/>
  <c r="I14" i="6"/>
  <c r="I15" i="6"/>
  <c r="I8" i="6"/>
  <c r="I9" i="6"/>
  <c r="I16" i="6"/>
  <c r="I17" i="6"/>
  <c r="I18" i="6"/>
  <c r="I19" i="6"/>
  <c r="I26" i="6"/>
  <c r="I27" i="6"/>
  <c r="I20" i="6"/>
  <c r="I21" i="6"/>
  <c r="I28" i="6"/>
  <c r="I29" i="6"/>
  <c r="I22" i="6"/>
  <c r="I23" i="6"/>
  <c r="I30" i="6"/>
  <c r="I31" i="6"/>
  <c r="I24" i="6"/>
  <c r="I25" i="6"/>
  <c r="I32" i="6"/>
  <c r="I33" i="6"/>
  <c r="I2" i="6"/>
  <c r="H19" i="6"/>
  <c r="H26" i="6"/>
  <c r="H27" i="6"/>
  <c r="H20" i="6"/>
  <c r="H21" i="6"/>
  <c r="H28" i="6"/>
  <c r="H29" i="6"/>
  <c r="H22" i="6"/>
  <c r="H23" i="6"/>
  <c r="H30" i="6"/>
  <c r="H31" i="6"/>
  <c r="H24" i="6"/>
  <c r="H25" i="6"/>
  <c r="H32" i="6"/>
  <c r="H33" i="6"/>
  <c r="H11" i="6"/>
  <c r="H4" i="6"/>
  <c r="H5" i="6"/>
  <c r="H12" i="6"/>
  <c r="H13" i="6"/>
  <c r="H6" i="6"/>
  <c r="H7" i="6"/>
  <c r="H14" i="6"/>
  <c r="H15" i="6"/>
  <c r="H8" i="6"/>
  <c r="H9" i="6"/>
  <c r="H16" i="6"/>
  <c r="H17" i="6"/>
  <c r="H18" i="6"/>
  <c r="H3" i="6"/>
  <c r="H10" i="6"/>
  <c r="H67" i="6"/>
  <c r="H74" i="6"/>
  <c r="H75" i="6"/>
  <c r="H68" i="6"/>
  <c r="H69" i="6"/>
  <c r="H76" i="6"/>
  <c r="H77" i="6"/>
  <c r="H70" i="6"/>
  <c r="H71" i="6"/>
  <c r="H78" i="6"/>
  <c r="H79" i="6"/>
  <c r="H72" i="6"/>
  <c r="H73" i="6"/>
  <c r="H80" i="6"/>
  <c r="H81" i="6"/>
  <c r="H66" i="6"/>
  <c r="H51" i="6"/>
  <c r="H58" i="6"/>
  <c r="H59" i="6"/>
  <c r="H52" i="6"/>
  <c r="H53" i="6"/>
  <c r="H60" i="6"/>
  <c r="H61" i="6"/>
  <c r="H54" i="6"/>
  <c r="H55" i="6"/>
  <c r="H62" i="6"/>
  <c r="H63" i="6"/>
  <c r="H56" i="6"/>
  <c r="H57" i="6"/>
  <c r="H64" i="6"/>
  <c r="H65" i="6"/>
  <c r="H50" i="6"/>
  <c r="H35" i="6"/>
  <c r="H42" i="6"/>
  <c r="H43" i="6"/>
  <c r="H36" i="6"/>
  <c r="H37" i="6"/>
  <c r="H44" i="6"/>
  <c r="H45" i="6"/>
  <c r="H38" i="6"/>
  <c r="H39" i="6"/>
  <c r="H46" i="6"/>
  <c r="H47" i="6"/>
  <c r="H40" i="6"/>
  <c r="H41" i="6"/>
  <c r="H48" i="6"/>
  <c r="H49" i="6"/>
  <c r="H34" i="6"/>
  <c r="G56" i="4"/>
  <c r="G55" i="4"/>
  <c r="I98" i="6" s="1"/>
  <c r="G29" i="4"/>
  <c r="G28" i="4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L2" i="6" l="1"/>
  <c r="I82" i="6"/>
  <c r="I125" i="6"/>
  <c r="I78" i="6"/>
  <c r="I124" i="6"/>
  <c r="I70" i="6"/>
  <c r="I117" i="6"/>
  <c r="I77" i="6"/>
  <c r="I116" i="6"/>
  <c r="I62" i="6"/>
  <c r="I55" i="6"/>
  <c r="I54" i="6"/>
  <c r="I58" i="6"/>
  <c r="I34" i="6"/>
  <c r="I50" i="6"/>
  <c r="I97" i="6"/>
  <c r="I49" i="6"/>
  <c r="I90" i="6"/>
  <c r="I35" i="6"/>
  <c r="I83" i="6"/>
  <c r="I129" i="6"/>
  <c r="I96" i="6"/>
  <c r="I76" i="6"/>
  <c r="I48" i="6"/>
  <c r="I123" i="6"/>
  <c r="I89" i="6"/>
  <c r="I69" i="6"/>
  <c r="I41" i="6"/>
  <c r="I111" i="6"/>
  <c r="I88" i="6"/>
  <c r="I68" i="6"/>
  <c r="I40" i="6"/>
  <c r="I110" i="6"/>
  <c r="I92" i="6"/>
  <c r="I64" i="6"/>
  <c r="I36" i="6"/>
  <c r="I103" i="6"/>
  <c r="I84" i="6"/>
  <c r="I56" i="6"/>
  <c r="I43" i="6"/>
  <c r="I102" i="6"/>
  <c r="I91" i="6"/>
  <c r="I63" i="6"/>
  <c r="I42" i="6"/>
  <c r="I109" i="6"/>
  <c r="I75" i="6"/>
  <c r="I47" i="6"/>
  <c r="I128" i="6"/>
  <c r="I122" i="6"/>
  <c r="I108" i="6"/>
  <c r="I94" i="6"/>
  <c r="I80" i="6"/>
  <c r="I74" i="6"/>
  <c r="I60" i="6"/>
  <c r="I46" i="6"/>
  <c r="I121" i="6"/>
  <c r="I115" i="6"/>
  <c r="I101" i="6"/>
  <c r="I81" i="6"/>
  <c r="I87" i="6"/>
  <c r="I73" i="6"/>
  <c r="I67" i="6"/>
  <c r="I53" i="6"/>
  <c r="I39" i="6"/>
  <c r="I120" i="6"/>
  <c r="I114" i="6"/>
  <c r="I100" i="6"/>
  <c r="I95" i="6"/>
  <c r="I61" i="6"/>
  <c r="I86" i="6"/>
  <c r="I72" i="6"/>
  <c r="I66" i="6"/>
  <c r="I52" i="6"/>
  <c r="I38" i="6"/>
  <c r="I127" i="6"/>
  <c r="I113" i="6"/>
  <c r="I107" i="6"/>
  <c r="I93" i="6"/>
  <c r="I79" i="6"/>
  <c r="I65" i="6"/>
  <c r="I59" i="6"/>
  <c r="I45" i="6"/>
  <c r="I126" i="6"/>
  <c r="I112" i="6"/>
  <c r="I106" i="6"/>
  <c r="I44" i="6"/>
  <c r="I119" i="6"/>
  <c r="I105" i="6"/>
  <c r="I99" i="6"/>
  <c r="I85" i="6"/>
  <c r="I71" i="6"/>
  <c r="I57" i="6"/>
  <c r="I51" i="6"/>
  <c r="I37" i="6"/>
  <c r="I118" i="6"/>
  <c r="L118" i="6" s="1"/>
  <c r="I104" i="6"/>
  <c r="L224" i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24" i="7" l="1"/>
  <c r="G32" i="7"/>
  <c r="G8" i="7"/>
  <c r="G36" i="7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1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99" i="1" l="1"/>
  <c r="J100" i="1"/>
  <c r="J98" i="1" l="1"/>
  <c r="L82" i="6" l="1"/>
  <c r="L129" i="6" l="1"/>
  <c r="L120" i="6"/>
  <c r="L104" i="6"/>
  <c r="L128" i="6"/>
  <c r="L113" i="6"/>
  <c r="L112" i="6"/>
  <c r="L105" i="6"/>
  <c r="L121" i="6"/>
  <c r="G21" i="4"/>
  <c r="L48" i="6" l="1"/>
  <c r="L49" i="6"/>
  <c r="G20" i="4"/>
  <c r="G11" i="4"/>
  <c r="L41" i="6" l="1"/>
  <c r="L40" i="6"/>
  <c r="L30" i="6"/>
  <c r="L46" i="6"/>
  <c r="L110" i="6"/>
  <c r="L126" i="6"/>
  <c r="L47" i="6"/>
  <c r="L111" i="6"/>
  <c r="L127" i="6"/>
  <c r="L97" i="6"/>
  <c r="L88" i="6"/>
  <c r="L96" i="6"/>
  <c r="L89" i="6"/>
  <c r="L92" i="6"/>
  <c r="L25" i="6"/>
  <c r="L93" i="6"/>
  <c r="L122" i="6"/>
  <c r="G10" i="4"/>
  <c r="L216" i="1"/>
  <c r="L208" i="1"/>
  <c r="L206" i="1"/>
  <c r="L204" i="1"/>
  <c r="L200" i="1"/>
  <c r="L192" i="1"/>
  <c r="L184" i="1"/>
  <c r="L180" i="1"/>
  <c r="L168" i="1"/>
  <c r="L166" i="1"/>
  <c r="L222" i="1" s="1"/>
  <c r="L218" i="1"/>
  <c r="J29" i="6" l="1"/>
  <c r="J77" i="6"/>
  <c r="J36" i="6"/>
  <c r="J100" i="6"/>
  <c r="J53" i="6"/>
  <c r="J117" i="6"/>
  <c r="J37" i="6"/>
  <c r="L37" i="6" s="1"/>
  <c r="J101" i="6"/>
  <c r="L101" i="6" s="1"/>
  <c r="J116" i="6"/>
  <c r="L116" i="6" s="1"/>
  <c r="J125" i="6"/>
  <c r="L125" i="6" s="1"/>
  <c r="J86" i="6"/>
  <c r="L86" i="6" s="1"/>
  <c r="J44" i="6"/>
  <c r="L44" i="6" s="1"/>
  <c r="J108" i="6"/>
  <c r="L108" i="6" s="1"/>
  <c r="J4" i="6"/>
  <c r="J61" i="6"/>
  <c r="J87" i="6"/>
  <c r="J45" i="6"/>
  <c r="L45" i="6" s="1"/>
  <c r="J109" i="6"/>
  <c r="L109" i="6" s="1"/>
  <c r="J52" i="6"/>
  <c r="J13" i="6"/>
  <c r="J5" i="6"/>
  <c r="J94" i="6"/>
  <c r="L94" i="6" s="1"/>
  <c r="J12" i="6"/>
  <c r="L12" i="6" s="1"/>
  <c r="J60" i="6"/>
  <c r="J124" i="6"/>
  <c r="L124" i="6" s="1"/>
  <c r="J95" i="6"/>
  <c r="L95" i="6" s="1"/>
  <c r="J20" i="6"/>
  <c r="J68" i="6"/>
  <c r="J21" i="6"/>
  <c r="L21" i="6" s="1"/>
  <c r="J69" i="6"/>
  <c r="J28" i="6"/>
  <c r="J76" i="6"/>
  <c r="L23" i="6"/>
  <c r="L39" i="6"/>
  <c r="L87" i="6"/>
  <c r="L103" i="6"/>
  <c r="L119" i="6"/>
  <c r="L102" i="6"/>
  <c r="L6" i="6"/>
  <c r="L22" i="6"/>
  <c r="L38" i="6"/>
  <c r="L189" i="1"/>
  <c r="L217" i="1"/>
  <c r="L207" i="1"/>
  <c r="L170" i="1"/>
  <c r="L178" i="1"/>
  <c r="L193" i="1"/>
  <c r="L28" i="6"/>
  <c r="L29" i="6"/>
  <c r="L33" i="6"/>
  <c r="L24" i="6"/>
  <c r="L32" i="6"/>
  <c r="L16" i="6"/>
  <c r="L26" i="6"/>
  <c r="L106" i="6"/>
  <c r="L58" i="6"/>
  <c r="L90" i="6"/>
  <c r="L123" i="6"/>
  <c r="L42" i="6"/>
  <c r="L107" i="6"/>
  <c r="L91" i="6"/>
  <c r="L43" i="6"/>
  <c r="L36" i="6"/>
  <c r="L100" i="6"/>
  <c r="L20" i="6"/>
  <c r="L84" i="6"/>
  <c r="L8" i="6"/>
  <c r="L85" i="6"/>
  <c r="L117" i="6"/>
  <c r="L7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4" i="6"/>
  <c r="L9" i="6"/>
  <c r="L17" i="6"/>
  <c r="L13" i="6"/>
  <c r="L27" i="6"/>
  <c r="L15" i="6"/>
  <c r="L10" i="6"/>
  <c r="L14" i="6"/>
  <c r="L31" i="6"/>
  <c r="L5" i="6"/>
  <c r="L11" i="6"/>
  <c r="L34" i="6"/>
  <c r="L98" i="6"/>
  <c r="L83" i="6"/>
  <c r="M90" i="6" s="1"/>
  <c r="L3" i="6"/>
  <c r="L35" i="6"/>
  <c r="L99" i="6"/>
  <c r="L19" i="6"/>
  <c r="L115" i="6"/>
  <c r="L18" i="6"/>
  <c r="L50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6" i="6" l="1"/>
  <c r="M28" i="6"/>
  <c r="M33" i="6"/>
  <c r="M18" i="6"/>
  <c r="M83" i="6"/>
  <c r="M82" i="6"/>
  <c r="M89" i="6"/>
  <c r="M92" i="6"/>
  <c r="M96" i="6"/>
  <c r="M95" i="6"/>
  <c r="M88" i="6"/>
  <c r="M94" i="6"/>
  <c r="M97" i="6"/>
  <c r="M93" i="6"/>
  <c r="M15" i="6"/>
  <c r="M91" i="6"/>
  <c r="M12" i="6"/>
  <c r="M27" i="6"/>
  <c r="M23" i="6"/>
  <c r="M8" i="6"/>
  <c r="M13" i="6"/>
  <c r="M22" i="6"/>
  <c r="M29" i="6"/>
  <c r="M19" i="6"/>
  <c r="M5" i="6"/>
  <c r="M9" i="6"/>
  <c r="M32" i="6"/>
  <c r="M26" i="6"/>
  <c r="M20" i="6"/>
  <c r="M31" i="6"/>
  <c r="M4" i="6"/>
  <c r="M85" i="6"/>
  <c r="M21" i="6"/>
  <c r="M7" i="6"/>
  <c r="M11" i="6"/>
  <c r="M14" i="6"/>
  <c r="M6" i="6"/>
  <c r="M24" i="6"/>
  <c r="M17" i="6"/>
  <c r="M3" i="6"/>
  <c r="M2" i="6"/>
  <c r="M25" i="6"/>
  <c r="M30" i="6"/>
  <c r="M10" i="6"/>
  <c r="M16" i="6"/>
  <c r="M87" i="6"/>
  <c r="M84" i="6"/>
  <c r="L59" i="6"/>
  <c r="J93" i="1"/>
  <c r="L52" i="6" l="1"/>
  <c r="B161" i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L53" i="6" l="1"/>
  <c r="J111" i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60" i="6" l="1"/>
  <c r="L9" i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L61" i="6" l="1"/>
  <c r="B85" i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L54" i="6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L55" i="6" l="1"/>
  <c r="J62" i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L62" i="6" l="1"/>
  <c r="B54" i="1"/>
  <c r="J54" i="1"/>
  <c r="B39" i="1"/>
  <c r="J39" i="1"/>
  <c r="B87" i="1"/>
  <c r="J87" i="1"/>
  <c r="J177" i="1"/>
  <c r="J178" i="1"/>
  <c r="L63" i="6" l="1"/>
  <c r="J60" i="1"/>
  <c r="B60" i="1"/>
  <c r="J180" i="1"/>
  <c r="J179" i="1"/>
  <c r="L56" i="6" l="1"/>
  <c r="J181" i="1"/>
  <c r="J182" i="1"/>
  <c r="L57" i="6" l="1"/>
  <c r="J184" i="1"/>
  <c r="J183" i="1"/>
  <c r="L64" i="6" l="1"/>
  <c r="J186" i="1"/>
  <c r="J185" i="1"/>
  <c r="L65" i="6" l="1"/>
  <c r="J187" i="1"/>
  <c r="J188" i="1"/>
  <c r="L66" i="6" l="1"/>
  <c r="J190" i="1"/>
  <c r="J189" i="1"/>
  <c r="L67" i="6" l="1"/>
  <c r="J192" i="1"/>
  <c r="J191" i="1"/>
  <c r="L74" i="6" l="1"/>
  <c r="J194" i="1"/>
  <c r="J193" i="1"/>
  <c r="L75" i="6" l="1"/>
  <c r="J195" i="1"/>
  <c r="J196" i="1"/>
  <c r="L68" i="6" l="1"/>
  <c r="J198" i="1"/>
  <c r="J197" i="1"/>
  <c r="L69" i="6" l="1"/>
  <c r="J199" i="1"/>
  <c r="J200" i="1"/>
  <c r="L76" i="6" l="1"/>
  <c r="J202" i="1"/>
  <c r="J201" i="1"/>
  <c r="L77" i="6" l="1"/>
  <c r="J203" i="1"/>
  <c r="J204" i="1"/>
  <c r="L70" i="6" l="1"/>
  <c r="J205" i="1"/>
  <c r="J206" i="1"/>
  <c r="L71" i="6" l="1"/>
  <c r="J208" i="1"/>
  <c r="J207" i="1"/>
  <c r="L78" i="6" l="1"/>
  <c r="J209" i="1"/>
  <c r="J210" i="1"/>
  <c r="L79" i="6" l="1"/>
  <c r="J212" i="1"/>
  <c r="J211" i="1"/>
  <c r="L72" i="6" l="1"/>
  <c r="J213" i="1"/>
  <c r="J214" i="1"/>
  <c r="L73" i="6" l="1"/>
  <c r="J216" i="1"/>
  <c r="J215" i="1"/>
  <c r="L80" i="6" l="1"/>
  <c r="L81" i="6"/>
  <c r="J217" i="1"/>
  <c r="J218" i="1"/>
  <c r="M79" i="6" l="1"/>
  <c r="M81" i="6"/>
  <c r="M53" i="6"/>
  <c r="M65" i="6"/>
  <c r="N65" i="6" s="1"/>
  <c r="M66" i="6"/>
  <c r="M44" i="6"/>
  <c r="M40" i="6"/>
  <c r="N40" i="6" s="1"/>
  <c r="M58" i="6"/>
  <c r="N58" i="6" s="1"/>
  <c r="M63" i="6"/>
  <c r="N63" i="6" s="1"/>
  <c r="M35" i="6"/>
  <c r="N35" i="6" s="1"/>
  <c r="M37" i="6"/>
  <c r="N37" i="6" s="1"/>
  <c r="M42" i="6"/>
  <c r="N42" i="6" s="1"/>
  <c r="M75" i="6"/>
  <c r="M38" i="6"/>
  <c r="M51" i="6"/>
  <c r="M46" i="6"/>
  <c r="N46" i="6" s="1"/>
  <c r="M47" i="6"/>
  <c r="N47" i="6" s="1"/>
  <c r="M61" i="6"/>
  <c r="N61" i="6" s="1"/>
  <c r="M56" i="6"/>
  <c r="N56" i="6" s="1"/>
  <c r="M36" i="6"/>
  <c r="N36" i="6" s="1"/>
  <c r="M43" i="6"/>
  <c r="N43" i="6" s="1"/>
  <c r="M55" i="6"/>
  <c r="N55" i="6" s="1"/>
  <c r="M41" i="6"/>
  <c r="N41" i="6" s="1"/>
  <c r="M59" i="6"/>
  <c r="N59" i="6" s="1"/>
  <c r="M34" i="6"/>
  <c r="M52" i="6"/>
  <c r="M48" i="6"/>
  <c r="N48" i="6" s="1"/>
  <c r="M39" i="6"/>
  <c r="N39" i="6" s="1"/>
  <c r="M50" i="6"/>
  <c r="M62" i="6"/>
  <c r="N62" i="6" s="1"/>
  <c r="M74" i="6"/>
  <c r="N74" i="6" s="1"/>
  <c r="M57" i="6"/>
  <c r="N57" i="6" s="1"/>
  <c r="M69" i="6"/>
  <c r="N69" i="6" s="1"/>
  <c r="M45" i="6"/>
  <c r="N45" i="6" s="1"/>
  <c r="M64" i="6"/>
  <c r="N64" i="6" s="1"/>
  <c r="M67" i="6"/>
  <c r="N67" i="6" s="1"/>
  <c r="M54" i="6"/>
  <c r="M49" i="6"/>
  <c r="N49" i="6" s="1"/>
  <c r="M60" i="6"/>
  <c r="N60" i="6" s="1"/>
  <c r="M76" i="6"/>
  <c r="N76" i="6" s="1"/>
  <c r="M68" i="6"/>
  <c r="N68" i="6" s="1"/>
  <c r="M77" i="6"/>
  <c r="N77" i="6" s="1"/>
  <c r="M80" i="6"/>
  <c r="N80" i="6" s="1"/>
  <c r="M78" i="6"/>
  <c r="N78" i="6" s="1"/>
  <c r="M71" i="6"/>
  <c r="N71" i="6" s="1"/>
  <c r="M73" i="6"/>
  <c r="N73" i="6" s="1"/>
  <c r="M72" i="6"/>
  <c r="N72" i="6" s="1"/>
  <c r="M70" i="6"/>
  <c r="N70" i="6" s="1"/>
  <c r="N79" i="6"/>
  <c r="N81" i="6"/>
  <c r="N21" i="6"/>
  <c r="N106" i="6"/>
  <c r="N6" i="6"/>
  <c r="N117" i="6"/>
  <c r="N31" i="6"/>
  <c r="N29" i="6"/>
  <c r="N110" i="6"/>
  <c r="N82" i="6"/>
  <c r="N10" i="6"/>
  <c r="N13" i="6"/>
  <c r="N16" i="6"/>
  <c r="N53" i="6"/>
  <c r="N89" i="6"/>
  <c r="N50" i="6"/>
  <c r="N52" i="6"/>
  <c r="N97" i="6"/>
  <c r="N17" i="6"/>
  <c r="N111" i="6"/>
  <c r="N14" i="6"/>
  <c r="N23" i="6"/>
  <c r="N84" i="6"/>
  <c r="N32" i="6"/>
  <c r="N4" i="6"/>
  <c r="N34" i="6"/>
  <c r="N83" i="6"/>
  <c r="N104" i="6"/>
  <c r="N12" i="6"/>
  <c r="N15" i="6"/>
  <c r="N25" i="6"/>
  <c r="N118" i="6"/>
  <c r="N86" i="6"/>
  <c r="N128" i="6"/>
  <c r="N120" i="6"/>
  <c r="N19" i="6"/>
  <c r="N113" i="6"/>
  <c r="N5" i="6"/>
  <c r="N107" i="6"/>
  <c r="N129" i="6"/>
  <c r="N127" i="6"/>
  <c r="N116" i="6"/>
  <c r="N112" i="6"/>
  <c r="N99" i="6"/>
  <c r="N88" i="6"/>
  <c r="N122" i="6"/>
  <c r="N119" i="6"/>
  <c r="N33" i="6"/>
  <c r="N115" i="6"/>
  <c r="N26" i="6"/>
  <c r="N123" i="6"/>
  <c r="N109" i="6"/>
  <c r="N102" i="6"/>
  <c r="N114" i="6"/>
  <c r="N8" i="6"/>
  <c r="N94" i="6"/>
  <c r="N28" i="6"/>
  <c r="N124" i="6"/>
  <c r="N101" i="6"/>
  <c r="N24" i="6"/>
  <c r="N9" i="6"/>
  <c r="N126" i="6"/>
  <c r="N121" i="6"/>
  <c r="N38" i="6"/>
  <c r="N92" i="6"/>
  <c r="N85" i="6"/>
  <c r="N93" i="6"/>
  <c r="N2" i="6"/>
  <c r="N30" i="6"/>
  <c r="N11" i="6"/>
  <c r="N3" i="6"/>
  <c r="N91" i="6"/>
  <c r="N103" i="6"/>
  <c r="N20" i="6"/>
  <c r="N27" i="6"/>
  <c r="N87" i="6"/>
  <c r="N96" i="6"/>
  <c r="N105" i="6"/>
  <c r="N98" i="6"/>
  <c r="N51" i="6"/>
  <c r="N125" i="6"/>
  <c r="N7" i="6"/>
  <c r="N18" i="6"/>
  <c r="N100" i="6"/>
  <c r="N22" i="6"/>
  <c r="N108" i="6"/>
  <c r="N44" i="6"/>
  <c r="N90" i="6"/>
  <c r="N95" i="6"/>
  <c r="N54" i="6"/>
  <c r="N66" i="6"/>
  <c r="N75" i="6"/>
  <c r="J219" i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tc={CCDD4C5E-DC02-8141-9A97-0BDBCF5D6029}</author>
  </authors>
  <commentList>
    <comment ref="K1" authorId="0" shapeId="0" xr:uid="{CCDD4C5E-DC02-8141-9A97-0BDBCF5D6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HIV ADJ currently not differentiated on Gender</t>
      </text>
    </comment>
  </commentList>
</comments>
</file>

<file path=xl/sharedStrings.xml><?xml version="1.0" encoding="utf-8"?>
<sst xmlns="http://schemas.openxmlformats.org/spreadsheetml/2006/main" count="1803" uniqueCount="673">
  <si>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</si>
  <si>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</si>
  <si>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</si>
  <si>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</si>
  <si>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</si>
  <si>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</si>
  <si>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</si>
  <si>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</si>
  <si>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</si>
  <si>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</si>
  <si>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</si>
  <si>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</si>
  <si>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</si>
  <si>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</si>
  <si>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</si>
  <si>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</si>
  <si>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</si>
  <si>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</si>
  <si>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</si>
  <si>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</si>
  <si>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</si>
  <si>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</si>
  <si>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</si>
  <si>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</si>
  <si>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</si>
  <si>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</si>
  <si>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</si>
  <si>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</si>
  <si>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</si>
  <si>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</si>
  <si>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</si>
  <si>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</si>
  <si>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</si>
  <si>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</si>
  <si>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</si>
  <si>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</si>
  <si>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</si>
  <si>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</si>
  <si>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</si>
  <si>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</si>
  <si>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</si>
  <si>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</si>
  <si>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</si>
  <si>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</si>
  <si>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</si>
  <si>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</si>
  <si>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</si>
  <si>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</si>
  <si>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</si>
  <si>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</si>
  <si>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</si>
  <si>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</si>
  <si>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</si>
  <si>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</si>
  <si>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</si>
  <si>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</si>
  <si>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</si>
  <si>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</si>
  <si>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</si>
  <si>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</si>
  <si>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</si>
  <si>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</si>
  <si>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</si>
  <si>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</si>
  <si>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</si>
  <si>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</si>
  <si>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</si>
  <si>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</si>
  <si>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</si>
  <si>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</si>
  <si>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</si>
  <si>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</si>
  <si>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</si>
  <si>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</si>
  <si>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</si>
  <si>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</si>
  <si>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</si>
  <si>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</si>
  <si>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</si>
  <si>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</si>
  <si>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</si>
  <si>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</si>
  <si>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</si>
  <si>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</si>
  <si>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</si>
  <si>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</si>
  <si>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</si>
  <si>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</si>
  <si>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</si>
  <si>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</si>
  <si>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</si>
  <si>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</si>
  <si>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</si>
  <si>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</si>
  <si>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</si>
  <si>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</si>
  <si>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</si>
  <si>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</si>
  <si>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</si>
  <si>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</si>
  <si>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</si>
  <si>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</si>
  <si>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</si>
  <si>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</si>
  <si>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</si>
  <si>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</si>
  <si>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</si>
  <si>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</si>
  <si>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</si>
  <si>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</si>
  <si>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</si>
  <si>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</si>
  <si>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</si>
  <si>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</si>
  <si>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</si>
  <si>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</si>
  <si>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</si>
  <si>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</si>
  <si>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</si>
  <si>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</si>
  <si>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</si>
  <si>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</si>
  <si>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</si>
  <si>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</si>
  <si>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</si>
  <si>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</si>
  <si>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</si>
  <si>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</si>
  <si>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</si>
  <si>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</si>
  <si>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</si>
  <si>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</si>
  <si>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</si>
  <si>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</si>
  <si>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</si>
  <si>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</si>
  <si>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</si>
  <si>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</si>
  <si>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</si>
  <si>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</si>
  <si>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</si>
  <si>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</si>
  <si>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</si>
  <si>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</si>
  <si>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</si>
  <si>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</si>
  <si>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</si>
  <si>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</si>
  <si>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</si>
  <si>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</si>
  <si>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</si>
  <si>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</si>
  <si>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</si>
  <si>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</si>
  <si>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</si>
  <si>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</si>
  <si>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</si>
  <si>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</si>
  <si>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</si>
  <si>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</si>
  <si>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</si>
  <si>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</si>
  <si>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</si>
  <si>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</si>
  <si>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</si>
  <si>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</si>
  <si>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</si>
  <si>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</si>
  <si>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</si>
  <si>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</si>
  <si>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</si>
  <si>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</si>
  <si>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</si>
  <si>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</si>
  <si>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</si>
  <si>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</si>
  <si>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</si>
  <si>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</si>
  <si>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</si>
  <si>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</si>
  <si>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</si>
  <si>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</si>
  <si>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</si>
  <si>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</si>
  <si>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</si>
  <si>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</si>
  <si>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</si>
  <si>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</si>
  <si>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</si>
  <si>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</si>
  <si>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</si>
  <si>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</si>
  <si>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</si>
  <si>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</si>
  <si>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</si>
  <si>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</si>
  <si>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</si>
  <si>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</si>
  <si>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</si>
  <si>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</si>
  <si>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</si>
  <si>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</si>
  <si>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</si>
  <si>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</si>
  <si>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</si>
  <si>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</si>
  <si>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</si>
  <si>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</si>
  <si>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</si>
  <si>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</si>
  <si>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</si>
  <si>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</si>
  <si>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</si>
  <si>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</si>
  <si>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</si>
  <si>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</si>
  <si>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</si>
  <si>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</si>
  <si>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</si>
  <si>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</si>
  <si>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</si>
  <si>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</si>
  <si>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</si>
  <si>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</si>
  <si>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</si>
  <si>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</si>
  <si>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</si>
  <si>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</si>
  <si>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</si>
  <si>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</si>
  <si>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</si>
  <si>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</si>
  <si>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</si>
  <si>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</si>
  <si>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</si>
  <si>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</si>
  <si>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</si>
  <si>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</si>
  <si>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</si>
  <si>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</si>
  <si>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</si>
  <si>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</si>
  <si>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</si>
  <si>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</si>
  <si>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</si>
  <si>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</si>
  <si>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</si>
  <si>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</si>
  <si>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</si>
  <si>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</si>
  <si>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</si>
  <si>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</si>
  <si>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</si>
  <si>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</si>
  <si>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</si>
  <si>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</si>
  <si>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</si>
  <si>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</si>
  <si>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</si>
  <si>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</si>
  <si>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</si>
  <si>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</si>
  <si>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</si>
  <si>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</si>
  <si>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</si>
  <si>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</si>
  <si>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</si>
  <si>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</si>
  <si>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</si>
  <si>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</si>
  <si>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</si>
  <si>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</si>
  <si>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</si>
  <si>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</si>
  <si>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</si>
  <si>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</si>
  <si>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</si>
  <si>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</si>
  <si>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</si>
  <si>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</si>
  <si>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</si>
  <si>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</si>
  <si>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</si>
  <si>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</si>
  <si>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</si>
  <si>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</si>
  <si>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</si>
  <si>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</si>
  <si>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</si>
  <si>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</si>
  <si>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</si>
  <si>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</si>
  <si>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</si>
  <si>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</si>
  <si>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</si>
  <si>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</si>
  <si>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</si>
  <si>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</si>
  <si>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</si>
  <si>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</si>
  <si>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</si>
  <si>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</si>
  <si>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</si>
  <si>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</si>
  <si>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</si>
  <si>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</si>
  <si>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</si>
  <si>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</si>
  <si>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</si>
  <si>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</si>
  <si>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</si>
  <si>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</si>
  <si>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</si>
  <si>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</si>
  <si>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</si>
  <si>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</si>
  <si>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</si>
  <si>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</si>
  <si>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</si>
  <si>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</si>
  <si>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</si>
  <si>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</si>
  <si>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</si>
  <si>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</si>
  <si>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</si>
  <si>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</si>
  <si>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</si>
  <si>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</si>
  <si>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</si>
  <si>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</si>
  <si>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</si>
  <si>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</si>
  <si>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</si>
  <si>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</si>
  <si>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</si>
  <si>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</si>
  <si>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</si>
  <si>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</si>
  <si>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</si>
  <si>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</si>
  <si>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</si>
  <si>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</si>
  <si>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</si>
  <si>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</si>
  <si>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</si>
  <si>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</si>
  <si>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</si>
  <si>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</si>
  <si>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</si>
  <si>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</si>
  <si>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</si>
  <si>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</si>
  <si>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</si>
  <si>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</si>
  <si>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</si>
  <si>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</si>
  <si>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</si>
  <si>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</si>
  <si>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</si>
  <si>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</si>
  <si>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</si>
  <si>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</si>
  <si>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</si>
  <si>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</si>
  <si>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</si>
  <si>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</si>
  <si>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</si>
  <si>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</si>
  <si>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</si>
  <si>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</si>
  <si>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</si>
  <si>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</si>
  <si>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</si>
  <si>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</si>
  <si>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</si>
  <si>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</si>
  <si>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</si>
  <si>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</si>
  <si>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</si>
  <si>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</si>
  <si>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</si>
  <si>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</si>
  <si>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</si>
  <si>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</si>
  <si>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</si>
  <si>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</si>
  <si>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</si>
  <si>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</si>
  <si>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</si>
  <si>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</si>
  <si>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</si>
  <si>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</si>
  <si>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</si>
  <si>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</si>
  <si>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</si>
  <si>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</si>
  <si>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</si>
  <si>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</si>
  <si>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</si>
  <si>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</si>
  <si>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</si>
  <si>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</si>
  <si>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</si>
  <si>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</si>
  <si>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</si>
  <si>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</si>
  <si>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</si>
  <si>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</si>
  <si>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</si>
  <si>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</si>
  <si>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</si>
  <si>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</si>
  <si>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</si>
  <si>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</si>
  <si>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</si>
  <si>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</si>
  <si>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</si>
  <si>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</si>
  <si>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</si>
  <si>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</si>
  <si>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</si>
  <si>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</si>
  <si>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</si>
  <si>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</si>
  <si>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</si>
  <si>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</si>
  <si>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</si>
  <si>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</si>
  <si>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</si>
  <si>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</si>
  <si>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</si>
  <si>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</si>
  <si>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</si>
  <si>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</si>
  <si>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</si>
  <si>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</si>
  <si>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</si>
  <si>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</si>
  <si>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</si>
  <si>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</si>
  <si>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</si>
  <si>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</si>
  <si>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</si>
  <si>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</si>
  <si>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</si>
  <si>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</si>
  <si>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</si>
  <si>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</si>
  <si>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</si>
  <si>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</si>
  <si>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</si>
  <si>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</si>
  <si>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</si>
  <si>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</si>
  <si>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</si>
  <si>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</si>
  <si>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</si>
  <si>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</si>
  <si>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</si>
  <si>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</si>
  <si>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</si>
  <si>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</si>
  <si>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</si>
  <si>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</si>
  <si>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</si>
  <si>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</si>
  <si>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</si>
  <si>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</si>
  <si>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</si>
  <si>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</si>
  <si>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</si>
  <si>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</si>
  <si>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</si>
  <si>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</si>
  <si>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</si>
  <si>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</si>
  <si>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</si>
  <si>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</si>
  <si>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</si>
  <si>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</si>
  <si>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</si>
  <si>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</si>
  <si>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</si>
  <si>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</si>
  <si>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</si>
  <si>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</si>
  <si>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</si>
  <si>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</si>
  <si>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</si>
  <si>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</si>
  <si>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</si>
  <si>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</si>
  <si>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</si>
  <si>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</si>
  <si>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</si>
  <si>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</si>
  <si>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</si>
  <si>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</si>
  <si>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</si>
  <si>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</si>
  <si>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</si>
  <si>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</si>
  <si>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</si>
  <si>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</si>
  <si>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</si>
  <si>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</si>
  <si>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</si>
  <si>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</si>
  <si>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</si>
  <si>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</si>
  <si>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</si>
  <si>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</si>
  <si>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</si>
  <si>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</si>
  <si>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</si>
  <si>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</si>
  <si>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</si>
  <si>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</si>
  <si>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</si>
  <si>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</si>
  <si>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</si>
  <si>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</si>
  <si>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</si>
  <si>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</si>
  <si>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</si>
  <si>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</si>
  <si>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</si>
  <si>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</si>
  <si>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</si>
  <si>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</si>
  <si>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</si>
  <si>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</si>
  <si>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</si>
  <si>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</si>
  <si>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</si>
  <si>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</si>
  <si>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</si>
  <si>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</si>
  <si>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</si>
  <si>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</si>
  <si>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</si>
  <si>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</si>
  <si>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</si>
  <si>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</si>
  <si>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</si>
  <si>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</si>
  <si>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</si>
  <si>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</si>
  <si>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</si>
  <si>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</si>
  <si>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</si>
  <si>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</si>
  <si>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</si>
  <si>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</si>
  <si>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</si>
  <si>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</si>
  <si>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</si>
  <si>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</si>
  <si>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</si>
  <si>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</si>
  <si>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</si>
  <si>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</si>
  <si>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</si>
  <si>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</si>
  <si>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</si>
  <si>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</si>
  <si>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</si>
  <si>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</si>
  <si>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</si>
  <si>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</si>
  <si>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</si>
  <si>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</si>
  <si>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</si>
  <si>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</si>
  <si>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</si>
  <si>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</si>
  <si>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</si>
  <si>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</si>
  <si>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</si>
  <si>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</si>
  <si>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</si>
  <si>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</si>
  <si>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</si>
  <si>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</si>
  <si>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</si>
  <si>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</si>
  <si>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</si>
  <si>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</si>
  <si>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</si>
  <si>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</si>
  <si>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</si>
  <si>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</si>
  <si>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</si>
  <si>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</si>
  <si>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</si>
  <si>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</si>
  <si>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</si>
  <si>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</si>
  <si>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</si>
  <si>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</si>
  <si>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</si>
  <si>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</si>
  <si>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</si>
  <si>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</si>
  <si>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</si>
  <si>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</si>
  <si>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</si>
  <si>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</si>
  <si>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</si>
  <si>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</si>
  <si>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</si>
  <si>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</si>
  <si>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</si>
  <si>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</si>
  <si>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</si>
  <si>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</si>
  <si>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</si>
  <si>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</si>
  <si>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</si>
  <si>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</si>
  <si>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</si>
  <si>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</si>
  <si>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</si>
  <si>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</si>
  <si>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</si>
  <si>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</si>
  <si>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</si>
  <si>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</si>
  <si>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</si>
  <si>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</si>
  <si>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</si>
  <si>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</si>
  <si>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</si>
  <si>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</si>
  <si>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</si>
  <si>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</si>
  <si>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</si>
  <si>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</si>
  <si>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</si>
  <si>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</si>
  <si>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</si>
  <si>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</si>
  <si>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</si>
  <si>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</si>
  <si>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</si>
  <si>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</si>
  <si>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</si>
  <si>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</si>
  <si>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</si>
  <si>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</si>
  <si>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</si>
  <si>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</si>
  <si>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</si>
  <si>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</si>
  <si>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</si>
  <si>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</si>
  <si>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</si>
  <si>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</si>
  <si>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</si>
  <si>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</si>
  <si>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</si>
  <si>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</si>
  <si>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</si>
  <si>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</si>
  <si>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</si>
  <si>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</si>
  <si>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TB Ajust - Based on Unifected, LTBI, Infected, groupings)</t>
  </si>
  <si>
    <t>2 years should correspond to a transition probablity of 0.5 for a one-year period.</t>
  </si>
  <si>
    <t>This differs substantially by HIV status.</t>
  </si>
  <si>
    <t>Updated by Jen 1-15-20. Translates to 5% of adult LTBI population were infected within past two years, which may still be high.</t>
  </si>
  <si>
    <t>Wood PMID 20202297, Sumner 2016 PMID 26950316</t>
  </si>
  <si>
    <t>Row Labels</t>
  </si>
  <si>
    <t>Sum of initialized population in 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</si>
</sst>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20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/>
    <xf numFmtId="0" fontId="24" fillId="0" borderId="0" xfId="0" applyFont="1" applyAlignment="1">
      <alignment horizontal="left" vertical="center" wrapText="1" indent="1"/>
    </xf>
    <xf numFmtId="0" fontId="1" fillId="7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0" borderId="0" xfId="0" applyAlignment="1">
      <alignment horizontal="left" indent="1"/>
    </xf>
    <xf numFmtId="0" fontId="0" fillId="13" borderId="0" xfId="0" applyFill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lsea Greene" id="{9E204584-B746-014C-A8AD-D4B2CBCA960E}" userId="4fbef36339d9ec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8.796095254627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2,1"/>
        <s v="N,1,1,2,1"/>
        <s v="N,1,2,3,1"/>
        <s v="N,1,1,3,1"/>
        <s v="N,1,2,4,1"/>
        <s v="N,1,1,4,1"/>
        <s v="N,1,2,1,2"/>
        <s v="N,1,1,1,2"/>
        <s v="N,1,2,2,2"/>
        <s v="N,1,1,2,2"/>
        <s v="N,1,2,3,2"/>
        <s v="N,1,1,3,2"/>
        <s v="N,1,2,4,2"/>
        <s v="N,1,1,4,2"/>
        <s v="N,2,1,1,1"/>
        <s v="N,2,2,1,1"/>
        <s v="N,2,1,2,1"/>
        <s v="N,2,2,2,1"/>
        <s v="N,2,1,3,1"/>
        <s v="N,2,2,3,1"/>
        <s v="N,2,1,4,1"/>
        <s v="N,2,2,4,1"/>
        <s v="N,2,1,1,2"/>
        <s v="N,2,2,1,2"/>
        <s v="N,2,1,2,2"/>
        <s v="N,2,2,2,2"/>
        <s v="N,2,1,3,2"/>
        <s v="N,2,2,3,2"/>
        <s v="N,2,1,4,2"/>
        <s v="N,2,2,4,2"/>
        <s v="N,3,1,1,1"/>
        <s v="N,3,2,1,1"/>
        <s v="N,3,1,2,1"/>
        <s v="N,3,2,2,1"/>
        <s v="N,3,1,3,1"/>
        <s v="N,3,2,3,1"/>
        <s v="N,3,1,4,1"/>
        <s v="N,3,2,4,1"/>
        <s v="N,3,1,1,2"/>
        <s v="N,3,2,1,2"/>
        <s v="N,3,1,2,2"/>
        <s v="N,3,2,2,2"/>
        <s v="N,3,1,3,2"/>
        <s v="N,3,2,3,2"/>
        <s v="N,3,1,4,2"/>
        <s v="N,3,2,4,2"/>
        <s v="N,4,1,1,1"/>
        <s v="N,4,2,1,1"/>
        <s v="N,4,1,2,1"/>
        <s v="N,4,2,2,1"/>
        <s v="N,4,1,3,1"/>
        <s v="N,4,2,3,1"/>
        <s v="N,4,1,4,1"/>
        <s v="N,4,2,4,1"/>
        <s v="N,4,1,1,2"/>
        <s v="N,4,2,1,2"/>
        <s v="N,4,1,2,2"/>
        <s v="N,4,2,2,2"/>
        <s v="N,4,1,3,2"/>
        <s v="N,4,2,3,2"/>
        <s v="N,4,1,4,2"/>
        <s v="N,4,2,4,2"/>
        <s v="N,5,1,1,1"/>
        <s v="N,5,2,1,1"/>
        <s v="N,5,1,2,1"/>
        <s v="N,5,2,2,1"/>
        <s v="N,5,1,3,1"/>
        <s v="N,5,2,3,1"/>
        <s v="N,5,1,4,1"/>
        <s v="N,5,2,4,1"/>
        <s v="N,5,1,1,2"/>
        <s v="N,5,2,1,2"/>
        <s v="N,5,1,2,2"/>
        <s v="N,5,2,2,2"/>
        <s v="N,5,1,3,2"/>
        <s v="N,5,2,3,2"/>
        <s v="N,5,1,4,2"/>
        <s v="N,5,2,4,2"/>
        <s v="N,6,1,1,1"/>
        <s v="N,6,2,1,1"/>
        <s v="N,6,1,2,1"/>
        <s v="N,6,2,2,1"/>
        <s v="N,6,1,3,1"/>
        <s v="N,6,2,3,1"/>
        <s v="N,6,1,4,1"/>
        <s v="N,6,2,4,1"/>
        <s v="N,6,1,1,2"/>
        <s v="N,6,2,1,2"/>
        <s v="N,6,1,2,2"/>
        <s v="N,6,2,2,2"/>
        <s v="N,6,1,3,2"/>
        <s v="N,6,2,3,2"/>
        <s v="N,6,1,4,2"/>
        <s v="N,6,2,4,2"/>
        <s v="N,7,1,1,1"/>
        <s v="N,7,2,1,1"/>
        <s v="N,7,1,2,1"/>
        <s v="N,7,2,2,1"/>
        <s v="N,7,1,3,1"/>
        <s v="N,7,2,3,1"/>
        <s v="N,7,1,4,1"/>
        <s v="N,7,2,4,1"/>
        <s v="N,7,1,1,2"/>
        <s v="N,7,2,1,2"/>
        <s v="N,7,1,2,2"/>
        <s v="N,7,2,2,2"/>
        <s v="N,7,1,3,2"/>
        <s v="N,7,2,3,2"/>
        <s v="N,7,1,4,2"/>
        <s v="N,7,2,4,2"/>
        <s v="N,8,1,1,1"/>
        <s v="N,8,2,1,1"/>
        <s v="N,8,1,2,1"/>
        <s v="N,8,2,2,1"/>
        <s v="N,8,1,3,1"/>
        <s v="N,8,2,3,1"/>
        <s v="N,8,1,4,1"/>
        <s v="N,8,2,4,1"/>
        <s v="N,8,1,1,2"/>
        <s v="N,8,2,1,2"/>
        <s v="N,8,1,2,2"/>
        <s v="N,8,2,2,2"/>
        <s v="N,8,1,3,2"/>
        <s v="N,8,2,3,2"/>
        <s v="N,8,1,4,2"/>
        <s v="N,8,2,4,2"/>
      </sharedItems>
    </cacheField>
    <cacheField name="TB Ajust - Based on Unifected, LTBI, Infected, groupings)" numFmtId="0">
      <sharedItems containsSemiMixedTypes="0" containsString="0" containsNumber="1" minValue="0" maxValue="0.99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1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69299999999999995"/>
    </cacheField>
    <cacheField name="Proportion in compartment" numFmtId="0">
      <sharedItems containsSemiMixedTypes="0" containsString="0" containsNumber="1" minValue="0" maxValue="0.17325000000000002"/>
    </cacheField>
    <cacheField name="initialized population in compartment" numFmtId="1">
      <sharedItems containsSemiMixedTypes="0" containsString="0" containsNumber="1" minValue="0" maxValue="17325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n v="1"/>
    <x v="0"/>
    <x v="0"/>
    <x v="0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HIV-negative and Male"/>
    <s v="N"/>
    <x v="0"/>
    <n v="2"/>
    <x v="0"/>
    <x v="0"/>
    <x v="1"/>
    <n v="0.99"/>
    <n v="0"/>
    <n v="0.7"/>
    <m/>
    <n v="0"/>
    <n v="0"/>
    <n v="0"/>
    <m/>
    <m/>
    <m/>
  </r>
  <r>
    <s v="Population in TB compartment  Uninfected, not on IPT with  Multidrug-resistant (MDR-TB) in HIV compartment  PLHIV not on ART, CD4&gt;200 and Male"/>
    <s v="N"/>
    <x v="0"/>
    <n v="2"/>
    <x v="1"/>
    <x v="0"/>
    <x v="2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Male"/>
    <s v="N"/>
    <x v="0"/>
    <n v="1"/>
    <x v="1"/>
    <x v="0"/>
    <x v="3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Male"/>
    <s v="N"/>
    <x v="0"/>
    <n v="2"/>
    <x v="2"/>
    <x v="0"/>
    <x v="4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Male"/>
    <s v="N"/>
    <x v="0"/>
    <n v="1"/>
    <x v="2"/>
    <x v="0"/>
    <x v="5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Male"/>
    <s v="N"/>
    <x v="0"/>
    <n v="2"/>
    <x v="3"/>
    <x v="0"/>
    <x v="6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Male"/>
    <s v="N"/>
    <x v="0"/>
    <n v="1"/>
    <x v="3"/>
    <x v="0"/>
    <x v="7"/>
    <n v="0.99"/>
    <n v="1"/>
    <n v="8.1000000000000003E-2"/>
    <m/>
    <n v="8.0189999999999997E-2"/>
    <n v="2.0047500000000003E-2"/>
    <n v="2004.7500000000002"/>
    <m/>
    <m/>
    <m/>
  </r>
  <r>
    <s v="Population in TB compartment  Uninfected, not on IPT with  Multidrug-resistant (MDR-TB) in HIV compartment  HIV-negative and Female"/>
    <s v="N"/>
    <x v="0"/>
    <n v="2"/>
    <x v="0"/>
    <x v="1"/>
    <x v="8"/>
    <n v="0.99"/>
    <n v="0"/>
    <n v="0.7"/>
    <m/>
    <n v="0"/>
    <n v="0"/>
    <n v="0"/>
    <m/>
    <m/>
    <m/>
  </r>
  <r>
    <s v="Population in TB compartment  Uninfected, not on IPT with Drug-susceptible (DS) in HIV compartment  HIV-negative and Female"/>
    <s v="N"/>
    <x v="0"/>
    <n v="1"/>
    <x v="0"/>
    <x v="1"/>
    <x v="9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PLHIV not on ART, CD4&gt;200 and Female"/>
    <s v="N"/>
    <x v="0"/>
    <n v="2"/>
    <x v="1"/>
    <x v="1"/>
    <x v="10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Female"/>
    <s v="N"/>
    <x v="0"/>
    <n v="1"/>
    <x v="1"/>
    <x v="1"/>
    <x v="11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Female"/>
    <s v="N"/>
    <x v="0"/>
    <n v="2"/>
    <x v="2"/>
    <x v="1"/>
    <x v="12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Female"/>
    <s v="N"/>
    <x v="0"/>
    <n v="1"/>
    <x v="2"/>
    <x v="1"/>
    <x v="13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Female"/>
    <s v="N"/>
    <x v="0"/>
    <n v="2"/>
    <x v="3"/>
    <x v="1"/>
    <x v="14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Female"/>
    <s v="N"/>
    <x v="0"/>
    <n v="1"/>
    <x v="3"/>
    <x v="1"/>
    <x v="15"/>
    <n v="0.99"/>
    <n v="1"/>
    <n v="8.1000000000000003E-2"/>
    <m/>
    <n v="8.0189999999999997E-2"/>
    <n v="2.0047500000000003E-2"/>
    <n v="2004.7500000000002"/>
    <m/>
    <m/>
    <m/>
  </r>
  <r>
    <s v="Population in TB compartment  Uninfected, on IPT with Drug-susceptible (DS) in HIV compartment  HIV-negative and Male"/>
    <s v="N"/>
    <x v="1"/>
    <n v="1"/>
    <x v="0"/>
    <x v="0"/>
    <x v="16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Male"/>
    <s v="N"/>
    <x v="1"/>
    <n v="2"/>
    <x v="0"/>
    <x v="0"/>
    <x v="17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Male"/>
    <s v="N"/>
    <x v="1"/>
    <n v="1"/>
    <x v="1"/>
    <x v="0"/>
    <x v="18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Male"/>
    <s v="N"/>
    <x v="1"/>
    <n v="2"/>
    <x v="1"/>
    <x v="0"/>
    <x v="19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Male"/>
    <s v="N"/>
    <x v="1"/>
    <n v="1"/>
    <x v="2"/>
    <x v="0"/>
    <x v="20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Male"/>
    <s v="N"/>
    <x v="1"/>
    <n v="2"/>
    <x v="2"/>
    <x v="0"/>
    <x v="21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Male"/>
    <s v="N"/>
    <x v="1"/>
    <n v="1"/>
    <x v="3"/>
    <x v="0"/>
    <x v="22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Male"/>
    <s v="N"/>
    <x v="1"/>
    <n v="2"/>
    <x v="3"/>
    <x v="0"/>
    <x v="23"/>
    <n v="0.01"/>
    <n v="0"/>
    <n v="8.1000000000000003E-2"/>
    <m/>
    <n v="0"/>
    <n v="0"/>
    <n v="0"/>
    <m/>
    <m/>
    <m/>
  </r>
  <r>
    <s v="Population in TB compartment  Uninfected, on IPT with Drug-susceptible (DS) in HIV compartment  HIV-negative and Female"/>
    <s v="N"/>
    <x v="1"/>
    <n v="1"/>
    <x v="0"/>
    <x v="1"/>
    <x v="24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Female"/>
    <s v="N"/>
    <x v="1"/>
    <n v="2"/>
    <x v="0"/>
    <x v="1"/>
    <x v="25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Female"/>
    <s v="N"/>
    <x v="1"/>
    <n v="1"/>
    <x v="1"/>
    <x v="1"/>
    <x v="26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Female"/>
    <s v="N"/>
    <x v="1"/>
    <n v="2"/>
    <x v="1"/>
    <x v="1"/>
    <x v="27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Female"/>
    <s v="N"/>
    <x v="1"/>
    <n v="1"/>
    <x v="2"/>
    <x v="1"/>
    <x v="28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Female"/>
    <s v="N"/>
    <x v="1"/>
    <n v="2"/>
    <x v="2"/>
    <x v="1"/>
    <x v="29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Female"/>
    <s v="N"/>
    <x v="1"/>
    <n v="1"/>
    <x v="3"/>
    <x v="1"/>
    <x v="30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Female"/>
    <s v="N"/>
    <x v="1"/>
    <n v="2"/>
    <x v="3"/>
    <x v="1"/>
    <x v="31"/>
    <n v="0.01"/>
    <n v="0"/>
    <n v="8.1000000000000003E-2"/>
    <m/>
    <n v="0"/>
    <n v="0"/>
    <n v="0"/>
    <m/>
    <m/>
    <m/>
  </r>
  <r>
    <s v="Population in TB compartment  LTBI, infected recently (at risk for rapid progression) with Drug-susceptible (DS) in HIV compartment  HIV-negative and Male"/>
    <s v="N"/>
    <x v="2"/>
    <n v="1"/>
    <x v="0"/>
    <x v="0"/>
    <x v="32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Male"/>
    <s v="N"/>
    <x v="2"/>
    <n v="2"/>
    <x v="0"/>
    <x v="0"/>
    <x v="33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Male"/>
    <s v="N"/>
    <x v="2"/>
    <n v="1"/>
    <x v="1"/>
    <x v="0"/>
    <x v="34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Male"/>
    <s v="N"/>
    <x v="2"/>
    <n v="2"/>
    <x v="1"/>
    <x v="0"/>
    <x v="35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Male"/>
    <s v="N"/>
    <x v="2"/>
    <n v="1"/>
    <x v="2"/>
    <x v="0"/>
    <x v="36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Male"/>
    <s v="N"/>
    <x v="2"/>
    <n v="2"/>
    <x v="2"/>
    <x v="0"/>
    <x v="37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Male"/>
    <s v="N"/>
    <x v="2"/>
    <n v="1"/>
    <x v="3"/>
    <x v="0"/>
    <x v="38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Male"/>
    <s v="N"/>
    <x v="2"/>
    <n v="2"/>
    <x v="3"/>
    <x v="0"/>
    <x v="39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cently (at risk for rapid progression) with Drug-susceptible (DS) in HIV compartment  HIV-negative and Female"/>
    <s v="N"/>
    <x v="2"/>
    <n v="1"/>
    <x v="0"/>
    <x v="1"/>
    <x v="40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Female"/>
    <s v="N"/>
    <x v="2"/>
    <n v="2"/>
    <x v="0"/>
    <x v="1"/>
    <x v="41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Female"/>
    <s v="N"/>
    <x v="2"/>
    <n v="1"/>
    <x v="1"/>
    <x v="1"/>
    <x v="42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Female"/>
    <s v="N"/>
    <x v="2"/>
    <n v="2"/>
    <x v="1"/>
    <x v="1"/>
    <x v="43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Female"/>
    <s v="N"/>
    <x v="2"/>
    <n v="1"/>
    <x v="2"/>
    <x v="1"/>
    <x v="44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Female"/>
    <s v="N"/>
    <x v="2"/>
    <n v="2"/>
    <x v="2"/>
    <x v="1"/>
    <x v="45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Female"/>
    <s v="N"/>
    <x v="2"/>
    <n v="1"/>
    <x v="3"/>
    <x v="1"/>
    <x v="46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Female"/>
    <s v="N"/>
    <x v="2"/>
    <n v="2"/>
    <x v="3"/>
    <x v="1"/>
    <x v="47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motely with Drug-susceptible (DS) in HIV compartment  HIV-negative and Male"/>
    <s v="N"/>
    <x v="3"/>
    <n v="1"/>
    <x v="0"/>
    <x v="0"/>
    <x v="48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Male"/>
    <s v="N"/>
    <x v="3"/>
    <n v="2"/>
    <x v="0"/>
    <x v="0"/>
    <x v="49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Male"/>
    <s v="N"/>
    <x v="3"/>
    <n v="1"/>
    <x v="1"/>
    <x v="0"/>
    <x v="50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Male"/>
    <s v="N"/>
    <x v="3"/>
    <n v="2"/>
    <x v="1"/>
    <x v="0"/>
    <x v="51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Male"/>
    <s v="N"/>
    <x v="3"/>
    <n v="1"/>
    <x v="2"/>
    <x v="0"/>
    <x v="52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Male"/>
    <s v="N"/>
    <x v="3"/>
    <n v="2"/>
    <x v="2"/>
    <x v="0"/>
    <x v="53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Male"/>
    <s v="N"/>
    <x v="3"/>
    <n v="1"/>
    <x v="3"/>
    <x v="0"/>
    <x v="54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Male"/>
    <s v="N"/>
    <x v="3"/>
    <n v="2"/>
    <x v="3"/>
    <x v="0"/>
    <x v="55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infected remotely with Drug-susceptible (DS) in HIV compartment  HIV-negative and Female"/>
    <s v="N"/>
    <x v="3"/>
    <n v="1"/>
    <x v="0"/>
    <x v="1"/>
    <x v="56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Female"/>
    <s v="N"/>
    <x v="3"/>
    <n v="2"/>
    <x v="0"/>
    <x v="1"/>
    <x v="57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Female"/>
    <s v="N"/>
    <x v="3"/>
    <n v="1"/>
    <x v="1"/>
    <x v="1"/>
    <x v="58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Female"/>
    <s v="N"/>
    <x v="3"/>
    <n v="2"/>
    <x v="1"/>
    <x v="1"/>
    <x v="59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Female"/>
    <s v="N"/>
    <x v="3"/>
    <n v="1"/>
    <x v="2"/>
    <x v="1"/>
    <x v="60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Female"/>
    <s v="N"/>
    <x v="3"/>
    <n v="2"/>
    <x v="2"/>
    <x v="1"/>
    <x v="61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Female"/>
    <s v="N"/>
    <x v="3"/>
    <n v="1"/>
    <x v="3"/>
    <x v="1"/>
    <x v="62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Female"/>
    <s v="N"/>
    <x v="3"/>
    <n v="2"/>
    <x v="3"/>
    <x v="1"/>
    <x v="63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on IPT with Drug-susceptible (DS) in HIV compartment  HIV-negative and Male"/>
    <s v="N"/>
    <x v="4"/>
    <n v="1"/>
    <x v="0"/>
    <x v="0"/>
    <x v="64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Male"/>
    <s v="N"/>
    <x v="4"/>
    <n v="2"/>
    <x v="0"/>
    <x v="0"/>
    <x v="65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Male"/>
    <s v="N"/>
    <x v="4"/>
    <n v="1"/>
    <x v="1"/>
    <x v="0"/>
    <x v="66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Male"/>
    <s v="N"/>
    <x v="4"/>
    <n v="2"/>
    <x v="1"/>
    <x v="0"/>
    <x v="67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Male"/>
    <s v="N"/>
    <x v="4"/>
    <n v="1"/>
    <x v="2"/>
    <x v="0"/>
    <x v="68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Male"/>
    <s v="N"/>
    <x v="4"/>
    <n v="2"/>
    <x v="2"/>
    <x v="0"/>
    <x v="69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Male"/>
    <s v="N"/>
    <x v="4"/>
    <n v="1"/>
    <x v="3"/>
    <x v="0"/>
    <x v="70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Male"/>
    <s v="N"/>
    <x v="4"/>
    <n v="2"/>
    <x v="3"/>
    <x v="0"/>
    <x v="71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LTBI, on IPT with Drug-susceptible (DS) in HIV compartment  HIV-negative and Female"/>
    <s v="N"/>
    <x v="4"/>
    <n v="1"/>
    <x v="0"/>
    <x v="1"/>
    <x v="72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Female"/>
    <s v="N"/>
    <x v="4"/>
    <n v="2"/>
    <x v="0"/>
    <x v="1"/>
    <x v="73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Female"/>
    <s v="N"/>
    <x v="4"/>
    <n v="1"/>
    <x v="1"/>
    <x v="1"/>
    <x v="74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Female"/>
    <s v="N"/>
    <x v="4"/>
    <n v="2"/>
    <x v="1"/>
    <x v="1"/>
    <x v="75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Female"/>
    <s v="N"/>
    <x v="4"/>
    <n v="1"/>
    <x v="2"/>
    <x v="1"/>
    <x v="76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Female"/>
    <s v="N"/>
    <x v="4"/>
    <n v="2"/>
    <x v="2"/>
    <x v="1"/>
    <x v="77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Female"/>
    <s v="N"/>
    <x v="4"/>
    <n v="1"/>
    <x v="3"/>
    <x v="1"/>
    <x v="78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Female"/>
    <s v="N"/>
    <x v="4"/>
    <n v="2"/>
    <x v="3"/>
    <x v="1"/>
    <x v="79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Active with Drug-susceptible (DS) in HIV compartment  HIV-negative and Male"/>
    <s v="N"/>
    <x v="5"/>
    <n v="1"/>
    <x v="0"/>
    <x v="0"/>
    <x v="80"/>
    <n v="0.4"/>
    <n v="0.96299999999999997"/>
    <n v="1"/>
    <m/>
    <n v="0.38519999999999999"/>
    <n v="1.926E-3"/>
    <n v="192.6"/>
    <m/>
    <m/>
    <m/>
  </r>
  <r>
    <s v="Population in TB compartment  Active with  Multidrug-resistant (MDR-TB) in HIV compartment  HIV-negative and Male"/>
    <s v="N"/>
    <x v="5"/>
    <n v="2"/>
    <x v="0"/>
    <x v="0"/>
    <x v="81"/>
    <n v="0.4"/>
    <n v="3.6999999999999998E-2"/>
    <n v="1"/>
    <m/>
    <n v="1.4800000000000001E-2"/>
    <n v="7.400000000000001E-5"/>
    <n v="7.4000000000000012"/>
    <m/>
    <m/>
    <m/>
  </r>
  <r>
    <s v="Population in TB compartment  Active with Drug-susceptible (DS) in HIV compartment  PLHIV not on ART, CD4&gt;200 and Male"/>
    <s v="N"/>
    <x v="5"/>
    <n v="1"/>
    <x v="1"/>
    <x v="0"/>
    <x v="82"/>
    <n v="0.6"/>
    <n v="0.96299999999999997"/>
    <n v="0.55000000000000004"/>
    <m/>
    <n v="0.31779000000000002"/>
    <n v="1.5889500000000002E-3"/>
    <n v="158.89500000000001"/>
    <m/>
    <m/>
    <m/>
  </r>
  <r>
    <s v="Population in TB compartment  Active with  Multidrug-resistant (MDR-TB) in HIV compartment  PLHIV not on ART, CD4&gt;200 and Male"/>
    <s v="N"/>
    <x v="5"/>
    <n v="2"/>
    <x v="1"/>
    <x v="0"/>
    <x v="83"/>
    <n v="0.6"/>
    <n v="3.6999999999999998E-2"/>
    <n v="0.55000000000000004"/>
    <m/>
    <n v="1.221E-2"/>
    <n v="6.1050000000000007E-5"/>
    <n v="6.1050000000000004"/>
    <m/>
    <m/>
    <m/>
  </r>
  <r>
    <s v="Population in TB compartment  Active with Drug-susceptible (DS) in HIV compartment  PLHIV not on ART, CD4≤200 and Male"/>
    <s v="N"/>
    <x v="5"/>
    <n v="1"/>
    <x v="2"/>
    <x v="0"/>
    <x v="84"/>
    <n v="0.6"/>
    <n v="0.96299999999999997"/>
    <n v="0.17999999999999994"/>
    <m/>
    <n v="0.10400399999999996"/>
    <n v="5.2001999999999984E-4"/>
    <n v="52.001999999999981"/>
    <m/>
    <m/>
    <m/>
  </r>
  <r>
    <s v="Population in TB compartment  Active with  Multidrug-resistant (MDR-TB) in HIV compartment  PLHIV not on ART, CD4≤200 and Male"/>
    <s v="N"/>
    <x v="5"/>
    <n v="2"/>
    <x v="2"/>
    <x v="0"/>
    <x v="85"/>
    <n v="0.6"/>
    <n v="3.6999999999999998E-2"/>
    <n v="0.17999999999999994"/>
    <m/>
    <n v="3.9959999999999978E-3"/>
    <n v="1.9979999999999988E-5"/>
    <n v="1.9979999999999989"/>
    <m/>
    <m/>
    <m/>
  </r>
  <r>
    <s v="Population in TB compartment  Active with Drug-susceptible (DS) in HIV compartment  PLHIV and on ART and Male"/>
    <s v="N"/>
    <x v="5"/>
    <n v="1"/>
    <x v="3"/>
    <x v="0"/>
    <x v="86"/>
    <n v="0.6"/>
    <n v="0.96299999999999997"/>
    <n v="0.27"/>
    <m/>
    <n v="0.15600600000000001"/>
    <n v="7.8003000000000002E-4"/>
    <n v="78.003"/>
    <m/>
    <m/>
    <m/>
  </r>
  <r>
    <s v="Population in TB compartment  Active with  Multidrug-resistant (MDR-TB) in HIV compartment  PLHIV and on ART and Male"/>
    <s v="N"/>
    <x v="5"/>
    <n v="2"/>
    <x v="3"/>
    <x v="0"/>
    <x v="87"/>
    <n v="0.6"/>
    <n v="3.6999999999999998E-2"/>
    <n v="0.27"/>
    <m/>
    <n v="5.9939999999999993E-3"/>
    <n v="2.9969999999999996E-5"/>
    <n v="2.9969999999999994"/>
    <m/>
    <m/>
    <m/>
  </r>
  <r>
    <s v="Population in TB compartment  Active with Drug-susceptible (DS) in HIV compartment  HIV-negative and Female"/>
    <s v="N"/>
    <x v="5"/>
    <n v="1"/>
    <x v="0"/>
    <x v="1"/>
    <x v="88"/>
    <n v="0.19999999999999996"/>
    <n v="0.96299999999999997"/>
    <n v="1"/>
    <m/>
    <n v="0.19259999999999994"/>
    <n v="9.6299999999999966E-4"/>
    <n v="96.299999999999969"/>
    <m/>
    <m/>
    <m/>
  </r>
  <r>
    <s v="Population in TB compartment  Active with  Multidrug-resistant (MDR-TB) in HIV compartment  HIV-negative and Female"/>
    <s v="N"/>
    <x v="5"/>
    <n v="2"/>
    <x v="0"/>
    <x v="1"/>
    <x v="89"/>
    <n v="0.19999999999999996"/>
    <n v="3.6999999999999998E-2"/>
    <n v="1"/>
    <m/>
    <n v="7.3999999999999977E-3"/>
    <n v="3.6999999999999991E-5"/>
    <n v="3.6999999999999993"/>
    <m/>
    <m/>
    <m/>
  </r>
  <r>
    <s v="Population in TB compartment  Active with Drug-susceptible (DS) in HIV compartment  PLHIV not on ART, CD4&gt;200 and Female"/>
    <s v="N"/>
    <x v="5"/>
    <n v="1"/>
    <x v="1"/>
    <x v="1"/>
    <x v="90"/>
    <n v="0.8"/>
    <n v="0.96299999999999997"/>
    <n v="0.55000000000000004"/>
    <m/>
    <n v="0.42372000000000004"/>
    <n v="2.1186000000000004E-3"/>
    <n v="211.86000000000004"/>
    <m/>
    <m/>
    <m/>
  </r>
  <r>
    <s v="Population in TB compartment  Active with  Multidrug-resistant (MDR-TB) in HIV compartment  PLHIV not on ART, CD4&gt;200 and Female"/>
    <s v="N"/>
    <x v="5"/>
    <n v="2"/>
    <x v="1"/>
    <x v="1"/>
    <x v="91"/>
    <n v="0.8"/>
    <n v="3.6999999999999998E-2"/>
    <n v="0.55000000000000004"/>
    <m/>
    <n v="1.6280000000000003E-2"/>
    <n v="8.1400000000000013E-5"/>
    <n v="8.14"/>
    <m/>
    <m/>
    <m/>
  </r>
  <r>
    <s v="Population in TB compartment  Active with Drug-susceptible (DS) in HIV compartment  PLHIV not on ART, CD4≤200 and Female"/>
    <s v="N"/>
    <x v="5"/>
    <n v="1"/>
    <x v="2"/>
    <x v="1"/>
    <x v="92"/>
    <n v="0.8"/>
    <n v="0.96299999999999997"/>
    <n v="0.17999999999999994"/>
    <m/>
    <n v="0.13867199999999993"/>
    <n v="6.9335999999999964E-4"/>
    <n v="69.33599999999997"/>
    <m/>
    <m/>
    <m/>
  </r>
  <r>
    <s v="Population in TB compartment  Active with  Multidrug-resistant (MDR-TB) in HIV compartment  PLHIV not on ART, CD4≤200 and Female"/>
    <s v="N"/>
    <x v="5"/>
    <n v="2"/>
    <x v="2"/>
    <x v="1"/>
    <x v="93"/>
    <n v="0.8"/>
    <n v="3.6999999999999998E-2"/>
    <n v="0.17999999999999994"/>
    <m/>
    <n v="5.3279999999999985E-3"/>
    <n v="2.6639999999999992E-5"/>
    <n v="2.6639999999999993"/>
    <m/>
    <m/>
    <m/>
  </r>
  <r>
    <s v="Population in TB compartment  Active with Drug-susceptible (DS) in HIV compartment  PLHIV and on ART and Female"/>
    <s v="N"/>
    <x v="5"/>
    <n v="1"/>
    <x v="3"/>
    <x v="1"/>
    <x v="94"/>
    <n v="0.8"/>
    <n v="0.96299999999999997"/>
    <n v="0.27"/>
    <m/>
    <n v="0.208008"/>
    <n v="1.0400400000000001E-3"/>
    <n v="104.004"/>
    <m/>
    <m/>
    <m/>
  </r>
  <r>
    <s v="Population in TB compartment  Active with  Multidrug-resistant (MDR-TB) in HIV compartment  PLHIV and on ART and Female"/>
    <s v="N"/>
    <x v="5"/>
    <n v="2"/>
    <x v="3"/>
    <x v="1"/>
    <x v="95"/>
    <n v="0.8"/>
    <n v="3.6999999999999998E-2"/>
    <n v="0.27"/>
    <m/>
    <n v="7.9920000000000008E-3"/>
    <n v="3.9960000000000004E-5"/>
    <n v="3.9960000000000004"/>
    <m/>
    <m/>
    <m/>
  </r>
  <r>
    <s v="Population in TB compartment  Recovered/Treated with Drug-susceptible (DS) in HIV compartment  HIV-negative and Male"/>
    <s v="N"/>
    <x v="6"/>
    <n v="1"/>
    <x v="0"/>
    <x v="0"/>
    <x v="96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Male"/>
    <s v="N"/>
    <x v="6"/>
    <n v="2"/>
    <x v="0"/>
    <x v="0"/>
    <x v="97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Male"/>
    <s v="N"/>
    <x v="6"/>
    <n v="1"/>
    <x v="1"/>
    <x v="0"/>
    <x v="98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Male"/>
    <s v="N"/>
    <x v="6"/>
    <n v="2"/>
    <x v="1"/>
    <x v="0"/>
    <x v="99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Male"/>
    <s v="N"/>
    <x v="6"/>
    <n v="1"/>
    <x v="2"/>
    <x v="0"/>
    <x v="100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Male"/>
    <s v="N"/>
    <x v="6"/>
    <n v="2"/>
    <x v="2"/>
    <x v="0"/>
    <x v="101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Male"/>
    <s v="N"/>
    <x v="6"/>
    <n v="1"/>
    <x v="3"/>
    <x v="0"/>
    <x v="102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Male"/>
    <s v="N"/>
    <x v="6"/>
    <n v="2"/>
    <x v="3"/>
    <x v="0"/>
    <x v="103"/>
    <n v="0"/>
    <n v="3.6999999999999998E-2"/>
    <n v="8.1000000000000003E-2"/>
    <m/>
    <n v="0"/>
    <n v="0"/>
    <n v="0"/>
    <m/>
    <m/>
    <m/>
  </r>
  <r>
    <s v="Population in TB compartment  Recovered/Treated with Drug-susceptible (DS) in HIV compartment  HIV-negative and Female"/>
    <s v="N"/>
    <x v="6"/>
    <n v="1"/>
    <x v="0"/>
    <x v="1"/>
    <x v="104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Female"/>
    <s v="N"/>
    <x v="6"/>
    <n v="2"/>
    <x v="0"/>
    <x v="1"/>
    <x v="105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Female"/>
    <s v="N"/>
    <x v="6"/>
    <n v="1"/>
    <x v="1"/>
    <x v="1"/>
    <x v="106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Female"/>
    <s v="N"/>
    <x v="6"/>
    <n v="2"/>
    <x v="1"/>
    <x v="1"/>
    <x v="107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Female"/>
    <s v="N"/>
    <x v="6"/>
    <n v="1"/>
    <x v="2"/>
    <x v="1"/>
    <x v="108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Female"/>
    <s v="N"/>
    <x v="6"/>
    <n v="2"/>
    <x v="2"/>
    <x v="1"/>
    <x v="109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Female"/>
    <s v="N"/>
    <x v="6"/>
    <n v="1"/>
    <x v="3"/>
    <x v="1"/>
    <x v="110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Female"/>
    <s v="N"/>
    <x v="6"/>
    <n v="2"/>
    <x v="3"/>
    <x v="1"/>
    <x v="111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Male"/>
    <s v="N"/>
    <x v="7"/>
    <n v="1"/>
    <x v="0"/>
    <x v="0"/>
    <x v="112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Male"/>
    <s v="N"/>
    <x v="7"/>
    <n v="2"/>
    <x v="0"/>
    <x v="0"/>
    <x v="113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Male"/>
    <s v="N"/>
    <x v="7"/>
    <n v="1"/>
    <x v="1"/>
    <x v="0"/>
    <x v="114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Male"/>
    <s v="N"/>
    <x v="7"/>
    <n v="2"/>
    <x v="1"/>
    <x v="0"/>
    <x v="115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Male"/>
    <s v="N"/>
    <x v="7"/>
    <n v="1"/>
    <x v="2"/>
    <x v="0"/>
    <x v="116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Male"/>
    <s v="N"/>
    <x v="7"/>
    <n v="2"/>
    <x v="2"/>
    <x v="0"/>
    <x v="117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Male"/>
    <s v="N"/>
    <x v="7"/>
    <n v="1"/>
    <x v="3"/>
    <x v="0"/>
    <x v="118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Male"/>
    <s v="N"/>
    <x v="7"/>
    <n v="2"/>
    <x v="3"/>
    <x v="0"/>
    <x v="119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Female"/>
    <s v="N"/>
    <x v="7"/>
    <n v="1"/>
    <x v="0"/>
    <x v="1"/>
    <x v="120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Female"/>
    <s v="N"/>
    <x v="7"/>
    <n v="2"/>
    <x v="0"/>
    <x v="1"/>
    <x v="121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Female"/>
    <s v="N"/>
    <x v="7"/>
    <n v="1"/>
    <x v="1"/>
    <x v="1"/>
    <x v="122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Female"/>
    <s v="N"/>
    <x v="7"/>
    <n v="2"/>
    <x v="1"/>
    <x v="1"/>
    <x v="123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Female"/>
    <s v="N"/>
    <x v="7"/>
    <n v="1"/>
    <x v="2"/>
    <x v="1"/>
    <x v="124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Female"/>
    <s v="N"/>
    <x v="7"/>
    <n v="2"/>
    <x v="2"/>
    <x v="1"/>
    <x v="125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Female"/>
    <s v="N"/>
    <x v="7"/>
    <n v="1"/>
    <x v="3"/>
    <x v="1"/>
    <x v="126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Female"/>
    <s v="N"/>
    <x v="7"/>
    <n v="2"/>
    <x v="3"/>
    <x v="1"/>
    <x v="127"/>
    <n v="0"/>
    <n v="3.6999999999999998E-2"/>
    <n v="8.1000000000000003E-2"/>
    <m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37B3B-DBC2-EC45-B48A-E32E0A44E25E}" name="PivotTable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7">
    <pivotField showAll="0"/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</pivotFields>
  <rowFields count="2">
    <field x="5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-1"/>
  </pageFields>
  <dataFields count="1">
    <dataField name="Sum of initialized population in compartme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9"/>
        <item x="3"/>
        <item x="11"/>
        <item x="5"/>
        <item x="13"/>
        <item x="7"/>
        <item x="15"/>
        <item x="1"/>
        <item x="8"/>
        <item x="2"/>
        <item x="10"/>
        <item x="4"/>
        <item x="12"/>
        <item x="6"/>
        <item x="14"/>
        <item x="16"/>
        <item x="24"/>
        <item x="18"/>
        <item x="26"/>
        <item x="20"/>
        <item x="28"/>
        <item x="22"/>
        <item x="30"/>
        <item x="17"/>
        <item x="25"/>
        <item x="19"/>
        <item x="27"/>
        <item x="21"/>
        <item x="29"/>
        <item x="23"/>
        <item x="31"/>
        <item x="32"/>
        <item x="40"/>
        <item x="34"/>
        <item x="42"/>
        <item x="36"/>
        <item x="44"/>
        <item x="38"/>
        <item x="46"/>
        <item x="33"/>
        <item x="41"/>
        <item x="35"/>
        <item x="43"/>
        <item x="37"/>
        <item x="45"/>
        <item x="39"/>
        <item x="47"/>
        <item x="48"/>
        <item x="56"/>
        <item x="50"/>
        <item x="58"/>
        <item x="52"/>
        <item x="60"/>
        <item x="54"/>
        <item x="62"/>
        <item x="49"/>
        <item x="57"/>
        <item x="51"/>
        <item x="59"/>
        <item x="53"/>
        <item x="61"/>
        <item x="55"/>
        <item x="63"/>
        <item x="64"/>
        <item x="72"/>
        <item x="66"/>
        <item x="74"/>
        <item x="68"/>
        <item x="76"/>
        <item x="70"/>
        <item x="78"/>
        <item x="65"/>
        <item x="73"/>
        <item x="67"/>
        <item x="75"/>
        <item x="69"/>
        <item x="77"/>
        <item x="71"/>
        <item x="79"/>
        <item x="80"/>
        <item x="88"/>
        <item x="82"/>
        <item x="90"/>
        <item x="84"/>
        <item x="92"/>
        <item x="86"/>
        <item x="94"/>
        <item x="81"/>
        <item x="89"/>
        <item x="83"/>
        <item x="91"/>
        <item x="85"/>
        <item x="93"/>
        <item x="87"/>
        <item x="95"/>
        <item x="96"/>
        <item x="104"/>
        <item x="98"/>
        <item x="106"/>
        <item x="100"/>
        <item x="108"/>
        <item x="102"/>
        <item x="110"/>
        <item x="97"/>
        <item x="105"/>
        <item x="99"/>
        <item x="107"/>
        <item x="101"/>
        <item x="109"/>
        <item x="103"/>
        <item x="111"/>
        <item x="112"/>
        <item x="120"/>
        <item x="114"/>
        <item x="122"/>
        <item x="116"/>
        <item x="124"/>
        <item x="118"/>
        <item x="126"/>
        <item x="113"/>
        <item x="121"/>
        <item x="115"/>
        <item x="123"/>
        <item x="117"/>
        <item x="125"/>
        <item x="119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1-14T20:15:41.48" personId="{9E204584-B746-014C-A8AD-D4B2CBCA960E}" id="{CCDD4C5E-DC02-8141-9A97-0BDBCF5D6029}">
    <text>HIV ADJ currently not differentiated on Gender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zoomScale="164" zoomScaleNormal="100" workbookViewId="0">
      <pane xSplit="11" ySplit="1" topLeftCell="L209" activePane="bottomRight" state="frozen"/>
      <selection pane="topRight" activeCell="I1" sqref="I1"/>
      <selection pane="bottomLeft" activeCell="A2" sqref="A2"/>
      <selection pane="bottomRight" activeCell="P206" sqref="P206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632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365</v>
      </c>
    </row>
    <row r="2" spans="1:17" ht="17" hidden="1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418</v>
      </c>
      <c r="L2" s="9">
        <v>6.5440000000000003E-3</v>
      </c>
      <c r="O2" s="51" t="s">
        <v>18</v>
      </c>
      <c r="P2" s="52"/>
      <c r="Q2" s="53" t="s">
        <v>366</v>
      </c>
    </row>
    <row r="3" spans="1:17" ht="17" hidden="1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419</v>
      </c>
      <c r="L3" s="9">
        <v>5.5440000000000003E-3</v>
      </c>
      <c r="O3" s="51" t="s">
        <v>18</v>
      </c>
      <c r="P3" s="52"/>
      <c r="Q3" s="53" t="s">
        <v>366</v>
      </c>
    </row>
    <row r="4" spans="1:17" ht="34" hidden="1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420</v>
      </c>
      <c r="L4" s="34">
        <v>0</v>
      </c>
      <c r="O4" s="51" t="s">
        <v>646</v>
      </c>
      <c r="P4" s="52"/>
      <c r="Q4" s="53" t="s">
        <v>367</v>
      </c>
    </row>
    <row r="5" spans="1:17" ht="34" hidden="1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421</v>
      </c>
      <c r="L5" s="34">
        <v>0.15</v>
      </c>
      <c r="O5" s="51" t="s">
        <v>651</v>
      </c>
      <c r="P5" s="64" t="s">
        <v>647</v>
      </c>
      <c r="Q5" s="53" t="s">
        <v>367</v>
      </c>
    </row>
    <row r="6" spans="1:17" ht="48" hidden="1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422</v>
      </c>
      <c r="L6" s="9">
        <v>1</v>
      </c>
      <c r="O6" s="51" t="s">
        <v>653</v>
      </c>
      <c r="P6" s="52" t="s">
        <v>658</v>
      </c>
      <c r="Q6" s="53" t="s">
        <v>367</v>
      </c>
    </row>
    <row r="7" spans="1:17" ht="51" hidden="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423</v>
      </c>
      <c r="L7" s="9">
        <f>VLOOKUP("phi_1,", model_matched_parameters,3, FALSE)*VLOOKUP(K7,indirect_model_params,2)</f>
        <v>0.9</v>
      </c>
      <c r="O7" s="51" t="s">
        <v>653</v>
      </c>
      <c r="P7" s="52" t="s">
        <v>652</v>
      </c>
      <c r="Q7" s="53" t="s">
        <v>367</v>
      </c>
    </row>
    <row r="8" spans="1:17" ht="51" hidden="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424</v>
      </c>
      <c r="L8" s="9">
        <f>VLOOKUP("phi_1,", model_matched_parameters,3, FALSE)*VLOOKUP(K8,indirect_model_params,2)</f>
        <v>0.6</v>
      </c>
      <c r="O8" s="51" t="s">
        <v>653</v>
      </c>
      <c r="P8" s="52" t="s">
        <v>652</v>
      </c>
      <c r="Q8" s="53" t="s">
        <v>367</v>
      </c>
    </row>
    <row r="9" spans="1:17" ht="51" hidden="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425</v>
      </c>
      <c r="L9" s="9">
        <f>VLOOKUP("phi_1,", model_matched_parameters,3, FALSE)*VLOOKUP(K9,indirect_model_params,2)</f>
        <v>0.9</v>
      </c>
      <c r="O9" s="51" t="s">
        <v>653</v>
      </c>
      <c r="P9" s="52" t="s">
        <v>652</v>
      </c>
      <c r="Q9" s="53" t="s">
        <v>367</v>
      </c>
    </row>
    <row r="10" spans="1:17" ht="48" hidden="1" customHeight="1" x14ac:dyDescent="0.2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426</v>
      </c>
      <c r="L10" s="34">
        <v>0.3</v>
      </c>
      <c r="O10" s="51" t="s">
        <v>35</v>
      </c>
      <c r="P10" s="52" t="s">
        <v>36</v>
      </c>
      <c r="Q10" s="53" t="s">
        <v>367</v>
      </c>
    </row>
    <row r="11" spans="1:17" ht="64" hidden="1" x14ac:dyDescent="0.2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427</v>
      </c>
      <c r="L11" s="9">
        <v>3.6999999999999998E-2</v>
      </c>
      <c r="O11" s="51" t="s">
        <v>22</v>
      </c>
      <c r="P11" s="52" t="s">
        <v>655</v>
      </c>
      <c r="Q11" s="53" t="s">
        <v>366</v>
      </c>
    </row>
    <row r="12" spans="1:17" ht="32" hidden="1" x14ac:dyDescent="0.2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428</v>
      </c>
      <c r="L12" s="9">
        <v>3.6999999999999998E-2</v>
      </c>
      <c r="O12" s="51" t="s">
        <v>22</v>
      </c>
      <c r="P12" s="52"/>
      <c r="Q12" s="53" t="s">
        <v>366</v>
      </c>
    </row>
    <row r="13" spans="1:17" ht="51" hidden="1" x14ac:dyDescent="0.2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429</v>
      </c>
      <c r="L13" s="34">
        <v>0.21</v>
      </c>
      <c r="O13" s="51" t="s">
        <v>656</v>
      </c>
      <c r="P13" s="65" t="s">
        <v>657</v>
      </c>
      <c r="Q13" s="53" t="s">
        <v>367</v>
      </c>
    </row>
    <row r="14" spans="1:17" ht="17" hidden="1" x14ac:dyDescent="0.2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430</v>
      </c>
      <c r="L14" s="9">
        <v>1</v>
      </c>
      <c r="O14" s="51"/>
      <c r="P14" s="52"/>
      <c r="Q14" s="53" t="s">
        <v>367</v>
      </c>
    </row>
    <row r="15" spans="1:17" ht="17" hidden="1" x14ac:dyDescent="0.2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431</v>
      </c>
      <c r="L15" s="9">
        <v>0</v>
      </c>
      <c r="O15" s="51"/>
      <c r="P15" s="52"/>
      <c r="Q15" s="53" t="s">
        <v>367</v>
      </c>
    </row>
    <row r="16" spans="1:17" ht="51" hidden="1" x14ac:dyDescent="0.2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432</v>
      </c>
      <c r="L16" s="9">
        <v>0</v>
      </c>
      <c r="O16" s="51"/>
      <c r="P16" s="52" t="s">
        <v>88</v>
      </c>
      <c r="Q16" s="53" t="s">
        <v>366</v>
      </c>
    </row>
    <row r="17" spans="1:17" ht="51" hidden="1" x14ac:dyDescent="0.2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433</v>
      </c>
      <c r="L17" s="9">
        <v>0</v>
      </c>
      <c r="O17" s="51"/>
      <c r="P17" s="52" t="s">
        <v>70</v>
      </c>
      <c r="Q17" s="53" t="s">
        <v>366</v>
      </c>
    </row>
    <row r="18" spans="1:17" ht="51" hidden="1" x14ac:dyDescent="0.2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434</v>
      </c>
      <c r="L18" s="27">
        <v>0</v>
      </c>
      <c r="O18" s="51"/>
      <c r="P18" s="52" t="s">
        <v>42</v>
      </c>
      <c r="Q18" s="53" t="s">
        <v>366</v>
      </c>
    </row>
    <row r="19" spans="1:17" ht="51" hidden="1" customHeight="1" x14ac:dyDescent="0.2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435</v>
      </c>
      <c r="L19" s="9">
        <v>0</v>
      </c>
      <c r="O19" s="51"/>
      <c r="P19" s="52" t="s">
        <v>88</v>
      </c>
      <c r="Q19" s="53" t="s">
        <v>366</v>
      </c>
    </row>
    <row r="20" spans="1:17" ht="51" hidden="1" customHeight="1" x14ac:dyDescent="0.2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436</v>
      </c>
      <c r="L20" s="9">
        <v>0</v>
      </c>
      <c r="O20" s="51"/>
      <c r="P20" s="52" t="s">
        <v>70</v>
      </c>
      <c r="Q20" s="53" t="s">
        <v>366</v>
      </c>
    </row>
    <row r="21" spans="1:17" ht="51" hidden="1" customHeight="1" x14ac:dyDescent="0.2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437</v>
      </c>
      <c r="L21" s="27">
        <v>0</v>
      </c>
      <c r="O21" s="51"/>
      <c r="P21" s="52" t="s">
        <v>42</v>
      </c>
      <c r="Q21" s="53" t="s">
        <v>366</v>
      </c>
    </row>
    <row r="22" spans="1:17" ht="51" hidden="1" x14ac:dyDescent="0.2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438</v>
      </c>
      <c r="L22" s="9">
        <v>0.06</v>
      </c>
      <c r="O22" s="51" t="s">
        <v>45</v>
      </c>
      <c r="P22" s="52"/>
      <c r="Q22" s="53" t="s">
        <v>366</v>
      </c>
    </row>
    <row r="23" spans="1:17" ht="112" hidden="1" x14ac:dyDescent="0.2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439</v>
      </c>
      <c r="L23" s="9">
        <v>0.06</v>
      </c>
      <c r="O23" s="51" t="s">
        <v>45</v>
      </c>
      <c r="P23" s="52" t="s">
        <v>73</v>
      </c>
      <c r="Q23" s="53" t="s">
        <v>366</v>
      </c>
    </row>
    <row r="24" spans="1:17" ht="51" hidden="1" x14ac:dyDescent="0.2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440</v>
      </c>
      <c r="L24" s="9">
        <v>0.91</v>
      </c>
      <c r="O24" s="51" t="s">
        <v>45</v>
      </c>
      <c r="P24" s="52" t="s">
        <v>46</v>
      </c>
      <c r="Q24" s="53" t="s">
        <v>366</v>
      </c>
    </row>
    <row r="25" spans="1:17" ht="51" hidden="1" x14ac:dyDescent="0.2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441</v>
      </c>
      <c r="L25" s="9">
        <v>0.06</v>
      </c>
      <c r="O25" s="51" t="s">
        <v>45</v>
      </c>
      <c r="P25" s="52"/>
      <c r="Q25" s="53" t="s">
        <v>366</v>
      </c>
    </row>
    <row r="26" spans="1:17" ht="112" hidden="1" x14ac:dyDescent="0.2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442</v>
      </c>
      <c r="L26" s="9">
        <v>0.06</v>
      </c>
      <c r="O26" s="51" t="s">
        <v>45</v>
      </c>
      <c r="P26" s="52" t="s">
        <v>73</v>
      </c>
      <c r="Q26" s="53" t="s">
        <v>366</v>
      </c>
    </row>
    <row r="27" spans="1:17" ht="51" hidden="1" x14ac:dyDescent="0.2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443</v>
      </c>
      <c r="L27" s="9">
        <v>0.91</v>
      </c>
      <c r="O27" s="51" t="s">
        <v>45</v>
      </c>
      <c r="P27" s="52" t="s">
        <v>46</v>
      </c>
      <c r="Q27" s="53" t="s">
        <v>366</v>
      </c>
    </row>
    <row r="28" spans="1:17" ht="51" hidden="1" x14ac:dyDescent="0.2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444</v>
      </c>
      <c r="L28" s="9">
        <v>0.06</v>
      </c>
      <c r="O28" s="51" t="s">
        <v>45</v>
      </c>
      <c r="P28" s="52"/>
      <c r="Q28" s="53" t="s">
        <v>366</v>
      </c>
    </row>
    <row r="29" spans="1:17" ht="112" hidden="1" x14ac:dyDescent="0.2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445</v>
      </c>
      <c r="L29" s="9">
        <v>0.06</v>
      </c>
      <c r="O29" s="51" t="s">
        <v>45</v>
      </c>
      <c r="P29" s="52" t="s">
        <v>73</v>
      </c>
      <c r="Q29" s="53" t="s">
        <v>366</v>
      </c>
    </row>
    <row r="30" spans="1:17" ht="51" hidden="1" x14ac:dyDescent="0.2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446</v>
      </c>
      <c r="L30" s="9">
        <v>0.91</v>
      </c>
      <c r="O30" s="51" t="s">
        <v>45</v>
      </c>
      <c r="P30" s="52" t="s">
        <v>46</v>
      </c>
      <c r="Q30" s="53" t="s">
        <v>366</v>
      </c>
    </row>
    <row r="31" spans="1:17" ht="51" hidden="1" x14ac:dyDescent="0.2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447</v>
      </c>
      <c r="L31" s="9">
        <v>0.06</v>
      </c>
      <c r="O31" s="51" t="s">
        <v>45</v>
      </c>
      <c r="P31" s="52"/>
      <c r="Q31" s="53" t="s">
        <v>366</v>
      </c>
    </row>
    <row r="32" spans="1:17" ht="112" hidden="1" x14ac:dyDescent="0.2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448</v>
      </c>
      <c r="L32" s="9">
        <v>0.06</v>
      </c>
      <c r="O32" s="51" t="s">
        <v>45</v>
      </c>
      <c r="P32" s="52" t="s">
        <v>73</v>
      </c>
      <c r="Q32" s="53" t="s">
        <v>366</v>
      </c>
    </row>
    <row r="33" spans="1:17" ht="51" hidden="1" x14ac:dyDescent="0.2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449</v>
      </c>
      <c r="L33" s="9">
        <v>0.91</v>
      </c>
      <c r="O33" s="51" t="s">
        <v>45</v>
      </c>
      <c r="P33" s="52" t="s">
        <v>46</v>
      </c>
      <c r="Q33" s="53" t="s">
        <v>366</v>
      </c>
    </row>
    <row r="34" spans="1:17" ht="51" hidden="1" x14ac:dyDescent="0.2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450</v>
      </c>
      <c r="L34" s="9">
        <v>0.06</v>
      </c>
      <c r="O34" s="51" t="s">
        <v>45</v>
      </c>
      <c r="P34" s="52"/>
      <c r="Q34" s="53" t="s">
        <v>366</v>
      </c>
    </row>
    <row r="35" spans="1:17" ht="112" hidden="1" x14ac:dyDescent="0.2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451</v>
      </c>
      <c r="L35" s="9">
        <v>0.06</v>
      </c>
      <c r="O35" s="51" t="s">
        <v>45</v>
      </c>
      <c r="P35" s="52" t="s">
        <v>73</v>
      </c>
      <c r="Q35" s="53" t="s">
        <v>366</v>
      </c>
    </row>
    <row r="36" spans="1:17" ht="51" hidden="1" x14ac:dyDescent="0.2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452</v>
      </c>
      <c r="L36" s="9">
        <v>0.91</v>
      </c>
      <c r="O36" s="51" t="s">
        <v>45</v>
      </c>
      <c r="P36" s="52" t="s">
        <v>46</v>
      </c>
      <c r="Q36" s="53" t="s">
        <v>366</v>
      </c>
    </row>
    <row r="37" spans="1:17" ht="51" hidden="1" x14ac:dyDescent="0.2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453</v>
      </c>
      <c r="L37" s="9">
        <v>0.06</v>
      </c>
      <c r="O37" s="51" t="s">
        <v>45</v>
      </c>
      <c r="P37" s="52"/>
      <c r="Q37" s="53" t="s">
        <v>366</v>
      </c>
    </row>
    <row r="38" spans="1:17" ht="112" hidden="1" x14ac:dyDescent="0.2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454</v>
      </c>
      <c r="L38" s="9">
        <v>0.06</v>
      </c>
      <c r="O38" s="51" t="s">
        <v>45</v>
      </c>
      <c r="P38" s="52" t="s">
        <v>73</v>
      </c>
      <c r="Q38" s="53" t="s">
        <v>366</v>
      </c>
    </row>
    <row r="39" spans="1:17" ht="51" hidden="1" x14ac:dyDescent="0.2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455</v>
      </c>
      <c r="L39" s="9">
        <v>0.91</v>
      </c>
      <c r="O39" s="51" t="s">
        <v>45</v>
      </c>
      <c r="P39" s="52" t="s">
        <v>46</v>
      </c>
      <c r="Q39" s="53" t="s">
        <v>366</v>
      </c>
    </row>
    <row r="40" spans="1:17" ht="68" hidden="1" x14ac:dyDescent="0.2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456</v>
      </c>
      <c r="L40" s="9">
        <v>0</v>
      </c>
      <c r="O40" s="51"/>
      <c r="P40" s="52" t="s">
        <v>88</v>
      </c>
      <c r="Q40" s="53" t="s">
        <v>366</v>
      </c>
    </row>
    <row r="41" spans="1:17" ht="51" hidden="1" x14ac:dyDescent="0.2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457</v>
      </c>
      <c r="L41" s="9">
        <v>0</v>
      </c>
      <c r="O41" s="51"/>
      <c r="P41" s="52" t="s">
        <v>70</v>
      </c>
      <c r="Q41" s="53" t="s">
        <v>366</v>
      </c>
    </row>
    <row r="42" spans="1:17" ht="68" hidden="1" x14ac:dyDescent="0.2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458</v>
      </c>
      <c r="L42" s="9">
        <v>0</v>
      </c>
      <c r="O42" s="51"/>
      <c r="P42" s="52" t="s">
        <v>42</v>
      </c>
      <c r="Q42" s="53" t="s">
        <v>366</v>
      </c>
    </row>
    <row r="43" spans="1:17" ht="68" hidden="1" x14ac:dyDescent="0.2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459</v>
      </c>
      <c r="L43" s="9">
        <v>0</v>
      </c>
      <c r="O43" s="51"/>
      <c r="P43" s="52" t="s">
        <v>88</v>
      </c>
      <c r="Q43" s="53" t="s">
        <v>366</v>
      </c>
    </row>
    <row r="44" spans="1:17" ht="51" hidden="1" x14ac:dyDescent="0.2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460</v>
      </c>
      <c r="L44" s="9">
        <v>0</v>
      </c>
      <c r="O44" s="51"/>
      <c r="P44" s="52" t="s">
        <v>70</v>
      </c>
      <c r="Q44" s="53" t="s">
        <v>366</v>
      </c>
    </row>
    <row r="45" spans="1:17" ht="68" hidden="1" x14ac:dyDescent="0.2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461</v>
      </c>
      <c r="L45" s="9">
        <v>0</v>
      </c>
      <c r="O45" s="51"/>
      <c r="P45" s="52" t="s">
        <v>42</v>
      </c>
      <c r="Q45" s="53" t="s">
        <v>366</v>
      </c>
    </row>
    <row r="46" spans="1:17" ht="68" hidden="1" x14ac:dyDescent="0.2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462</v>
      </c>
      <c r="L46" s="9">
        <v>0.06</v>
      </c>
      <c r="O46" s="51" t="s">
        <v>45</v>
      </c>
      <c r="P46" s="52"/>
      <c r="Q46" s="53" t="s">
        <v>366</v>
      </c>
    </row>
    <row r="47" spans="1:17" ht="68" hidden="1" x14ac:dyDescent="0.2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463</v>
      </c>
      <c r="L47" s="9">
        <v>0.06</v>
      </c>
      <c r="O47" s="51" t="s">
        <v>45</v>
      </c>
      <c r="P47" s="52"/>
      <c r="Q47" s="53" t="s">
        <v>366</v>
      </c>
    </row>
    <row r="48" spans="1:17" ht="68" hidden="1" x14ac:dyDescent="0.2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464</v>
      </c>
      <c r="L48" s="9">
        <v>0.91</v>
      </c>
      <c r="O48" s="51" t="s">
        <v>45</v>
      </c>
      <c r="P48" s="52" t="s">
        <v>55</v>
      </c>
      <c r="Q48" s="53" t="s">
        <v>366</v>
      </c>
    </row>
    <row r="49" spans="1:17" ht="68" hidden="1" x14ac:dyDescent="0.2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465</v>
      </c>
      <c r="L49" s="9">
        <v>0.06</v>
      </c>
      <c r="O49" s="51" t="s">
        <v>45</v>
      </c>
      <c r="P49" s="52"/>
      <c r="Q49" s="53" t="s">
        <v>366</v>
      </c>
    </row>
    <row r="50" spans="1:17" ht="68" hidden="1" x14ac:dyDescent="0.2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466</v>
      </c>
      <c r="L50" s="9">
        <v>0.06</v>
      </c>
      <c r="O50" s="51" t="s">
        <v>45</v>
      </c>
      <c r="P50" s="52"/>
      <c r="Q50" s="53" t="s">
        <v>366</v>
      </c>
    </row>
    <row r="51" spans="1:17" ht="68" hidden="1" x14ac:dyDescent="0.2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467</v>
      </c>
      <c r="L51" s="9">
        <v>0.91</v>
      </c>
      <c r="O51" s="51" t="s">
        <v>45</v>
      </c>
      <c r="P51" s="52" t="s">
        <v>55</v>
      </c>
      <c r="Q51" s="53" t="s">
        <v>366</v>
      </c>
    </row>
    <row r="52" spans="1:17" ht="68" hidden="1" x14ac:dyDescent="0.2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468</v>
      </c>
      <c r="L52" s="9">
        <v>0.06</v>
      </c>
      <c r="O52" s="51" t="s">
        <v>45</v>
      </c>
      <c r="P52" s="52"/>
      <c r="Q52" s="53" t="s">
        <v>366</v>
      </c>
    </row>
    <row r="53" spans="1:17" ht="68" hidden="1" x14ac:dyDescent="0.2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469</v>
      </c>
      <c r="L53" s="9">
        <v>0.06</v>
      </c>
      <c r="O53" s="51" t="s">
        <v>45</v>
      </c>
      <c r="P53" s="52"/>
      <c r="Q53" s="53" t="s">
        <v>366</v>
      </c>
    </row>
    <row r="54" spans="1:17" ht="68" hidden="1" x14ac:dyDescent="0.2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470</v>
      </c>
      <c r="L54" s="9">
        <v>0.91</v>
      </c>
      <c r="O54" s="51" t="s">
        <v>45</v>
      </c>
      <c r="P54" s="52" t="s">
        <v>55</v>
      </c>
      <c r="Q54" s="53" t="s">
        <v>366</v>
      </c>
    </row>
    <row r="55" spans="1:17" ht="68" hidden="1" x14ac:dyDescent="0.2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471</v>
      </c>
      <c r="L55" s="9">
        <v>0.06</v>
      </c>
      <c r="O55" s="51" t="s">
        <v>45</v>
      </c>
      <c r="P55" s="52"/>
      <c r="Q55" s="53" t="s">
        <v>366</v>
      </c>
    </row>
    <row r="56" spans="1:17" ht="68" hidden="1" x14ac:dyDescent="0.2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472</v>
      </c>
      <c r="L56" s="9">
        <v>0.06</v>
      </c>
      <c r="O56" s="51" t="s">
        <v>45</v>
      </c>
      <c r="P56" s="52"/>
      <c r="Q56" s="53" t="s">
        <v>366</v>
      </c>
    </row>
    <row r="57" spans="1:17" ht="68" hidden="1" x14ac:dyDescent="0.2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473</v>
      </c>
      <c r="L57" s="9">
        <v>0.91</v>
      </c>
      <c r="O57" s="51" t="s">
        <v>45</v>
      </c>
      <c r="P57" s="52" t="s">
        <v>55</v>
      </c>
      <c r="Q57" s="53" t="s">
        <v>366</v>
      </c>
    </row>
    <row r="58" spans="1:17" ht="68" hidden="1" x14ac:dyDescent="0.2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474</v>
      </c>
      <c r="L58" s="9">
        <v>0.06</v>
      </c>
      <c r="O58" s="51" t="s">
        <v>45</v>
      </c>
      <c r="P58" s="52"/>
      <c r="Q58" s="53" t="s">
        <v>366</v>
      </c>
    </row>
    <row r="59" spans="1:17" ht="68" hidden="1" x14ac:dyDescent="0.2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475</v>
      </c>
      <c r="L59" s="9">
        <v>0.06</v>
      </c>
      <c r="O59" s="51" t="s">
        <v>45</v>
      </c>
      <c r="P59" s="52"/>
      <c r="Q59" s="53" t="s">
        <v>366</v>
      </c>
    </row>
    <row r="60" spans="1:17" ht="68" hidden="1" x14ac:dyDescent="0.2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476</v>
      </c>
      <c r="L60" s="9">
        <v>0.91</v>
      </c>
      <c r="O60" s="51" t="s">
        <v>45</v>
      </c>
      <c r="P60" s="52"/>
      <c r="Q60" s="53" t="s">
        <v>366</v>
      </c>
    </row>
    <row r="61" spans="1:17" ht="68" hidden="1" x14ac:dyDescent="0.2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477</v>
      </c>
      <c r="L61" s="9">
        <v>0.06</v>
      </c>
      <c r="O61" s="51" t="s">
        <v>45</v>
      </c>
      <c r="P61" s="52"/>
      <c r="Q61" s="53" t="s">
        <v>366</v>
      </c>
    </row>
    <row r="62" spans="1:17" ht="68" hidden="1" x14ac:dyDescent="0.2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478</v>
      </c>
      <c r="L62" s="9">
        <v>0.06</v>
      </c>
      <c r="O62" s="51" t="s">
        <v>45</v>
      </c>
      <c r="P62" s="52"/>
      <c r="Q62" s="53" t="s">
        <v>366</v>
      </c>
    </row>
    <row r="63" spans="1:17" ht="68" hidden="1" x14ac:dyDescent="0.2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479</v>
      </c>
      <c r="L63" s="9">
        <v>0.91</v>
      </c>
      <c r="O63" s="51" t="s">
        <v>45</v>
      </c>
      <c r="P63" s="52"/>
      <c r="Q63" s="53" t="s">
        <v>366</v>
      </c>
    </row>
    <row r="64" spans="1:17" ht="51" hidden="1" x14ac:dyDescent="0.2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480</v>
      </c>
      <c r="L64" s="9">
        <v>0</v>
      </c>
      <c r="O64" s="51"/>
      <c r="P64" s="52" t="s">
        <v>88</v>
      </c>
      <c r="Q64" s="53" t="s">
        <v>366</v>
      </c>
    </row>
    <row r="65" spans="1:17" ht="51" hidden="1" x14ac:dyDescent="0.2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481</v>
      </c>
      <c r="L65" s="9">
        <v>0</v>
      </c>
      <c r="O65" s="51"/>
      <c r="P65" s="52" t="s">
        <v>88</v>
      </c>
      <c r="Q65" s="53" t="s">
        <v>366</v>
      </c>
    </row>
    <row r="66" spans="1:17" ht="51" hidden="1" x14ac:dyDescent="0.2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482</v>
      </c>
      <c r="L66" s="9">
        <v>0</v>
      </c>
      <c r="O66" s="51"/>
      <c r="P66" s="52" t="s">
        <v>42</v>
      </c>
      <c r="Q66" s="53" t="s">
        <v>366</v>
      </c>
    </row>
    <row r="67" spans="1:17" ht="51" hidden="1" x14ac:dyDescent="0.2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483</v>
      </c>
      <c r="L67" s="9">
        <v>0</v>
      </c>
      <c r="O67" s="51"/>
      <c r="P67" s="52" t="s">
        <v>88</v>
      </c>
      <c r="Q67" s="53" t="s">
        <v>366</v>
      </c>
    </row>
    <row r="68" spans="1:17" ht="51" hidden="1" x14ac:dyDescent="0.2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484</v>
      </c>
      <c r="L68" s="9">
        <v>0</v>
      </c>
      <c r="O68" s="51"/>
      <c r="P68" s="52" t="s">
        <v>88</v>
      </c>
      <c r="Q68" s="53" t="s">
        <v>366</v>
      </c>
    </row>
    <row r="69" spans="1:17" ht="51" hidden="1" x14ac:dyDescent="0.2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485</v>
      </c>
      <c r="L69" s="9">
        <v>0</v>
      </c>
      <c r="O69" s="51"/>
      <c r="P69" s="52" t="s">
        <v>42</v>
      </c>
      <c r="Q69" s="53" t="s">
        <v>366</v>
      </c>
    </row>
    <row r="70" spans="1:17" ht="51" hidden="1" x14ac:dyDescent="0.2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486</v>
      </c>
      <c r="L70" s="9">
        <v>0.06</v>
      </c>
      <c r="O70" s="51" t="s">
        <v>45</v>
      </c>
      <c r="P70" s="52"/>
      <c r="Q70" s="53" t="s">
        <v>366</v>
      </c>
    </row>
    <row r="71" spans="1:17" ht="51" hidden="1" x14ac:dyDescent="0.2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487</v>
      </c>
      <c r="L71" s="9">
        <v>0.06</v>
      </c>
      <c r="O71" s="51" t="s">
        <v>45</v>
      </c>
      <c r="P71" s="52"/>
      <c r="Q71" s="53" t="s">
        <v>366</v>
      </c>
    </row>
    <row r="72" spans="1:17" ht="51" hidden="1" x14ac:dyDescent="0.2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488</v>
      </c>
      <c r="L72" s="9">
        <v>0.91</v>
      </c>
      <c r="O72" s="51" t="s">
        <v>45</v>
      </c>
      <c r="P72" s="52"/>
      <c r="Q72" s="53" t="s">
        <v>366</v>
      </c>
    </row>
    <row r="73" spans="1:17" ht="51" hidden="1" x14ac:dyDescent="0.2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489</v>
      </c>
      <c r="L73" s="9">
        <v>0.06</v>
      </c>
      <c r="O73" s="51" t="s">
        <v>45</v>
      </c>
      <c r="P73" s="52"/>
      <c r="Q73" s="53" t="s">
        <v>366</v>
      </c>
    </row>
    <row r="74" spans="1:17" ht="51" hidden="1" x14ac:dyDescent="0.2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490</v>
      </c>
      <c r="L74" s="9">
        <v>0.06</v>
      </c>
      <c r="O74" s="51" t="s">
        <v>45</v>
      </c>
      <c r="P74" s="52"/>
      <c r="Q74" s="53" t="s">
        <v>366</v>
      </c>
    </row>
    <row r="75" spans="1:17" ht="51" hidden="1" x14ac:dyDescent="0.2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491</v>
      </c>
      <c r="L75" s="9">
        <v>0.91</v>
      </c>
      <c r="O75" s="51" t="s">
        <v>45</v>
      </c>
      <c r="P75" s="52"/>
      <c r="Q75" s="53" t="s">
        <v>366</v>
      </c>
    </row>
    <row r="76" spans="1:17" ht="51" hidden="1" x14ac:dyDescent="0.2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492</v>
      </c>
      <c r="L76" s="9">
        <v>0.06</v>
      </c>
      <c r="O76" s="51" t="s">
        <v>45</v>
      </c>
      <c r="P76" s="52"/>
      <c r="Q76" s="53" t="s">
        <v>366</v>
      </c>
    </row>
    <row r="77" spans="1:17" ht="51" hidden="1" x14ac:dyDescent="0.2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493</v>
      </c>
      <c r="L77" s="9">
        <v>0.06</v>
      </c>
      <c r="O77" s="51" t="s">
        <v>45</v>
      </c>
      <c r="P77" s="52"/>
      <c r="Q77" s="53" t="s">
        <v>366</v>
      </c>
    </row>
    <row r="78" spans="1:17" ht="51" hidden="1" x14ac:dyDescent="0.2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494</v>
      </c>
      <c r="L78" s="9">
        <v>0.91</v>
      </c>
      <c r="O78" s="51" t="s">
        <v>45</v>
      </c>
      <c r="P78" s="52"/>
      <c r="Q78" s="53" t="s">
        <v>366</v>
      </c>
    </row>
    <row r="79" spans="1:17" ht="51" hidden="1" x14ac:dyDescent="0.2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495</v>
      </c>
      <c r="L79" s="9">
        <v>0.06</v>
      </c>
      <c r="O79" s="51" t="s">
        <v>45</v>
      </c>
      <c r="P79" s="52"/>
      <c r="Q79" s="53" t="s">
        <v>366</v>
      </c>
    </row>
    <row r="80" spans="1:17" ht="51" hidden="1" x14ac:dyDescent="0.2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496</v>
      </c>
      <c r="L80" s="9">
        <v>0.06</v>
      </c>
      <c r="O80" s="51" t="s">
        <v>45</v>
      </c>
      <c r="P80" s="52"/>
      <c r="Q80" s="53" t="s">
        <v>366</v>
      </c>
    </row>
    <row r="81" spans="1:17" ht="51" hidden="1" x14ac:dyDescent="0.2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497</v>
      </c>
      <c r="L81" s="9">
        <v>0.91</v>
      </c>
      <c r="O81" s="51" t="s">
        <v>45</v>
      </c>
      <c r="P81" s="52"/>
      <c r="Q81" s="53" t="s">
        <v>366</v>
      </c>
    </row>
    <row r="82" spans="1:17" ht="51" hidden="1" x14ac:dyDescent="0.2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498</v>
      </c>
      <c r="L82" s="9">
        <v>0.06</v>
      </c>
      <c r="O82" s="51" t="s">
        <v>45</v>
      </c>
      <c r="P82" s="52"/>
      <c r="Q82" s="53" t="s">
        <v>366</v>
      </c>
    </row>
    <row r="83" spans="1:17" ht="51" hidden="1" x14ac:dyDescent="0.2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499</v>
      </c>
      <c r="L83" s="9">
        <v>0.06</v>
      </c>
      <c r="O83" s="51" t="s">
        <v>45</v>
      </c>
      <c r="P83" s="52"/>
      <c r="Q83" s="53" t="s">
        <v>366</v>
      </c>
    </row>
    <row r="84" spans="1:17" ht="51" hidden="1" x14ac:dyDescent="0.2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500</v>
      </c>
      <c r="L84" s="9">
        <v>0.91</v>
      </c>
      <c r="O84" s="51" t="s">
        <v>45</v>
      </c>
      <c r="P84" s="52"/>
      <c r="Q84" s="53" t="s">
        <v>366</v>
      </c>
    </row>
    <row r="85" spans="1:17" ht="51" hidden="1" x14ac:dyDescent="0.2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501</v>
      </c>
      <c r="L85" s="9">
        <v>0.06</v>
      </c>
      <c r="O85" s="51" t="s">
        <v>45</v>
      </c>
      <c r="P85" s="52"/>
      <c r="Q85" s="53" t="s">
        <v>366</v>
      </c>
    </row>
    <row r="86" spans="1:17" ht="51" hidden="1" x14ac:dyDescent="0.2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502</v>
      </c>
      <c r="L86" s="9">
        <v>0.06</v>
      </c>
      <c r="O86" s="51" t="s">
        <v>45</v>
      </c>
      <c r="P86" s="52"/>
      <c r="Q86" s="53" t="s">
        <v>366</v>
      </c>
    </row>
    <row r="87" spans="1:17" ht="51" hidden="1" x14ac:dyDescent="0.2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503</v>
      </c>
      <c r="L87" s="9">
        <v>0.91</v>
      </c>
      <c r="O87" s="51" t="s">
        <v>45</v>
      </c>
      <c r="P87" s="52"/>
      <c r="Q87" s="53" t="s">
        <v>366</v>
      </c>
    </row>
    <row r="88" spans="1:17" ht="32" hidden="1" x14ac:dyDescent="0.2">
      <c r="A88" s="33" t="s">
        <v>318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504</v>
      </c>
      <c r="L88" s="9">
        <v>2</v>
      </c>
      <c r="O88" s="51"/>
      <c r="P88" s="52" t="s">
        <v>123</v>
      </c>
      <c r="Q88" s="53" t="s">
        <v>367</v>
      </c>
    </row>
    <row r="89" spans="1:17" ht="48" hidden="1" x14ac:dyDescent="0.2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505</v>
      </c>
      <c r="L89" s="23">
        <v>0.5</v>
      </c>
      <c r="O89" s="51"/>
      <c r="P89" s="52" t="s">
        <v>127</v>
      </c>
      <c r="Q89" s="53" t="s">
        <v>367</v>
      </c>
    </row>
    <row r="90" spans="1:17" ht="17" hidden="1" x14ac:dyDescent="0.2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506</v>
      </c>
      <c r="L90" s="23">
        <v>0.05</v>
      </c>
      <c r="O90" s="51"/>
      <c r="P90" s="52" t="s">
        <v>635</v>
      </c>
      <c r="Q90" s="53" t="s">
        <v>367</v>
      </c>
    </row>
    <row r="91" spans="1:17" ht="17" hidden="1" x14ac:dyDescent="0.2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507</v>
      </c>
      <c r="L91" s="23">
        <v>1E-3</v>
      </c>
      <c r="O91" s="51"/>
      <c r="P91" s="52" t="s">
        <v>635</v>
      </c>
      <c r="Q91" s="53" t="s">
        <v>367</v>
      </c>
    </row>
    <row r="92" spans="1:17" ht="17" hidden="1" x14ac:dyDescent="0.2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508</v>
      </c>
      <c r="L92" s="23">
        <v>0.02</v>
      </c>
      <c r="O92" s="51"/>
      <c r="P92" s="52"/>
      <c r="Q92" s="53" t="s">
        <v>367</v>
      </c>
    </row>
    <row r="93" spans="1:17" ht="34" hidden="1" x14ac:dyDescent="0.2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509</v>
      </c>
      <c r="L93" s="23">
        <v>2</v>
      </c>
      <c r="O93" s="51"/>
      <c r="P93" s="52"/>
      <c r="Q93" s="53" t="s">
        <v>367</v>
      </c>
    </row>
    <row r="94" spans="1:17" ht="34" hidden="1" x14ac:dyDescent="0.2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510</v>
      </c>
      <c r="L94" s="9">
        <v>1</v>
      </c>
      <c r="O94" s="51"/>
      <c r="P94" s="52" t="s">
        <v>322</v>
      </c>
      <c r="Q94" s="53" t="s">
        <v>367</v>
      </c>
    </row>
    <row r="95" spans="1:17" ht="34" hidden="1" x14ac:dyDescent="0.2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511</v>
      </c>
      <c r="L95" s="9">
        <v>6</v>
      </c>
      <c r="O95" s="51"/>
      <c r="P95" s="52" t="s">
        <v>322</v>
      </c>
      <c r="Q95" s="53" t="s">
        <v>367</v>
      </c>
    </row>
    <row r="96" spans="1:17" ht="34" hidden="1" x14ac:dyDescent="0.2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512</v>
      </c>
      <c r="L96" s="9">
        <v>10</v>
      </c>
      <c r="O96" s="51"/>
      <c r="P96" s="52" t="s">
        <v>322</v>
      </c>
      <c r="Q96" s="53" t="s">
        <v>367</v>
      </c>
    </row>
    <row r="97" spans="1:17" ht="34" hidden="1" x14ac:dyDescent="0.2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513</v>
      </c>
      <c r="L97" s="40">
        <f>AVERAGE(VLOOKUP("theta_2,",model_matched_parameters,3,FALSE),VLOOKUP("theta_3,",model_matched_parameters,3,FALSE))*(1/3)</f>
        <v>2.6666666666666665</v>
      </c>
      <c r="O97" s="51" t="s">
        <v>323</v>
      </c>
      <c r="P97" s="52" t="s">
        <v>29</v>
      </c>
      <c r="Q97" s="53" t="s">
        <v>367</v>
      </c>
    </row>
    <row r="98" spans="1:17" ht="32" hidden="1" x14ac:dyDescent="0.2">
      <c r="A98" s="11" t="s">
        <v>368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319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514</v>
      </c>
      <c r="L98" s="34">
        <v>0.2</v>
      </c>
      <c r="O98" s="51"/>
      <c r="P98" s="52"/>
      <c r="Q98" s="53" t="s">
        <v>366</v>
      </c>
    </row>
    <row r="99" spans="1:17" ht="32" hidden="1" x14ac:dyDescent="0.2">
      <c r="A99" s="11" t="s">
        <v>369</v>
      </c>
      <c r="B99" s="9" t="str">
        <f t="shared" si="5"/>
        <v>IPT Adherence  under policy Community ART for gender Male</v>
      </c>
      <c r="C99" s="9" t="s">
        <v>319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515</v>
      </c>
      <c r="L99" s="34">
        <v>0.2</v>
      </c>
      <c r="O99" s="51"/>
      <c r="P99" s="52"/>
      <c r="Q99" s="53" t="s">
        <v>366</v>
      </c>
    </row>
    <row r="100" spans="1:17" ht="32" hidden="1" x14ac:dyDescent="0.2">
      <c r="A100" s="11" t="s">
        <v>370</v>
      </c>
      <c r="B100" s="9" t="str">
        <f t="shared" si="5"/>
        <v>IPT Adherence  under policy Community ART + IPT for gender Male</v>
      </c>
      <c r="C100" s="9" t="s">
        <v>319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516</v>
      </c>
      <c r="L100" s="34">
        <v>0.8</v>
      </c>
      <c r="O100" s="51"/>
      <c r="P100" s="52"/>
      <c r="Q100" s="53" t="s">
        <v>366</v>
      </c>
    </row>
    <row r="101" spans="1:17" ht="32" hidden="1" x14ac:dyDescent="0.2">
      <c r="A101" s="11" t="s">
        <v>371</v>
      </c>
      <c r="B101" s="9" t="str">
        <f t="shared" si="5"/>
        <v>IPT Adherence  under policy Standard (baseline) for gender Female</v>
      </c>
      <c r="C101" s="9" t="s">
        <v>319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517</v>
      </c>
      <c r="L101" s="34">
        <v>0.2</v>
      </c>
      <c r="N101" s="10"/>
      <c r="O101" s="53"/>
      <c r="P101" s="52"/>
      <c r="Q101" s="53" t="s">
        <v>366</v>
      </c>
    </row>
    <row r="102" spans="1:17" ht="32" hidden="1" x14ac:dyDescent="0.2">
      <c r="A102" s="11" t="s">
        <v>372</v>
      </c>
      <c r="B102" s="9" t="str">
        <f t="shared" si="5"/>
        <v>IPT Adherence  under policy Community ART for gender Female</v>
      </c>
      <c r="C102" s="9" t="s">
        <v>319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518</v>
      </c>
      <c r="L102" s="34">
        <v>0.2</v>
      </c>
      <c r="N102" s="10"/>
      <c r="O102" s="53"/>
      <c r="P102" s="52"/>
      <c r="Q102" s="53" t="s">
        <v>366</v>
      </c>
    </row>
    <row r="103" spans="1:17" ht="32" hidden="1" x14ac:dyDescent="0.2">
      <c r="A103" s="11" t="s">
        <v>373</v>
      </c>
      <c r="B103" s="9" t="str">
        <f t="shared" si="5"/>
        <v>IPT Adherence  under policy Community ART + IPT for gender Female</v>
      </c>
      <c r="C103" s="9" t="s">
        <v>319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519</v>
      </c>
      <c r="L103" s="34">
        <v>0.8</v>
      </c>
      <c r="N103" s="10"/>
      <c r="O103" s="53"/>
      <c r="P103" s="52"/>
      <c r="Q103" s="53" t="s">
        <v>366</v>
      </c>
    </row>
    <row r="104" spans="1:17" ht="80" hidden="1" x14ac:dyDescent="0.2">
      <c r="A104" s="20" t="s">
        <v>374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520</v>
      </c>
      <c r="L104" s="11">
        <v>6.8999999999999999E-3</v>
      </c>
      <c r="O104" s="54" t="s">
        <v>399</v>
      </c>
      <c r="P104" s="55" t="s">
        <v>398</v>
      </c>
      <c r="Q104" s="53" t="s">
        <v>366</v>
      </c>
    </row>
    <row r="105" spans="1:17" ht="80" hidden="1" x14ac:dyDescent="0.2">
      <c r="A105" s="20" t="s">
        <v>375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521</v>
      </c>
      <c r="L105" s="11">
        <v>6.8999999999999999E-3</v>
      </c>
      <c r="O105" s="54" t="s">
        <v>399</v>
      </c>
      <c r="P105" s="55" t="s">
        <v>398</v>
      </c>
      <c r="Q105" s="53" t="s">
        <v>366</v>
      </c>
    </row>
    <row r="106" spans="1:17" ht="80" hidden="1" x14ac:dyDescent="0.2">
      <c r="A106" s="20" t="s">
        <v>376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522</v>
      </c>
      <c r="L106" s="11">
        <v>6.8999999999999999E-3</v>
      </c>
      <c r="O106" s="54" t="s">
        <v>399</v>
      </c>
      <c r="P106" s="55" t="s">
        <v>398</v>
      </c>
      <c r="Q106" s="53" t="s">
        <v>366</v>
      </c>
    </row>
    <row r="107" spans="1:17" ht="51" hidden="1" customHeight="1" x14ac:dyDescent="0.15">
      <c r="A107" s="20" t="s">
        <v>377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523</v>
      </c>
      <c r="L107" s="23">
        <f>1/(0.25+1.71+1.05+4.71)</f>
        <v>0.1295336787564767</v>
      </c>
      <c r="O107" s="56" t="s">
        <v>402</v>
      </c>
      <c r="P107" s="52" t="s">
        <v>400</v>
      </c>
      <c r="Q107" s="53" t="s">
        <v>367</v>
      </c>
    </row>
    <row r="108" spans="1:17" ht="51" hidden="1" customHeight="1" x14ac:dyDescent="0.15">
      <c r="A108" s="20" t="s">
        <v>378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524</v>
      </c>
      <c r="L108" s="23">
        <f t="shared" ref="L108:L109" si="7">1/(0.25+1.71+1.05+4.71)</f>
        <v>0.1295336787564767</v>
      </c>
      <c r="O108" s="56" t="s">
        <v>402</v>
      </c>
      <c r="P108" s="52" t="s">
        <v>400</v>
      </c>
      <c r="Q108" s="53" t="s">
        <v>367</v>
      </c>
    </row>
    <row r="109" spans="1:17" ht="51" hidden="1" customHeight="1" x14ac:dyDescent="0.15">
      <c r="A109" s="20" t="s">
        <v>379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525</v>
      </c>
      <c r="L109" s="23">
        <f t="shared" si="7"/>
        <v>0.1295336787564767</v>
      </c>
      <c r="O109" s="56" t="s">
        <v>402</v>
      </c>
      <c r="P109" s="52" t="s">
        <v>400</v>
      </c>
      <c r="Q109" s="53" t="s">
        <v>367</v>
      </c>
    </row>
    <row r="110" spans="1:17" ht="48" hidden="1" customHeight="1" x14ac:dyDescent="0.15">
      <c r="A110" s="20" t="s">
        <v>380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526</v>
      </c>
      <c r="L110" s="23">
        <v>0.4</v>
      </c>
      <c r="O110" s="56"/>
      <c r="P110" s="52"/>
      <c r="Q110" s="53" t="s">
        <v>366</v>
      </c>
    </row>
    <row r="111" spans="1:17" ht="48" hidden="1" x14ac:dyDescent="0.2">
      <c r="A111" s="20" t="s">
        <v>381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527</v>
      </c>
      <c r="L111" s="23">
        <f>VLOOKUP("eta_24,1(1)",model_matched_parameters,3, FALSE)*VLOOKUP("eta_2,4(2)",indirect_model_parameters,2,FALSE)</f>
        <v>0.44000000000000006</v>
      </c>
      <c r="O111" s="57" t="s">
        <v>403</v>
      </c>
      <c r="P111" s="52" t="s">
        <v>417</v>
      </c>
      <c r="Q111" s="53" t="s">
        <v>366</v>
      </c>
    </row>
    <row r="112" spans="1:17" ht="51" hidden="1" x14ac:dyDescent="0.2">
      <c r="A112" s="20" t="s">
        <v>382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528</v>
      </c>
      <c r="L112" s="23">
        <f>VLOOKUP("eta_24,1(1)",model_matched_parameters,3, FALSE)*VLOOKUP("eta_2,4(2)",indirect_model_parameters,2,FALSE)</f>
        <v>0.44000000000000006</v>
      </c>
      <c r="O112" s="51" t="s">
        <v>633</v>
      </c>
      <c r="P112" s="52" t="s">
        <v>634</v>
      </c>
      <c r="Q112" s="53" t="s">
        <v>366</v>
      </c>
    </row>
    <row r="113" spans="1:17" ht="48" hidden="1" x14ac:dyDescent="0.2">
      <c r="A113" s="20" t="s">
        <v>383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529</v>
      </c>
      <c r="L113" s="47">
        <v>0.4</v>
      </c>
      <c r="O113" s="51"/>
      <c r="P113" s="52"/>
      <c r="Q113" s="53" t="s">
        <v>366</v>
      </c>
    </row>
    <row r="114" spans="1:17" ht="48" hidden="1" x14ac:dyDescent="0.2">
      <c r="A114" s="20" t="s">
        <v>384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530</v>
      </c>
      <c r="L114" s="23">
        <f>L113*indirect_model_parameters!$G$6</f>
        <v>0.44000000000000006</v>
      </c>
      <c r="O114" s="51" t="s">
        <v>416</v>
      </c>
      <c r="P114" s="52"/>
      <c r="Q114" s="53" t="s">
        <v>366</v>
      </c>
    </row>
    <row r="115" spans="1:17" ht="51" hidden="1" x14ac:dyDescent="0.2">
      <c r="A115" s="20" t="s">
        <v>385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531</v>
      </c>
      <c r="L115" s="23">
        <f>L113*indirect_model_parameters!$G$7</f>
        <v>0.48</v>
      </c>
      <c r="O115" s="51" t="s">
        <v>416</v>
      </c>
      <c r="P115" s="52" t="s">
        <v>138</v>
      </c>
      <c r="Q115" s="53" t="s">
        <v>366</v>
      </c>
    </row>
    <row r="116" spans="1:17" ht="80" hidden="1" x14ac:dyDescent="0.2">
      <c r="A116" s="20" t="s">
        <v>386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532</v>
      </c>
      <c r="L116" s="11">
        <v>9.2999999999999992E-3</v>
      </c>
      <c r="O116" s="54" t="s">
        <v>399</v>
      </c>
      <c r="P116" s="55" t="s">
        <v>398</v>
      </c>
      <c r="Q116" s="53" t="s">
        <v>366</v>
      </c>
    </row>
    <row r="117" spans="1:17" ht="80" hidden="1" x14ac:dyDescent="0.2">
      <c r="A117" s="20" t="s">
        <v>387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533</v>
      </c>
      <c r="L117" s="11">
        <v>9.2999999999999992E-3</v>
      </c>
      <c r="O117" s="54" t="s">
        <v>399</v>
      </c>
      <c r="P117" s="55" t="s">
        <v>398</v>
      </c>
      <c r="Q117" s="53" t="s">
        <v>366</v>
      </c>
    </row>
    <row r="118" spans="1:17" ht="80" hidden="1" x14ac:dyDescent="0.2">
      <c r="A118" s="20" t="s">
        <v>388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534</v>
      </c>
      <c r="L118" s="11">
        <v>9.2999999999999992E-3</v>
      </c>
      <c r="O118" s="54" t="s">
        <v>399</v>
      </c>
      <c r="P118" s="55" t="s">
        <v>398</v>
      </c>
      <c r="Q118" s="53" t="s">
        <v>366</v>
      </c>
    </row>
    <row r="119" spans="1:17" ht="48" hidden="1" customHeight="1" x14ac:dyDescent="0.15">
      <c r="A119" s="20" t="s">
        <v>389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535</v>
      </c>
      <c r="L119" s="11">
        <v>9.7560975609756101E-2</v>
      </c>
      <c r="O119" s="56" t="s">
        <v>402</v>
      </c>
      <c r="P119" s="52" t="s">
        <v>401</v>
      </c>
      <c r="Q119" s="53" t="s">
        <v>367</v>
      </c>
    </row>
    <row r="120" spans="1:17" ht="51" hidden="1" customHeight="1" x14ac:dyDescent="0.15">
      <c r="A120" s="20" t="s">
        <v>390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536</v>
      </c>
      <c r="L120" s="11">
        <v>9.7560975609756101E-2</v>
      </c>
      <c r="O120" s="56" t="s">
        <v>402</v>
      </c>
      <c r="P120" s="52" t="s">
        <v>401</v>
      </c>
      <c r="Q120" s="53" t="s">
        <v>367</v>
      </c>
    </row>
    <row r="121" spans="1:17" ht="51" hidden="1" customHeight="1" x14ac:dyDescent="0.15">
      <c r="A121" s="20" t="s">
        <v>391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537</v>
      </c>
      <c r="L121" s="11">
        <v>9.7560975609756101E-2</v>
      </c>
      <c r="O121" s="56" t="s">
        <v>402</v>
      </c>
      <c r="P121" s="52" t="s">
        <v>401</v>
      </c>
      <c r="Q121" s="53" t="s">
        <v>367</v>
      </c>
    </row>
    <row r="122" spans="1:17" ht="51" hidden="1" x14ac:dyDescent="0.2">
      <c r="A122" s="20" t="s">
        <v>392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538</v>
      </c>
      <c r="L122" s="23">
        <v>0.4</v>
      </c>
      <c r="O122" s="51"/>
      <c r="P122" s="52"/>
      <c r="Q122" s="53" t="s">
        <v>366</v>
      </c>
    </row>
    <row r="123" spans="1:17" ht="48" hidden="1" x14ac:dyDescent="0.2">
      <c r="A123" s="20" t="s">
        <v>393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539</v>
      </c>
      <c r="L123" s="23">
        <f>L122*indirect_model_parameters!$G$6</f>
        <v>0.44000000000000006</v>
      </c>
      <c r="O123" s="51"/>
      <c r="P123" s="52"/>
      <c r="Q123" s="53" t="s">
        <v>366</v>
      </c>
    </row>
    <row r="124" spans="1:17" ht="51" hidden="1" x14ac:dyDescent="0.2">
      <c r="A124" s="20" t="s">
        <v>394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540</v>
      </c>
      <c r="L124" s="23">
        <f>L122*indirect_model_parameters!$G$7</f>
        <v>0.48</v>
      </c>
      <c r="O124" s="51"/>
      <c r="P124" s="52" t="s">
        <v>139</v>
      </c>
      <c r="Q124" s="53" t="s">
        <v>366</v>
      </c>
    </row>
    <row r="125" spans="1:17" ht="51" hidden="1" x14ac:dyDescent="0.2">
      <c r="A125" s="20" t="s">
        <v>395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541</v>
      </c>
      <c r="L125" s="23">
        <v>0.4</v>
      </c>
      <c r="O125" s="51"/>
      <c r="P125" s="52"/>
      <c r="Q125" s="53" t="s">
        <v>366</v>
      </c>
    </row>
    <row r="126" spans="1:17" ht="48" hidden="1" x14ac:dyDescent="0.2">
      <c r="A126" s="20" t="s">
        <v>396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542</v>
      </c>
      <c r="L126" s="23">
        <f>L125*indirect_model_parameters!$G$6</f>
        <v>0.44000000000000006</v>
      </c>
      <c r="O126" s="51"/>
      <c r="P126" s="52"/>
      <c r="Q126" s="53" t="s">
        <v>366</v>
      </c>
    </row>
    <row r="127" spans="1:17" ht="51" hidden="1" x14ac:dyDescent="0.2">
      <c r="A127" s="20" t="s">
        <v>397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543</v>
      </c>
      <c r="L127" s="23">
        <f>L125*indirect_model_parameters!$G$7</f>
        <v>0.48</v>
      </c>
      <c r="O127" s="51"/>
      <c r="P127" s="52" t="s">
        <v>138</v>
      </c>
      <c r="Q127" s="53" t="s">
        <v>366</v>
      </c>
    </row>
    <row r="128" spans="1:17" ht="34" hidden="1" x14ac:dyDescent="0.2">
      <c r="A128" s="20" t="s">
        <v>405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404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544</v>
      </c>
      <c r="L128" s="50">
        <f>VLOOKUP(J128,aging_in!$G$5:$H$37,2)</f>
        <v>0.23227648165884884</v>
      </c>
      <c r="O128" s="51"/>
      <c r="P128" s="52" t="s">
        <v>410</v>
      </c>
      <c r="Q128" s="53" t="s">
        <v>366</v>
      </c>
    </row>
    <row r="129" spans="1:17" ht="34" hidden="1" x14ac:dyDescent="0.2">
      <c r="A129" s="20" t="s">
        <v>406</v>
      </c>
      <c r="B129" s="9" t="str">
        <f t="shared" si="8"/>
        <v>Rate of entry due to aging into HIV compartment  HIV-negative and gender compartment Female, per year</v>
      </c>
      <c r="C129" s="8" t="s">
        <v>404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545</v>
      </c>
      <c r="L129" s="50">
        <f>VLOOKUP(J129,aging_in!$G$5:$H$37,2)</f>
        <v>0.23227648165884884</v>
      </c>
      <c r="O129" s="51"/>
      <c r="P129" s="52" t="s">
        <v>410</v>
      </c>
      <c r="Q129" s="53" t="s">
        <v>366</v>
      </c>
    </row>
    <row r="130" spans="1:17" ht="34" hidden="1" x14ac:dyDescent="0.2">
      <c r="A130" s="20" t="s">
        <v>407</v>
      </c>
      <c r="B130" s="9" t="str">
        <f t="shared" si="8"/>
        <v>Rate of entry due to aging into HIV compartment  PLHIV not on ART, CD4&gt;200 and gender compartment Male, per year</v>
      </c>
      <c r="C130" s="8" t="s">
        <v>404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546</v>
      </c>
      <c r="L130" s="50">
        <f>VLOOKUP(J130,aging_in!$G$5:$H$37,2)</f>
        <v>1.7918471442254048E-2</v>
      </c>
      <c r="O130" s="51"/>
      <c r="P130" s="52" t="s">
        <v>410</v>
      </c>
      <c r="Q130" s="53" t="s">
        <v>366</v>
      </c>
    </row>
    <row r="131" spans="1:17" ht="34" hidden="1" x14ac:dyDescent="0.2">
      <c r="A131" s="20" t="s">
        <v>408</v>
      </c>
      <c r="B131" s="9" t="str">
        <f t="shared" si="8"/>
        <v>Rate of entry due to aging into HIV compartment  PLHIV not on ART, CD4&gt;200 and gender compartment Female, per year</v>
      </c>
      <c r="C131" s="8" t="s">
        <v>404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547</v>
      </c>
      <c r="L131" s="50">
        <f>VLOOKUP(J131,aging_in!$G$5:$H$37,2)</f>
        <v>1.7918471442254048E-2</v>
      </c>
      <c r="O131" s="51"/>
      <c r="P131" s="52" t="s">
        <v>410</v>
      </c>
      <c r="Q131" s="53" t="s">
        <v>366</v>
      </c>
    </row>
    <row r="132" spans="1:17" ht="34" hidden="1" x14ac:dyDescent="0.2">
      <c r="A132" s="20" t="s">
        <v>405</v>
      </c>
      <c r="B132" s="9" t="str">
        <f t="shared" si="8"/>
        <v>Rate of entry due to aging into HIV compartment  HIV-negative and gender compartment Male, per year</v>
      </c>
      <c r="C132" s="8" t="s">
        <v>404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548</v>
      </c>
      <c r="L132" s="50">
        <f>VLOOKUP(J132,aging_in!$G$5:$H$37,2)</f>
        <v>1.0752942440495525E-2</v>
      </c>
      <c r="O132" s="51"/>
      <c r="P132" s="52" t="s">
        <v>410</v>
      </c>
      <c r="Q132" s="53" t="s">
        <v>366</v>
      </c>
    </row>
    <row r="133" spans="1:17" ht="34" hidden="1" x14ac:dyDescent="0.2">
      <c r="A133" s="20" t="s">
        <v>406</v>
      </c>
      <c r="B133" s="9" t="str">
        <f t="shared" si="8"/>
        <v>Rate of entry due to aging into HIV compartment  HIV-negative and gender compartment Female, per year</v>
      </c>
      <c r="C133" s="8" t="s">
        <v>404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549</v>
      </c>
      <c r="L133" s="50">
        <f>VLOOKUP(J133,aging_in!$G$5:$H$37,2)</f>
        <v>1.0752942440495525E-2</v>
      </c>
      <c r="O133" s="51"/>
      <c r="P133" s="52" t="s">
        <v>410</v>
      </c>
      <c r="Q133" s="53" t="s">
        <v>366</v>
      </c>
    </row>
    <row r="134" spans="1:17" ht="34" hidden="1" x14ac:dyDescent="0.2">
      <c r="A134" s="20" t="s">
        <v>407</v>
      </c>
      <c r="B134" s="9" t="str">
        <f t="shared" si="8"/>
        <v>Rate of entry due to aging into HIV compartment  PLHIV not on ART, CD4&gt;200 and gender compartment Male, per year</v>
      </c>
      <c r="C134" s="8" t="s">
        <v>404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550</v>
      </c>
      <c r="L134" s="50">
        <f>VLOOKUP(J134,aging_in!$G$5:$H$37,2)</f>
        <v>8.2951270255251174E-4</v>
      </c>
      <c r="O134" s="51"/>
      <c r="P134" s="52" t="s">
        <v>410</v>
      </c>
      <c r="Q134" s="53" t="s">
        <v>366</v>
      </c>
    </row>
    <row r="135" spans="1:17" ht="34" hidden="1" x14ac:dyDescent="0.2">
      <c r="A135" s="20" t="s">
        <v>408</v>
      </c>
      <c r="B135" s="9" t="str">
        <f t="shared" si="8"/>
        <v>Rate of entry due to aging into HIV compartment  PLHIV not on ART, CD4&gt;200 and gender compartment Female, per year</v>
      </c>
      <c r="C135" s="8" t="s">
        <v>404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551</v>
      </c>
      <c r="L135" s="50">
        <f>VLOOKUP(J135,aging_in!$G$5:$H$37,2)</f>
        <v>8.2951270255251174E-4</v>
      </c>
      <c r="O135" s="51"/>
      <c r="P135" s="52" t="s">
        <v>410</v>
      </c>
      <c r="Q135" s="53" t="s">
        <v>366</v>
      </c>
    </row>
    <row r="136" spans="1:17" ht="34" hidden="1" x14ac:dyDescent="0.2">
      <c r="A136" s="20" t="s">
        <v>405</v>
      </c>
      <c r="B136" s="9" t="str">
        <f t="shared" si="8"/>
        <v>Rate of entry due to aging into HIV compartment  HIV-negative and gender compartment Male, per year</v>
      </c>
      <c r="C136" s="8" t="s">
        <v>404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552</v>
      </c>
      <c r="L136" s="50">
        <f>VLOOKUP(J136,aging_in!$G$5:$H$37,2)</f>
        <v>0.20847541466266831</v>
      </c>
      <c r="O136" s="51"/>
      <c r="P136" s="52" t="s">
        <v>410</v>
      </c>
      <c r="Q136" s="53" t="s">
        <v>366</v>
      </c>
    </row>
    <row r="137" spans="1:17" ht="34" hidden="1" x14ac:dyDescent="0.2">
      <c r="A137" s="20" t="s">
        <v>406</v>
      </c>
      <c r="B137" s="9" t="str">
        <f t="shared" si="8"/>
        <v>Rate of entry due to aging into HIV compartment  HIV-negative and gender compartment Female, per year</v>
      </c>
      <c r="C137" s="8" t="s">
        <v>404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553</v>
      </c>
      <c r="L137" s="50">
        <f>VLOOKUP(J137,aging_in!$G$5:$H$37,2)</f>
        <v>0.20847541466266831</v>
      </c>
      <c r="O137" s="51"/>
      <c r="P137" s="52" t="s">
        <v>410</v>
      </c>
      <c r="Q137" s="53" t="s">
        <v>366</v>
      </c>
    </row>
    <row r="138" spans="1:17" ht="34" hidden="1" x14ac:dyDescent="0.2">
      <c r="A138" s="20" t="s">
        <v>407</v>
      </c>
      <c r="B138" s="9" t="str">
        <f t="shared" si="8"/>
        <v>Rate of entry due to aging into HIV compartment  PLHIV not on ART, CD4&gt;200 and gender compartment Male, per year</v>
      </c>
      <c r="C138" s="8" t="s">
        <v>404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554</v>
      </c>
      <c r="L138" s="50">
        <f>VLOOKUP(J138,aging_in!$G$5:$H$37,2)</f>
        <v>1.6082389131120124E-2</v>
      </c>
      <c r="O138" s="51"/>
      <c r="P138" s="52" t="s">
        <v>410</v>
      </c>
      <c r="Q138" s="53" t="s">
        <v>366</v>
      </c>
    </row>
    <row r="139" spans="1:17" ht="34" hidden="1" x14ac:dyDescent="0.2">
      <c r="A139" s="20" t="s">
        <v>408</v>
      </c>
      <c r="B139" s="9" t="str">
        <f t="shared" si="8"/>
        <v>Rate of entry due to aging into HIV compartment  PLHIV not on ART, CD4&gt;200 and gender compartment Female, per year</v>
      </c>
      <c r="C139" s="8" t="s">
        <v>404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555</v>
      </c>
      <c r="L139" s="50">
        <f>VLOOKUP(J139,aging_in!$G$5:$H$37,2)</f>
        <v>1.6082389131120124E-2</v>
      </c>
      <c r="O139" s="51"/>
      <c r="P139" s="52" t="s">
        <v>410</v>
      </c>
      <c r="Q139" s="53" t="s">
        <v>366</v>
      </c>
    </row>
    <row r="140" spans="1:17" ht="34" hidden="1" x14ac:dyDescent="0.2">
      <c r="A140" s="20" t="s">
        <v>405</v>
      </c>
      <c r="B140" s="9" t="str">
        <f t="shared" si="8"/>
        <v>Rate of entry due to aging into HIV compartment  HIV-negative and gender compartment Male, per year</v>
      </c>
      <c r="C140" s="8" t="s">
        <v>404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638</v>
      </c>
      <c r="L140" s="50">
        <f>VLOOKUP(J140,aging_in!$G$5:$H$37,2)</f>
        <v>2.5821904974022672E-3</v>
      </c>
      <c r="O140" s="51"/>
      <c r="P140" s="52" t="s">
        <v>410</v>
      </c>
      <c r="Q140" s="53" t="s">
        <v>366</v>
      </c>
    </row>
    <row r="141" spans="1:17" ht="34" hidden="1" x14ac:dyDescent="0.2">
      <c r="A141" s="20" t="s">
        <v>406</v>
      </c>
      <c r="B141" s="9" t="str">
        <f t="shared" si="8"/>
        <v>Rate of entry due to aging into HIV compartment  HIV-negative and gender compartment Female, per year</v>
      </c>
      <c r="C141" s="8" t="s">
        <v>404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639</v>
      </c>
      <c r="L141" s="50">
        <f>VLOOKUP(J141,aging_in!$G$5:$H$37,2)</f>
        <v>1.2910952487011332E-3</v>
      </c>
      <c r="O141" s="51"/>
      <c r="P141" s="52" t="s">
        <v>410</v>
      </c>
      <c r="Q141" s="53" t="s">
        <v>366</v>
      </c>
    </row>
    <row r="142" spans="1:17" ht="34" hidden="1" x14ac:dyDescent="0.2">
      <c r="A142" s="20" t="s">
        <v>407</v>
      </c>
      <c r="B142" s="9" t="str">
        <f t="shared" si="8"/>
        <v>Rate of entry due to aging into HIV compartment  PLHIV not on ART, CD4&gt;200 and gender compartment Male, per year</v>
      </c>
      <c r="C142" s="8" t="s">
        <v>404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640</v>
      </c>
      <c r="L142" s="50">
        <f>VLOOKUP(J142,aging_in!$G$5:$H$37,2)</f>
        <v>2.1303071603568707E-3</v>
      </c>
      <c r="O142" s="51"/>
      <c r="P142" s="52" t="s">
        <v>410</v>
      </c>
      <c r="Q142" s="53" t="s">
        <v>366</v>
      </c>
    </row>
    <row r="143" spans="1:17" ht="34" hidden="1" x14ac:dyDescent="0.2">
      <c r="A143" s="20" t="s">
        <v>408</v>
      </c>
      <c r="B143" s="9" t="str">
        <f t="shared" si="8"/>
        <v>Rate of entry due to aging into HIV compartment  PLHIV not on ART, CD4&gt;200 and gender compartment Female, per year</v>
      </c>
      <c r="C143" s="8" t="s">
        <v>404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641</v>
      </c>
      <c r="L143" s="50">
        <f>VLOOKUP(J143,aging_in!$G$5:$H$37,2)</f>
        <v>2.8404095471424948E-3</v>
      </c>
      <c r="O143" s="51"/>
      <c r="P143" s="52" t="s">
        <v>410</v>
      </c>
      <c r="Q143" s="53" t="s">
        <v>366</v>
      </c>
    </row>
    <row r="144" spans="1:17" ht="34" hidden="1" x14ac:dyDescent="0.2">
      <c r="A144" s="20" t="s">
        <v>405</v>
      </c>
      <c r="B144" s="9" t="str">
        <f t="shared" si="8"/>
        <v>Rate of entry due to aging into HIV compartment  HIV-negative and gender compartment Male, per year</v>
      </c>
      <c r="C144" s="8" t="s">
        <v>404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556</v>
      </c>
      <c r="L144" s="50">
        <f>VLOOKUP(J144,aging_in!$G$5:$H$37,2)</f>
        <v>0</v>
      </c>
      <c r="O144" s="51"/>
      <c r="P144" s="52" t="s">
        <v>410</v>
      </c>
      <c r="Q144" s="53" t="s">
        <v>366</v>
      </c>
    </row>
    <row r="145" spans="1:17" ht="34" hidden="1" x14ac:dyDescent="0.2">
      <c r="A145" s="20" t="s">
        <v>406</v>
      </c>
      <c r="B145" s="9" t="str">
        <f t="shared" si="8"/>
        <v>Rate of entry due to aging into HIV compartment  HIV-negative and gender compartment Female, per year</v>
      </c>
      <c r="C145" s="8" t="s">
        <v>404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557</v>
      </c>
      <c r="L145" s="50">
        <f>VLOOKUP(J145,aging_in!$G$5:$H$37,2)</f>
        <v>0</v>
      </c>
      <c r="O145" s="51"/>
      <c r="P145" s="52" t="s">
        <v>410</v>
      </c>
      <c r="Q145" s="53" t="s">
        <v>366</v>
      </c>
    </row>
    <row r="146" spans="1:17" ht="34" hidden="1" x14ac:dyDescent="0.2">
      <c r="A146" s="20" t="s">
        <v>407</v>
      </c>
      <c r="B146" s="9" t="str">
        <f t="shared" si="8"/>
        <v>Rate of entry due to aging into HIV compartment  PLHIV not on ART, CD4&gt;200 and gender compartment Male, per year</v>
      </c>
      <c r="C146" s="8" t="s">
        <v>404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558</v>
      </c>
      <c r="L146" s="50">
        <f>VLOOKUP(J146,aging_in!$G$5:$H$37,2)</f>
        <v>0</v>
      </c>
      <c r="O146" s="51"/>
      <c r="P146" s="52" t="s">
        <v>410</v>
      </c>
      <c r="Q146" s="53" t="s">
        <v>366</v>
      </c>
    </row>
    <row r="147" spans="1:17" ht="34" hidden="1" x14ac:dyDescent="0.2">
      <c r="A147" s="20" t="s">
        <v>408</v>
      </c>
      <c r="B147" s="9" t="str">
        <f t="shared" si="8"/>
        <v>Rate of entry due to aging into HIV compartment  PLHIV not on ART, CD4&gt;200 and gender compartment Female, per year</v>
      </c>
      <c r="C147" s="8" t="s">
        <v>404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559</v>
      </c>
      <c r="L147" s="50">
        <f>VLOOKUP(J147,aging_in!$G$5:$H$37,2)</f>
        <v>0</v>
      </c>
      <c r="O147" s="51"/>
      <c r="P147" s="52" t="s">
        <v>410</v>
      </c>
      <c r="Q147" s="53" t="s">
        <v>366</v>
      </c>
    </row>
    <row r="148" spans="1:17" ht="34" hidden="1" x14ac:dyDescent="0.2">
      <c r="A148" s="20" t="s">
        <v>405</v>
      </c>
      <c r="B148" s="9" t="str">
        <f t="shared" si="8"/>
        <v>Rate of entry due to aging into HIV compartment  HIV-negative and gender compartment Male, per year</v>
      </c>
      <c r="C148" s="8" t="s">
        <v>404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560</v>
      </c>
      <c r="L148" s="50">
        <f>VLOOKUP(J148,aging_in!$G$5:$H$37,2)</f>
        <v>4.1314524433887261E-4</v>
      </c>
      <c r="O148" s="51"/>
      <c r="P148" s="52" t="s">
        <v>410</v>
      </c>
      <c r="Q148" s="53" t="s">
        <v>366</v>
      </c>
    </row>
    <row r="149" spans="1:17" ht="34" hidden="1" x14ac:dyDescent="0.2">
      <c r="A149" s="20" t="s">
        <v>406</v>
      </c>
      <c r="B149" s="9" t="str">
        <f t="shared" si="8"/>
        <v>Rate of entry due to aging into HIV compartment  HIV-negative and gender compartment Female, per year</v>
      </c>
      <c r="C149" s="8" t="s">
        <v>404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561</v>
      </c>
      <c r="L149" s="50">
        <f>VLOOKUP(J149,aging_in!$G$5:$H$37,2)</f>
        <v>4.1314524433887261E-4</v>
      </c>
      <c r="O149" s="51"/>
      <c r="P149" s="52" t="s">
        <v>410</v>
      </c>
      <c r="Q149" s="53" t="s">
        <v>366</v>
      </c>
    </row>
    <row r="150" spans="1:17" ht="34" hidden="1" x14ac:dyDescent="0.2">
      <c r="A150" s="20" t="s">
        <v>407</v>
      </c>
      <c r="B150" s="9" t="str">
        <f t="shared" si="8"/>
        <v>Rate of entry due to aging into HIV compartment  PLHIV not on ART, CD4&gt;200 and gender compartment Male, per year</v>
      </c>
      <c r="C150" s="8" t="s">
        <v>404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562</v>
      </c>
      <c r="L150" s="50">
        <f>VLOOKUP(J150,aging_in!$G$5:$H$37,2)</f>
        <v>3.187120456328445E-5</v>
      </c>
      <c r="O150" s="51"/>
      <c r="P150" s="52" t="s">
        <v>410</v>
      </c>
      <c r="Q150" s="53" t="s">
        <v>366</v>
      </c>
    </row>
    <row r="151" spans="1:17" ht="34" hidden="1" x14ac:dyDescent="0.2">
      <c r="A151" s="20" t="s">
        <v>408</v>
      </c>
      <c r="B151" s="9" t="str">
        <f t="shared" si="8"/>
        <v>Rate of entry due to aging into HIV compartment  PLHIV not on ART, CD4&gt;200 and gender compartment Female, per year</v>
      </c>
      <c r="C151" s="8" t="s">
        <v>404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563</v>
      </c>
      <c r="L151" s="50">
        <f>VLOOKUP(J151,aging_in!$G$5:$H$37,2)</f>
        <v>3.187120456328445E-5</v>
      </c>
      <c r="O151" s="51"/>
      <c r="P151" s="52" t="s">
        <v>410</v>
      </c>
      <c r="Q151" s="53" t="s">
        <v>366</v>
      </c>
    </row>
    <row r="152" spans="1:17" ht="34" hidden="1" x14ac:dyDescent="0.2">
      <c r="A152" s="20" t="s">
        <v>405</v>
      </c>
      <c r="B152" s="9" t="str">
        <f t="shared" si="8"/>
        <v>Rate of entry due to aging into HIV compartment  HIV-negative and gender compartment Male, per year</v>
      </c>
      <c r="C152" s="8" t="s">
        <v>404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564</v>
      </c>
      <c r="L152" s="50">
        <f>VLOOKUP(J152,aging_in!$G$5:$H$37,2)</f>
        <v>8.0099588188148781E-3</v>
      </c>
      <c r="O152" s="51"/>
      <c r="P152" s="52" t="s">
        <v>410</v>
      </c>
      <c r="Q152" s="53" t="s">
        <v>366</v>
      </c>
    </row>
    <row r="153" spans="1:17" ht="34" hidden="1" x14ac:dyDescent="0.2">
      <c r="A153" s="20" t="s">
        <v>406</v>
      </c>
      <c r="B153" s="9" t="str">
        <f t="shared" si="8"/>
        <v>Rate of entry due to aging into HIV compartment  HIV-negative and gender compartment Female, per year</v>
      </c>
      <c r="C153" s="8" t="s">
        <v>404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565</v>
      </c>
      <c r="L153" s="50">
        <f>VLOOKUP(J153,aging_in!$G$5:$H$37,2)</f>
        <v>8.0099588188148781E-3</v>
      </c>
      <c r="O153" s="51"/>
      <c r="P153" s="52" t="s">
        <v>410</v>
      </c>
      <c r="Q153" s="53" t="s">
        <v>366</v>
      </c>
    </row>
    <row r="154" spans="1:17" ht="34" hidden="1" x14ac:dyDescent="0.2">
      <c r="A154" s="20" t="s">
        <v>407</v>
      </c>
      <c r="B154" s="9" t="str">
        <f t="shared" si="8"/>
        <v>Rate of entry due to aging into HIV compartment  PLHIV not on ART, CD4&gt;200 and gender compartment Male, per year</v>
      </c>
      <c r="C154" s="8" t="s">
        <v>404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566</v>
      </c>
      <c r="L154" s="50">
        <f>VLOOKUP(J154,aging_in!$G$5:$H$37,2)</f>
        <v>6.1791110888000458E-4</v>
      </c>
      <c r="O154" s="51"/>
      <c r="P154" s="52" t="s">
        <v>410</v>
      </c>
      <c r="Q154" s="53" t="s">
        <v>366</v>
      </c>
    </row>
    <row r="155" spans="1:17" ht="34" hidden="1" x14ac:dyDescent="0.2">
      <c r="A155" s="20" t="s">
        <v>408</v>
      </c>
      <c r="B155" s="9" t="str">
        <f t="shared" si="8"/>
        <v>Rate of entry due to aging into HIV compartment  PLHIV not on ART, CD4&gt;200 and gender compartment Female, per year</v>
      </c>
      <c r="C155" s="8" t="s">
        <v>404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567</v>
      </c>
      <c r="L155" s="50">
        <f>VLOOKUP(J155,aging_in!$G$5:$H$37,2)</f>
        <v>6.1791110888000458E-4</v>
      </c>
      <c r="O155" s="51"/>
      <c r="P155" s="52" t="s">
        <v>410</v>
      </c>
      <c r="Q155" s="53" t="s">
        <v>366</v>
      </c>
    </row>
    <row r="156" spans="1:17" ht="34" hidden="1" x14ac:dyDescent="0.2">
      <c r="A156" s="20" t="s">
        <v>405</v>
      </c>
      <c r="B156" s="9" t="str">
        <f t="shared" si="8"/>
        <v>Rate of entry due to aging into HIV compartment  HIV-negative and gender compartment Male, per year</v>
      </c>
      <c r="C156" s="8" t="s">
        <v>404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642</v>
      </c>
      <c r="L156" s="50">
        <f>VLOOKUP(J156,aging_in!$G$5:$H$37,2)</f>
        <v>9.9211888269869059E-5</v>
      </c>
      <c r="O156" s="51"/>
      <c r="P156" s="52" t="s">
        <v>410</v>
      </c>
      <c r="Q156" s="53" t="s">
        <v>366</v>
      </c>
    </row>
    <row r="157" spans="1:17" ht="34" hidden="1" x14ac:dyDescent="0.2">
      <c r="A157" s="20" t="s">
        <v>406</v>
      </c>
      <c r="B157" s="9" t="str">
        <f t="shared" si="8"/>
        <v>Rate of entry due to aging into HIV compartment  HIV-negative and gender compartment Female, per year</v>
      </c>
      <c r="C157" s="8" t="s">
        <v>404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643</v>
      </c>
      <c r="L157" s="50">
        <f>VLOOKUP(J157,aging_in!$G$5:$H$37,2)</f>
        <v>4.9605944134934509E-5</v>
      </c>
      <c r="O157" s="51"/>
      <c r="P157" s="52" t="s">
        <v>410</v>
      </c>
      <c r="Q157" s="53" t="s">
        <v>366</v>
      </c>
    </row>
    <row r="158" spans="1:17" ht="34" hidden="1" x14ac:dyDescent="0.2">
      <c r="A158" s="20" t="s">
        <v>407</v>
      </c>
      <c r="B158" s="9" t="str">
        <f t="shared" si="8"/>
        <v>Rate of entry due to aging into HIV compartment  PLHIV not on ART, CD4&gt;200 and gender compartment Male, per year</v>
      </c>
      <c r="C158" s="8" t="s">
        <v>404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644</v>
      </c>
      <c r="L158" s="50">
        <f>VLOOKUP(J158,aging_in!$G$5:$H$37,2)</f>
        <v>8.1849807822641972E-5</v>
      </c>
      <c r="O158" s="51"/>
      <c r="P158" s="52" t="s">
        <v>410</v>
      </c>
      <c r="Q158" s="53" t="s">
        <v>366</v>
      </c>
    </row>
    <row r="159" spans="1:17" ht="34" hidden="1" x14ac:dyDescent="0.2">
      <c r="A159" s="20" t="s">
        <v>408</v>
      </c>
      <c r="B159" s="9" t="str">
        <f t="shared" si="8"/>
        <v>Rate of entry due to aging into HIV compartment  PLHIV not on ART, CD4&gt;200 and gender compartment Female, per year</v>
      </c>
      <c r="C159" s="8" t="s">
        <v>404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645</v>
      </c>
      <c r="L159" s="50">
        <f>VLOOKUP(J159,aging_in!$G$5:$H$37,2)</f>
        <v>1.0913307709685597E-4</v>
      </c>
      <c r="O159" s="51"/>
      <c r="P159" s="52" t="s">
        <v>410</v>
      </c>
      <c r="Q159" s="53" t="s">
        <v>366</v>
      </c>
    </row>
    <row r="160" spans="1:17" ht="48" x14ac:dyDescent="0.2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568</v>
      </c>
      <c r="L160" s="11">
        <v>3.3E-3</v>
      </c>
      <c r="O160" s="51"/>
      <c r="P160" s="52" t="s">
        <v>280</v>
      </c>
      <c r="Q160" s="53" t="s">
        <v>366</v>
      </c>
    </row>
    <row r="161" spans="1:17" ht="48" x14ac:dyDescent="0.2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569</v>
      </c>
      <c r="L161" s="11">
        <f>0.0019</f>
        <v>1.9E-3</v>
      </c>
      <c r="O161" s="51"/>
      <c r="P161" s="52" t="s">
        <v>281</v>
      </c>
      <c r="Q161" s="53" t="s">
        <v>366</v>
      </c>
    </row>
    <row r="162" spans="1:17" ht="51" x14ac:dyDescent="0.2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570</v>
      </c>
      <c r="L162" s="11">
        <f>L160*5</f>
        <v>1.6500000000000001E-2</v>
      </c>
      <c r="O162" s="51"/>
      <c r="P162" s="52" t="s">
        <v>274</v>
      </c>
      <c r="Q162" s="53" t="s">
        <v>366</v>
      </c>
    </row>
    <row r="163" spans="1:17" ht="51" x14ac:dyDescent="0.2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571</v>
      </c>
      <c r="L163" s="11">
        <f>L161*5</f>
        <v>9.4999999999999998E-3</v>
      </c>
      <c r="O163" s="51"/>
      <c r="P163" s="52" t="s">
        <v>274</v>
      </c>
      <c r="Q163" s="53" t="s">
        <v>366</v>
      </c>
    </row>
    <row r="164" spans="1:17" ht="51" x14ac:dyDescent="0.2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572</v>
      </c>
      <c r="L164" s="11">
        <f>L160*10</f>
        <v>3.3000000000000002E-2</v>
      </c>
      <c r="O164" s="51"/>
      <c r="P164" s="52" t="s">
        <v>276</v>
      </c>
      <c r="Q164" s="53" t="s">
        <v>366</v>
      </c>
    </row>
    <row r="165" spans="1:17" ht="51" x14ac:dyDescent="0.2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573</v>
      </c>
      <c r="L165" s="11">
        <f>L161*10</f>
        <v>1.9E-2</v>
      </c>
      <c r="O165" s="51"/>
      <c r="P165" s="52" t="s">
        <v>276</v>
      </c>
      <c r="Q165" s="53" t="s">
        <v>366</v>
      </c>
    </row>
    <row r="166" spans="1:17" ht="48" x14ac:dyDescent="0.2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574</v>
      </c>
      <c r="L166" s="11">
        <f>L160*1.2</f>
        <v>3.96E-3</v>
      </c>
      <c r="O166" s="51"/>
      <c r="P166" s="52" t="s">
        <v>275</v>
      </c>
      <c r="Q166" s="53" t="s">
        <v>366</v>
      </c>
    </row>
    <row r="167" spans="1:17" ht="48" x14ac:dyDescent="0.2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575</v>
      </c>
      <c r="L167" s="11">
        <f>L161*1.2</f>
        <v>2.2799999999999999E-3</v>
      </c>
      <c r="O167" s="51"/>
      <c r="P167" s="52" t="s">
        <v>275</v>
      </c>
      <c r="Q167" s="53" t="s">
        <v>366</v>
      </c>
    </row>
    <row r="168" spans="1:17" ht="48" x14ac:dyDescent="0.2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576</v>
      </c>
      <c r="L168" s="11">
        <f t="shared" ref="L168:L175" si="12">L160</f>
        <v>3.3E-3</v>
      </c>
      <c r="O168" s="51"/>
      <c r="P168" s="52" t="s">
        <v>273</v>
      </c>
      <c r="Q168" s="53" t="s">
        <v>366</v>
      </c>
    </row>
    <row r="169" spans="1:17" ht="48" x14ac:dyDescent="0.2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577</v>
      </c>
      <c r="L169" s="11">
        <f t="shared" si="12"/>
        <v>1.9E-3</v>
      </c>
      <c r="O169" s="51"/>
      <c r="P169" s="52" t="s">
        <v>273</v>
      </c>
      <c r="Q169" s="53" t="s">
        <v>366</v>
      </c>
    </row>
    <row r="170" spans="1:17" ht="51" x14ac:dyDescent="0.2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578</v>
      </c>
      <c r="L170" s="11">
        <f t="shared" si="12"/>
        <v>1.6500000000000001E-2</v>
      </c>
      <c r="O170" s="51"/>
      <c r="P170" s="52" t="s">
        <v>277</v>
      </c>
      <c r="Q170" s="53" t="s">
        <v>366</v>
      </c>
    </row>
    <row r="171" spans="1:17" ht="51" x14ac:dyDescent="0.2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579</v>
      </c>
      <c r="L171" s="11">
        <f t="shared" si="12"/>
        <v>9.4999999999999998E-3</v>
      </c>
      <c r="O171" s="51"/>
      <c r="P171" s="52" t="s">
        <v>277</v>
      </c>
      <c r="Q171" s="53" t="s">
        <v>366</v>
      </c>
    </row>
    <row r="172" spans="1:17" ht="51" x14ac:dyDescent="0.2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580</v>
      </c>
      <c r="L172" s="11">
        <f t="shared" si="12"/>
        <v>3.3000000000000002E-2</v>
      </c>
      <c r="O172" s="51"/>
      <c r="P172" s="52" t="s">
        <v>278</v>
      </c>
      <c r="Q172" s="53" t="s">
        <v>366</v>
      </c>
    </row>
    <row r="173" spans="1:17" ht="51" x14ac:dyDescent="0.2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581</v>
      </c>
      <c r="L173" s="11">
        <f t="shared" si="12"/>
        <v>1.9E-2</v>
      </c>
      <c r="O173" s="51"/>
      <c r="P173" s="52" t="s">
        <v>278</v>
      </c>
      <c r="Q173" s="53" t="s">
        <v>366</v>
      </c>
    </row>
    <row r="174" spans="1:17" ht="48" x14ac:dyDescent="0.2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582</v>
      </c>
      <c r="L174" s="11">
        <f t="shared" si="12"/>
        <v>3.96E-3</v>
      </c>
      <c r="O174" s="51"/>
      <c r="P174" s="52" t="s">
        <v>279</v>
      </c>
      <c r="Q174" s="53" t="s">
        <v>366</v>
      </c>
    </row>
    <row r="175" spans="1:17" ht="48" x14ac:dyDescent="0.2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583</v>
      </c>
      <c r="L175" s="11">
        <f t="shared" si="12"/>
        <v>2.2799999999999999E-3</v>
      </c>
      <c r="O175" s="51"/>
      <c r="P175" s="52" t="s">
        <v>279</v>
      </c>
      <c r="Q175" s="53" t="s">
        <v>366</v>
      </c>
    </row>
    <row r="176" spans="1:17" ht="51" x14ac:dyDescent="0.2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584</v>
      </c>
      <c r="L176" s="11">
        <f>L160</f>
        <v>3.3E-3</v>
      </c>
      <c r="O176" s="51"/>
      <c r="P176" s="52" t="s">
        <v>273</v>
      </c>
      <c r="Q176" s="53" t="s">
        <v>366</v>
      </c>
    </row>
    <row r="177" spans="1:17" ht="51" x14ac:dyDescent="0.2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585</v>
      </c>
      <c r="L177" s="11">
        <f t="shared" ref="L177:L183" si="13">L161</f>
        <v>1.9E-3</v>
      </c>
      <c r="O177" s="51"/>
      <c r="P177" s="52" t="s">
        <v>273</v>
      </c>
      <c r="Q177" s="53" t="s">
        <v>366</v>
      </c>
    </row>
    <row r="178" spans="1:17" ht="51" x14ac:dyDescent="0.2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586</v>
      </c>
      <c r="L178" s="11">
        <f t="shared" si="13"/>
        <v>1.6500000000000001E-2</v>
      </c>
      <c r="O178" s="51"/>
      <c r="P178" s="52" t="s">
        <v>277</v>
      </c>
      <c r="Q178" s="53" t="s">
        <v>366</v>
      </c>
    </row>
    <row r="179" spans="1:17" ht="51" x14ac:dyDescent="0.2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587</v>
      </c>
      <c r="L179" s="11">
        <f t="shared" si="13"/>
        <v>9.4999999999999998E-3</v>
      </c>
      <c r="O179" s="51"/>
      <c r="P179" s="52" t="s">
        <v>277</v>
      </c>
      <c r="Q179" s="53" t="s">
        <v>366</v>
      </c>
    </row>
    <row r="180" spans="1:17" ht="51" x14ac:dyDescent="0.2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588</v>
      </c>
      <c r="L180" s="11">
        <f t="shared" si="13"/>
        <v>3.3000000000000002E-2</v>
      </c>
      <c r="O180" s="51"/>
      <c r="P180" s="52" t="s">
        <v>278</v>
      </c>
      <c r="Q180" s="53" t="s">
        <v>366</v>
      </c>
    </row>
    <row r="181" spans="1:17" ht="51" x14ac:dyDescent="0.2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589</v>
      </c>
      <c r="L181" s="11">
        <f t="shared" si="13"/>
        <v>1.9E-2</v>
      </c>
      <c r="O181" s="51"/>
      <c r="P181" s="52" t="s">
        <v>278</v>
      </c>
      <c r="Q181" s="53" t="s">
        <v>366</v>
      </c>
    </row>
    <row r="182" spans="1:17" ht="51" x14ac:dyDescent="0.2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590</v>
      </c>
      <c r="L182" s="11">
        <f t="shared" si="13"/>
        <v>3.96E-3</v>
      </c>
      <c r="O182" s="51"/>
      <c r="P182" s="52" t="s">
        <v>279</v>
      </c>
      <c r="Q182" s="53" t="s">
        <v>366</v>
      </c>
    </row>
    <row r="183" spans="1:17" ht="51" x14ac:dyDescent="0.2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591</v>
      </c>
      <c r="L183" s="11">
        <f t="shared" si="13"/>
        <v>2.2799999999999999E-3</v>
      </c>
      <c r="O183" s="51"/>
      <c r="P183" s="52" t="s">
        <v>279</v>
      </c>
      <c r="Q183" s="53" t="s">
        <v>366</v>
      </c>
    </row>
    <row r="184" spans="1:17" ht="48" x14ac:dyDescent="0.2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592</v>
      </c>
      <c r="L184" s="11">
        <f t="shared" ref="L184:L191" si="14">L160</f>
        <v>3.3E-3</v>
      </c>
      <c r="O184" s="51"/>
      <c r="P184" s="52" t="s">
        <v>273</v>
      </c>
      <c r="Q184" s="53" t="s">
        <v>366</v>
      </c>
    </row>
    <row r="185" spans="1:17" ht="48" x14ac:dyDescent="0.2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593</v>
      </c>
      <c r="L185" s="11">
        <f t="shared" si="14"/>
        <v>1.9E-3</v>
      </c>
      <c r="O185" s="51"/>
      <c r="P185" s="52" t="s">
        <v>273</v>
      </c>
      <c r="Q185" s="53" t="s">
        <v>366</v>
      </c>
    </row>
    <row r="186" spans="1:17" ht="51" x14ac:dyDescent="0.2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594</v>
      </c>
      <c r="L186" s="11">
        <f t="shared" si="14"/>
        <v>1.6500000000000001E-2</v>
      </c>
      <c r="O186" s="51"/>
      <c r="P186" s="52" t="s">
        <v>277</v>
      </c>
      <c r="Q186" s="53" t="s">
        <v>366</v>
      </c>
    </row>
    <row r="187" spans="1:17" ht="51" x14ac:dyDescent="0.2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595</v>
      </c>
      <c r="L187" s="11">
        <f t="shared" si="14"/>
        <v>9.4999999999999998E-3</v>
      </c>
      <c r="O187" s="51"/>
      <c r="P187" s="52" t="s">
        <v>277</v>
      </c>
      <c r="Q187" s="53" t="s">
        <v>366</v>
      </c>
    </row>
    <row r="188" spans="1:17" ht="51" x14ac:dyDescent="0.2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596</v>
      </c>
      <c r="L188" s="11">
        <f t="shared" si="14"/>
        <v>3.3000000000000002E-2</v>
      </c>
      <c r="O188" s="51"/>
      <c r="P188" s="52" t="s">
        <v>278</v>
      </c>
      <c r="Q188" s="53" t="s">
        <v>366</v>
      </c>
    </row>
    <row r="189" spans="1:17" ht="51" x14ac:dyDescent="0.2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597</v>
      </c>
      <c r="L189" s="11">
        <f t="shared" si="14"/>
        <v>1.9E-2</v>
      </c>
      <c r="O189" s="51"/>
      <c r="P189" s="52" t="s">
        <v>278</v>
      </c>
      <c r="Q189" s="53" t="s">
        <v>366</v>
      </c>
    </row>
    <row r="190" spans="1:17" ht="51" x14ac:dyDescent="0.2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598</v>
      </c>
      <c r="L190" s="11">
        <f t="shared" si="14"/>
        <v>3.96E-3</v>
      </c>
      <c r="O190" s="51"/>
      <c r="P190" s="52" t="s">
        <v>279</v>
      </c>
      <c r="Q190" s="53" t="s">
        <v>366</v>
      </c>
    </row>
    <row r="191" spans="1:17" ht="51" x14ac:dyDescent="0.2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599</v>
      </c>
      <c r="L191" s="11">
        <f t="shared" si="14"/>
        <v>2.2799999999999999E-3</v>
      </c>
      <c r="O191" s="51"/>
      <c r="P191" s="52" t="s">
        <v>279</v>
      </c>
      <c r="Q191" s="53" t="s">
        <v>366</v>
      </c>
    </row>
    <row r="192" spans="1:17" ht="48" x14ac:dyDescent="0.2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600</v>
      </c>
      <c r="L192" s="11">
        <f t="shared" ref="L192:L199" si="16">L160</f>
        <v>3.3E-3</v>
      </c>
      <c r="O192" s="51"/>
      <c r="P192" s="52" t="s">
        <v>273</v>
      </c>
      <c r="Q192" s="53" t="s">
        <v>366</v>
      </c>
    </row>
    <row r="193" spans="1:17" ht="48" x14ac:dyDescent="0.2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601</v>
      </c>
      <c r="L193" s="11">
        <f t="shared" si="16"/>
        <v>1.9E-3</v>
      </c>
      <c r="O193" s="51"/>
      <c r="P193" s="52" t="s">
        <v>273</v>
      </c>
      <c r="Q193" s="53" t="s">
        <v>366</v>
      </c>
    </row>
    <row r="194" spans="1:17" ht="51" x14ac:dyDescent="0.2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602</v>
      </c>
      <c r="L194" s="11">
        <f t="shared" si="16"/>
        <v>1.6500000000000001E-2</v>
      </c>
      <c r="O194" s="51"/>
      <c r="P194" s="52" t="s">
        <v>277</v>
      </c>
      <c r="Q194" s="53" t="s">
        <v>366</v>
      </c>
    </row>
    <row r="195" spans="1:17" ht="51" x14ac:dyDescent="0.2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603</v>
      </c>
      <c r="L195" s="11">
        <f t="shared" si="16"/>
        <v>9.4999999999999998E-3</v>
      </c>
      <c r="O195" s="51"/>
      <c r="P195" s="52" t="s">
        <v>277</v>
      </c>
      <c r="Q195" s="53" t="s">
        <v>366</v>
      </c>
    </row>
    <row r="196" spans="1:17" ht="51" x14ac:dyDescent="0.2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604</v>
      </c>
      <c r="L196" s="11">
        <f t="shared" si="16"/>
        <v>3.3000000000000002E-2</v>
      </c>
      <c r="O196" s="51"/>
      <c r="P196" s="52" t="s">
        <v>278</v>
      </c>
      <c r="Q196" s="53" t="s">
        <v>366</v>
      </c>
    </row>
    <row r="197" spans="1:17" ht="51" x14ac:dyDescent="0.2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605</v>
      </c>
      <c r="L197" s="11">
        <f t="shared" si="16"/>
        <v>1.9E-2</v>
      </c>
      <c r="O197" s="51"/>
      <c r="P197" s="52" t="s">
        <v>278</v>
      </c>
      <c r="Q197" s="53" t="s">
        <v>366</v>
      </c>
    </row>
    <row r="198" spans="1:17" ht="48" x14ac:dyDescent="0.2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606</v>
      </c>
      <c r="L198" s="11">
        <f t="shared" si="16"/>
        <v>3.96E-3</v>
      </c>
      <c r="O198" s="51"/>
      <c r="P198" s="52" t="s">
        <v>279</v>
      </c>
      <c r="Q198" s="53" t="s">
        <v>366</v>
      </c>
    </row>
    <row r="199" spans="1:17" ht="48" x14ac:dyDescent="0.2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607</v>
      </c>
      <c r="L199" s="11">
        <f t="shared" si="16"/>
        <v>2.2799999999999999E-3</v>
      </c>
      <c r="O199" s="51"/>
      <c r="P199" s="52" t="s">
        <v>279</v>
      </c>
      <c r="Q199" s="53" t="s">
        <v>366</v>
      </c>
    </row>
    <row r="200" spans="1:17" ht="48" x14ac:dyDescent="0.2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608</v>
      </c>
      <c r="L200" s="11">
        <f>L160*20</f>
        <v>6.6000000000000003E-2</v>
      </c>
      <c r="O200" s="51"/>
      <c r="P200" s="52" t="s">
        <v>282</v>
      </c>
      <c r="Q200" s="53" t="s">
        <v>366</v>
      </c>
    </row>
    <row r="201" spans="1:17" ht="48" x14ac:dyDescent="0.2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609</v>
      </c>
      <c r="L201" s="11">
        <f>L161*20</f>
        <v>3.7999999999999999E-2</v>
      </c>
      <c r="O201" s="51"/>
      <c r="P201" s="52" t="s">
        <v>282</v>
      </c>
      <c r="Q201" s="53" t="s">
        <v>366</v>
      </c>
    </row>
    <row r="202" spans="1:17" ht="51" x14ac:dyDescent="0.2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610</v>
      </c>
      <c r="L202" s="11">
        <f>L160*50</f>
        <v>0.16500000000000001</v>
      </c>
      <c r="O202" s="51"/>
      <c r="P202" s="52" t="s">
        <v>283</v>
      </c>
      <c r="Q202" s="53" t="s">
        <v>366</v>
      </c>
    </row>
    <row r="203" spans="1:17" ht="51" x14ac:dyDescent="0.2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611</v>
      </c>
      <c r="L203" s="11">
        <f>L161*50</f>
        <v>9.5000000000000001E-2</v>
      </c>
      <c r="O203" s="51"/>
      <c r="P203" s="52" t="s">
        <v>283</v>
      </c>
      <c r="Q203" s="53" t="s">
        <v>366</v>
      </c>
    </row>
    <row r="204" spans="1:17" ht="51" x14ac:dyDescent="0.2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612</v>
      </c>
      <c r="L204" s="11">
        <f>L160*100</f>
        <v>0.33</v>
      </c>
      <c r="O204" s="51"/>
      <c r="P204" s="52" t="s">
        <v>283</v>
      </c>
      <c r="Q204" s="53" t="s">
        <v>366</v>
      </c>
    </row>
    <row r="205" spans="1:17" ht="51" x14ac:dyDescent="0.2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613</v>
      </c>
      <c r="L205" s="11">
        <f>L161*100</f>
        <v>0.19</v>
      </c>
      <c r="O205" s="51"/>
      <c r="P205" s="52" t="s">
        <v>283</v>
      </c>
      <c r="Q205" s="53" t="s">
        <v>366</v>
      </c>
    </row>
    <row r="206" spans="1:17" ht="48" x14ac:dyDescent="0.2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614</v>
      </c>
      <c r="L206" s="11">
        <f>L160*30</f>
        <v>9.9000000000000005E-2</v>
      </c>
      <c r="O206" s="51"/>
      <c r="P206" s="52" t="s">
        <v>283</v>
      </c>
      <c r="Q206" s="53" t="s">
        <v>366</v>
      </c>
    </row>
    <row r="207" spans="1:17" ht="48" x14ac:dyDescent="0.2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615</v>
      </c>
      <c r="L207" s="11">
        <f>L161*30</f>
        <v>5.7000000000000002E-2</v>
      </c>
      <c r="O207" s="51"/>
      <c r="P207" s="52" t="s">
        <v>283</v>
      </c>
      <c r="Q207" s="53" t="s">
        <v>366</v>
      </c>
    </row>
    <row r="208" spans="1:17" ht="48" x14ac:dyDescent="0.2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616</v>
      </c>
      <c r="L208" s="11">
        <f t="shared" ref="L208:L215" si="18">L160</f>
        <v>3.3E-3</v>
      </c>
      <c r="O208" s="51"/>
      <c r="P208" s="52" t="s">
        <v>273</v>
      </c>
      <c r="Q208" s="53" t="s">
        <v>366</v>
      </c>
    </row>
    <row r="209" spans="1:17" ht="48" x14ac:dyDescent="0.2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617</v>
      </c>
      <c r="L209" s="11">
        <f t="shared" si="18"/>
        <v>1.9E-3</v>
      </c>
      <c r="O209" s="51"/>
      <c r="P209" s="52" t="s">
        <v>273</v>
      </c>
      <c r="Q209" s="53" t="s">
        <v>366</v>
      </c>
    </row>
    <row r="210" spans="1:17" ht="51" x14ac:dyDescent="0.2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618</v>
      </c>
      <c r="L210" s="11">
        <f t="shared" si="18"/>
        <v>1.6500000000000001E-2</v>
      </c>
      <c r="O210" s="51"/>
      <c r="P210" s="52" t="s">
        <v>277</v>
      </c>
      <c r="Q210" s="53" t="s">
        <v>366</v>
      </c>
    </row>
    <row r="211" spans="1:17" ht="51" x14ac:dyDescent="0.2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619</v>
      </c>
      <c r="L211" s="11">
        <f t="shared" si="18"/>
        <v>9.4999999999999998E-3</v>
      </c>
      <c r="O211" s="51"/>
      <c r="P211" s="52" t="s">
        <v>277</v>
      </c>
      <c r="Q211" s="53" t="s">
        <v>366</v>
      </c>
    </row>
    <row r="212" spans="1:17" ht="51" x14ac:dyDescent="0.2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620</v>
      </c>
      <c r="L212" s="11">
        <f t="shared" si="18"/>
        <v>3.3000000000000002E-2</v>
      </c>
      <c r="O212" s="51"/>
      <c r="P212" s="52" t="s">
        <v>278</v>
      </c>
      <c r="Q212" s="53" t="s">
        <v>366</v>
      </c>
    </row>
    <row r="213" spans="1:17" ht="51" x14ac:dyDescent="0.2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621</v>
      </c>
      <c r="L213" s="11">
        <f t="shared" si="18"/>
        <v>1.9E-2</v>
      </c>
      <c r="O213" s="51"/>
      <c r="P213" s="52" t="s">
        <v>278</v>
      </c>
      <c r="Q213" s="53" t="s">
        <v>366</v>
      </c>
    </row>
    <row r="214" spans="1:17" ht="48" x14ac:dyDescent="0.2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622</v>
      </c>
      <c r="L214" s="11">
        <f t="shared" si="18"/>
        <v>3.96E-3</v>
      </c>
      <c r="O214" s="51"/>
      <c r="P214" s="52" t="s">
        <v>279</v>
      </c>
      <c r="Q214" s="53" t="s">
        <v>366</v>
      </c>
    </row>
    <row r="215" spans="1:17" ht="48" x14ac:dyDescent="0.2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623</v>
      </c>
      <c r="L215" s="11">
        <f t="shared" si="18"/>
        <v>2.2799999999999999E-3</v>
      </c>
      <c r="O215" s="51"/>
      <c r="P215" s="52" t="s">
        <v>279</v>
      </c>
      <c r="Q215" s="53" t="s">
        <v>366</v>
      </c>
    </row>
    <row r="216" spans="1:17" ht="48" x14ac:dyDescent="0.2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624</v>
      </c>
      <c r="L216" s="11">
        <f t="shared" ref="L216:L223" si="19">L160</f>
        <v>3.3E-3</v>
      </c>
      <c r="O216" s="51"/>
      <c r="P216" s="52" t="s">
        <v>273</v>
      </c>
      <c r="Q216" s="53" t="s">
        <v>366</v>
      </c>
    </row>
    <row r="217" spans="1:17" ht="48" x14ac:dyDescent="0.2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625</v>
      </c>
      <c r="L217" s="11">
        <f t="shared" si="19"/>
        <v>1.9E-3</v>
      </c>
      <c r="O217" s="51"/>
      <c r="P217" s="52" t="s">
        <v>273</v>
      </c>
      <c r="Q217" s="53" t="s">
        <v>366</v>
      </c>
    </row>
    <row r="218" spans="1:17" ht="51" x14ac:dyDescent="0.2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626</v>
      </c>
      <c r="L218" s="11">
        <f t="shared" si="19"/>
        <v>1.6500000000000001E-2</v>
      </c>
      <c r="O218" s="51"/>
      <c r="P218" s="52" t="s">
        <v>277</v>
      </c>
      <c r="Q218" s="53" t="s">
        <v>366</v>
      </c>
    </row>
    <row r="219" spans="1:17" ht="51" x14ac:dyDescent="0.2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627</v>
      </c>
      <c r="L219" s="11">
        <f t="shared" si="19"/>
        <v>9.4999999999999998E-3</v>
      </c>
      <c r="O219" s="51"/>
      <c r="P219" s="52" t="s">
        <v>277</v>
      </c>
      <c r="Q219" s="53" t="s">
        <v>366</v>
      </c>
    </row>
    <row r="220" spans="1:17" ht="51" x14ac:dyDescent="0.2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628</v>
      </c>
      <c r="L220" s="11">
        <f t="shared" si="19"/>
        <v>3.3000000000000002E-2</v>
      </c>
      <c r="O220" s="51"/>
      <c r="P220" s="52" t="s">
        <v>278</v>
      </c>
      <c r="Q220" s="53" t="s">
        <v>366</v>
      </c>
    </row>
    <row r="221" spans="1:17" ht="51" x14ac:dyDescent="0.2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629</v>
      </c>
      <c r="L221" s="11">
        <f t="shared" si="19"/>
        <v>1.9E-2</v>
      </c>
      <c r="O221" s="51"/>
      <c r="P221" s="52" t="s">
        <v>278</v>
      </c>
      <c r="Q221" s="53" t="s">
        <v>366</v>
      </c>
    </row>
    <row r="222" spans="1:17" ht="48" x14ac:dyDescent="0.2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630</v>
      </c>
      <c r="L222" s="11">
        <f t="shared" si="19"/>
        <v>3.96E-3</v>
      </c>
      <c r="O222" s="51"/>
      <c r="P222" s="52" t="s">
        <v>279</v>
      </c>
      <c r="Q222" s="53" t="s">
        <v>366</v>
      </c>
    </row>
    <row r="223" spans="1:17" ht="48" x14ac:dyDescent="0.2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631</v>
      </c>
      <c r="L223" s="11">
        <f t="shared" si="19"/>
        <v>2.2799999999999999E-3</v>
      </c>
      <c r="O223" s="51"/>
      <c r="P223" s="52" t="s">
        <v>279</v>
      </c>
      <c r="Q223" s="53" t="s">
        <v>366</v>
      </c>
    </row>
    <row r="224" spans="1:17" ht="48" hidden="1" x14ac:dyDescent="0.2">
      <c r="A224" s="11" t="s">
        <v>409</v>
      </c>
      <c r="C224" s="9" t="s">
        <v>411</v>
      </c>
      <c r="J224" s="9" t="s">
        <v>411</v>
      </c>
      <c r="K224" s="9" t="s">
        <v>411</v>
      </c>
      <c r="L224" s="11">
        <f>1/(60-15)</f>
        <v>2.2222222222222223E-2</v>
      </c>
      <c r="O224" s="51"/>
      <c r="P224" s="52" t="s">
        <v>637</v>
      </c>
      <c r="Q224" s="53" t="s">
        <v>366</v>
      </c>
    </row>
  </sheetData>
  <autoFilter ref="A1:Q224" xr:uid="{587A02F8-7B86-2049-B827-1E7992D326B7}">
    <filterColumn colId="10">
      <filters>
        <filter val="mu_1,1,1"/>
        <filter val="mu_1,1,2"/>
        <filter val="mu_1,2,1"/>
        <filter val="mu_1,2,2"/>
        <filter val="mu_1,3,1"/>
        <filter val="mu_1,3,2"/>
        <filter val="mu_1,4,1"/>
        <filter val="mu_1,4,2"/>
        <filter val="mu_2,1,1"/>
        <filter val="mu_2,1,2"/>
        <filter val="mu_2,2,1"/>
        <filter val="mu_2,2,2"/>
        <filter val="mu_2,3,1"/>
        <filter val="mu_2,3,2"/>
        <filter val="mu_2,4,1"/>
        <filter val="mu_2,4,2"/>
        <filter val="mu_3,1,1"/>
        <filter val="mu_3,1,2"/>
        <filter val="mu_3,2,1"/>
        <filter val="mu_3,2,2"/>
        <filter val="mu_3,3,1"/>
        <filter val="mu_3,3,2"/>
        <filter val="mu_3,4,1"/>
        <filter val="mu_3,4,2"/>
        <filter val="mu_4,1,1"/>
        <filter val="mu_4,1,2"/>
        <filter val="mu_4,2,1"/>
        <filter val="mu_4,2,2"/>
        <filter val="mu_4,3,1"/>
        <filter val="mu_4,3,2"/>
        <filter val="mu_4,4,1"/>
        <filter val="mu_4,4,2"/>
        <filter val="mu_5,1,1"/>
        <filter val="mu_5,1,2"/>
        <filter val="mu_5,2,1"/>
        <filter val="mu_5,2,2"/>
        <filter val="mu_5,3,1"/>
        <filter val="mu_5,3,2"/>
        <filter val="mu_5,4,1"/>
        <filter val="mu_5,4,2"/>
        <filter val="mu_6,1,1"/>
        <filter val="mu_6,1,2"/>
        <filter val="mu_6,2,1"/>
        <filter val="mu_6,2,2"/>
        <filter val="mu_6,3,1"/>
        <filter val="mu_6,3,2"/>
        <filter val="mu_6,4,1"/>
        <filter val="mu_6,4,2"/>
        <filter val="mu_7,1,1"/>
        <filter val="mu_7,1,2"/>
        <filter val="mu_7,2,1"/>
        <filter val="mu_7,2,2"/>
        <filter val="mu_7,3,1"/>
        <filter val="mu_7,3,2"/>
        <filter val="mu_7,4,1"/>
        <filter val="mu_7,4,2"/>
        <filter val="mu_8,1,1"/>
        <filter val="mu_8,1,2"/>
        <filter val="mu_8,2,1"/>
        <filter val="mu_8,2,2"/>
        <filter val="mu_8,3,1"/>
        <filter val="mu_8,3,2"/>
        <filter val="mu_8,4,1"/>
        <filter val="mu_8,4,2"/>
      </filters>
    </filterColumn>
  </autoFilter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tabSelected="1" zoomScale="150" workbookViewId="0">
      <pane xSplit="1" ySplit="1" topLeftCell="F10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310</v>
      </c>
      <c r="C1" s="2" t="s">
        <v>311</v>
      </c>
      <c r="D1" s="2" t="s">
        <v>312</v>
      </c>
      <c r="E1" s="2" t="s">
        <v>309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7" x14ac:dyDescent="0.2">
      <c r="A2" s="63" t="s">
        <v>636</v>
      </c>
      <c r="B2" s="18"/>
      <c r="C2" s="18"/>
      <c r="D2" s="18"/>
      <c r="E2" s="18"/>
      <c r="F2" s="1" t="s">
        <v>239</v>
      </c>
      <c r="G2" s="49">
        <v>100000</v>
      </c>
    </row>
    <row r="3" spans="1:12" ht="51" x14ac:dyDescent="0.2">
      <c r="A3" s="63" t="s">
        <v>648</v>
      </c>
      <c r="B3" s="18"/>
      <c r="C3" s="18"/>
      <c r="D3" s="18"/>
      <c r="E3" s="18"/>
      <c r="F3" s="1" t="s">
        <v>423</v>
      </c>
      <c r="G3" s="19">
        <v>0.9</v>
      </c>
      <c r="K3" s="52" t="s">
        <v>652</v>
      </c>
      <c r="L3" s="4" t="s">
        <v>654</v>
      </c>
    </row>
    <row r="4" spans="1:12" ht="51" x14ac:dyDescent="0.2">
      <c r="A4" s="63" t="s">
        <v>649</v>
      </c>
      <c r="B4" s="18"/>
      <c r="C4" s="18"/>
      <c r="D4" s="18"/>
      <c r="E4" s="18"/>
      <c r="F4" s="1" t="s">
        <v>424</v>
      </c>
      <c r="G4" s="19">
        <v>0.6</v>
      </c>
      <c r="K4" s="52" t="s">
        <v>652</v>
      </c>
    </row>
    <row r="5" spans="1:12" ht="51" x14ac:dyDescent="0.2">
      <c r="A5" s="63" t="s">
        <v>650</v>
      </c>
      <c r="B5" s="18"/>
      <c r="C5" s="18"/>
      <c r="D5" s="18"/>
      <c r="E5" s="18"/>
      <c r="F5" s="1" t="s">
        <v>425</v>
      </c>
      <c r="G5" s="19">
        <v>0.9</v>
      </c>
      <c r="K5" s="52" t="s">
        <v>652</v>
      </c>
    </row>
    <row r="6" spans="1:12" ht="42.75" customHeight="1" x14ac:dyDescent="0.2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 x14ac:dyDescent="0.2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7" x14ac:dyDescent="0.2">
      <c r="A8" s="18" t="s">
        <v>212</v>
      </c>
      <c r="B8" s="18"/>
      <c r="C8" s="18"/>
      <c r="D8" s="18"/>
      <c r="E8" s="18"/>
      <c r="F8" s="1" t="s">
        <v>213</v>
      </c>
      <c r="G8" s="70">
        <v>0.5</v>
      </c>
      <c r="L8" s="4" t="s">
        <v>667</v>
      </c>
    </row>
    <row r="9" spans="1:12" ht="17" x14ac:dyDescent="0.2">
      <c r="A9" s="24" t="s">
        <v>240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291</v>
      </c>
      <c r="B10" s="31"/>
      <c r="C10" s="31"/>
      <c r="D10" s="32">
        <v>3</v>
      </c>
      <c r="E10" s="31">
        <v>1</v>
      </c>
      <c r="F10" s="1" t="s">
        <v>315</v>
      </c>
      <c r="G10" s="1">
        <f>G11</f>
        <v>0.44999999999999996</v>
      </c>
    </row>
    <row r="11" spans="1:12" ht="34" x14ac:dyDescent="0.2">
      <c r="A11" s="31" t="s">
        <v>292</v>
      </c>
      <c r="B11" s="31"/>
      <c r="C11" s="31"/>
      <c r="D11" s="31">
        <v>3</v>
      </c>
      <c r="E11" s="31">
        <v>2</v>
      </c>
      <c r="F11" s="1" t="s">
        <v>315</v>
      </c>
      <c r="G11" s="1">
        <f>1-G15-G13</f>
        <v>0.44999999999999996</v>
      </c>
      <c r="K11" t="s">
        <v>290</v>
      </c>
    </row>
    <row r="12" spans="1:12" ht="34" x14ac:dyDescent="0.2">
      <c r="A12" s="31" t="s">
        <v>293</v>
      </c>
      <c r="B12" s="31"/>
      <c r="C12" s="31"/>
      <c r="D12" s="31">
        <v>2</v>
      </c>
      <c r="E12" s="31">
        <v>1</v>
      </c>
      <c r="F12" s="1" t="s">
        <v>315</v>
      </c>
      <c r="G12" s="1">
        <v>0.55000000000000004</v>
      </c>
    </row>
    <row r="13" spans="1:12" ht="34" x14ac:dyDescent="0.2">
      <c r="A13" s="31" t="s">
        <v>294</v>
      </c>
      <c r="B13" s="31"/>
      <c r="C13" s="31"/>
      <c r="D13" s="31">
        <v>2</v>
      </c>
      <c r="E13" s="31">
        <v>2</v>
      </c>
      <c r="F13" s="1" t="s">
        <v>315</v>
      </c>
      <c r="G13" s="1">
        <v>0.55000000000000004</v>
      </c>
      <c r="K13" t="s">
        <v>290</v>
      </c>
    </row>
    <row r="14" spans="1:12" ht="17" x14ac:dyDescent="0.2">
      <c r="A14" s="31" t="s">
        <v>295</v>
      </c>
      <c r="B14" s="31"/>
      <c r="C14" s="31"/>
      <c r="D14" s="31">
        <v>4</v>
      </c>
      <c r="E14" s="31">
        <v>1</v>
      </c>
      <c r="F14" s="1" t="s">
        <v>315</v>
      </c>
      <c r="G14" s="72">
        <v>0</v>
      </c>
    </row>
    <row r="15" spans="1:12" ht="34" x14ac:dyDescent="0.2">
      <c r="A15" s="31" t="s">
        <v>296</v>
      </c>
      <c r="B15" s="31"/>
      <c r="C15" s="31"/>
      <c r="D15" s="31">
        <v>4</v>
      </c>
      <c r="E15" s="31">
        <v>2</v>
      </c>
      <c r="F15" s="1" t="s">
        <v>315</v>
      </c>
      <c r="G15" s="72">
        <v>0</v>
      </c>
      <c r="K15" t="s">
        <v>289</v>
      </c>
      <c r="L15" s="4" t="s">
        <v>288</v>
      </c>
    </row>
    <row r="16" spans="1:12" ht="17" x14ac:dyDescent="0.2">
      <c r="A16" s="36" t="s">
        <v>320</v>
      </c>
      <c r="B16" s="31"/>
      <c r="C16" s="31"/>
      <c r="D16" s="31">
        <v>1</v>
      </c>
      <c r="E16" s="31">
        <v>1</v>
      </c>
      <c r="F16" s="1" t="s">
        <v>315</v>
      </c>
      <c r="G16" s="35">
        <v>0.7</v>
      </c>
    </row>
    <row r="17" spans="1:12" ht="17" x14ac:dyDescent="0.2">
      <c r="A17" s="32" t="s">
        <v>317</v>
      </c>
      <c r="B17" s="31"/>
      <c r="C17" s="31"/>
      <c r="D17" s="31"/>
      <c r="E17" s="31"/>
      <c r="F17" s="1" t="s">
        <v>315</v>
      </c>
      <c r="G17" s="35">
        <v>0.3</v>
      </c>
    </row>
    <row r="18" spans="1:12" ht="34" x14ac:dyDescent="0.2">
      <c r="A18" s="31" t="s">
        <v>297</v>
      </c>
      <c r="B18" s="32" t="s">
        <v>313</v>
      </c>
      <c r="C18" s="31"/>
      <c r="D18" s="31">
        <v>1</v>
      </c>
      <c r="E18" s="31">
        <v>1</v>
      </c>
      <c r="F18" s="1" t="s">
        <v>315</v>
      </c>
      <c r="G18" s="35">
        <v>0.5</v>
      </c>
      <c r="K18" t="s">
        <v>300</v>
      </c>
    </row>
    <row r="19" spans="1:12" ht="34" x14ac:dyDescent="0.2">
      <c r="A19" s="31" t="s">
        <v>298</v>
      </c>
      <c r="B19" s="32" t="s">
        <v>313</v>
      </c>
      <c r="C19" s="31"/>
      <c r="D19" s="31">
        <v>1</v>
      </c>
      <c r="E19" s="31">
        <v>2</v>
      </c>
      <c r="F19" s="1" t="s">
        <v>315</v>
      </c>
      <c r="G19" s="1">
        <v>0.5</v>
      </c>
      <c r="K19" t="s">
        <v>300</v>
      </c>
    </row>
    <row r="20" spans="1:12" ht="17" x14ac:dyDescent="0.2">
      <c r="A20" s="31" t="s">
        <v>303</v>
      </c>
      <c r="B20" s="32" t="s">
        <v>314</v>
      </c>
      <c r="C20" s="31"/>
      <c r="D20" s="31">
        <v>1</v>
      </c>
      <c r="E20" s="31">
        <v>1</v>
      </c>
      <c r="F20" s="1" t="s">
        <v>315</v>
      </c>
      <c r="G20" s="1">
        <f>G21</f>
        <v>0.49</v>
      </c>
    </row>
    <row r="21" spans="1:12" ht="17" x14ac:dyDescent="0.2">
      <c r="A21" s="31" t="s">
        <v>307</v>
      </c>
      <c r="B21" s="32" t="s">
        <v>314</v>
      </c>
      <c r="C21" s="31"/>
      <c r="D21" s="31">
        <v>1</v>
      </c>
      <c r="E21" s="31">
        <v>2</v>
      </c>
      <c r="F21" s="1" t="s">
        <v>315</v>
      </c>
      <c r="G21" s="1">
        <f>1-G18-G24</f>
        <v>0.49</v>
      </c>
    </row>
    <row r="22" spans="1:12" ht="34" x14ac:dyDescent="0.2">
      <c r="A22" s="67" t="s">
        <v>305</v>
      </c>
      <c r="B22" s="32" t="s">
        <v>314</v>
      </c>
      <c r="C22" s="31"/>
      <c r="D22" s="32" t="s">
        <v>316</v>
      </c>
      <c r="E22" s="31">
        <v>1</v>
      </c>
      <c r="F22" s="1" t="s">
        <v>315</v>
      </c>
      <c r="G22" s="1">
        <v>0.5</v>
      </c>
      <c r="K22" t="s">
        <v>304</v>
      </c>
    </row>
    <row r="23" spans="1:12" ht="34" x14ac:dyDescent="0.2">
      <c r="A23" s="67" t="s">
        <v>306</v>
      </c>
      <c r="B23" s="32" t="s">
        <v>314</v>
      </c>
      <c r="C23" s="31"/>
      <c r="D23" s="32" t="s">
        <v>316</v>
      </c>
      <c r="E23" s="31">
        <v>2</v>
      </c>
      <c r="F23" s="1" t="s">
        <v>315</v>
      </c>
      <c r="G23" s="1">
        <v>0.5</v>
      </c>
    </row>
    <row r="24" spans="1:12" ht="17" x14ac:dyDescent="0.2">
      <c r="A24" s="31" t="s">
        <v>299</v>
      </c>
      <c r="B24" s="31">
        <v>6</v>
      </c>
      <c r="C24" s="31"/>
      <c r="D24" s="31">
        <v>1</v>
      </c>
      <c r="E24" s="31">
        <v>1</v>
      </c>
      <c r="F24" s="1" t="s">
        <v>315</v>
      </c>
      <c r="G24" s="1">
        <v>0.01</v>
      </c>
    </row>
    <row r="25" spans="1:12" ht="17" x14ac:dyDescent="0.2">
      <c r="A25" s="31" t="s">
        <v>308</v>
      </c>
      <c r="B25" s="31">
        <v>6</v>
      </c>
      <c r="C25" s="31"/>
      <c r="D25" s="31">
        <v>1</v>
      </c>
      <c r="E25" s="31">
        <v>2</v>
      </c>
      <c r="F25" s="1" t="s">
        <v>315</v>
      </c>
      <c r="G25" s="1">
        <v>0.01</v>
      </c>
    </row>
    <row r="26" spans="1:12" ht="34" x14ac:dyDescent="0.2">
      <c r="A26" s="67" t="s">
        <v>301</v>
      </c>
      <c r="B26" s="31">
        <v>6</v>
      </c>
      <c r="C26" s="31"/>
      <c r="D26" s="32" t="s">
        <v>316</v>
      </c>
      <c r="E26" s="31">
        <v>1</v>
      </c>
      <c r="F26" s="1" t="s">
        <v>315</v>
      </c>
      <c r="G26" s="1">
        <v>0.6</v>
      </c>
    </row>
    <row r="27" spans="1:12" ht="34" x14ac:dyDescent="0.2">
      <c r="A27" s="67" t="s">
        <v>302</v>
      </c>
      <c r="B27" s="31">
        <v>6</v>
      </c>
      <c r="C27" s="31"/>
      <c r="D27" s="32" t="s">
        <v>316</v>
      </c>
      <c r="E27" s="31">
        <v>2</v>
      </c>
      <c r="F27" s="1" t="s">
        <v>315</v>
      </c>
      <c r="G27" s="1">
        <v>0.8</v>
      </c>
    </row>
    <row r="28" spans="1:12" ht="34" x14ac:dyDescent="0.2">
      <c r="A28" s="69" t="s">
        <v>664</v>
      </c>
      <c r="B28" s="31"/>
      <c r="C28" s="31"/>
      <c r="D28" s="32"/>
      <c r="E28" s="31"/>
      <c r="F28" s="1" t="s">
        <v>315</v>
      </c>
      <c r="G28" s="1">
        <f>1-G26</f>
        <v>0.4</v>
      </c>
    </row>
    <row r="29" spans="1:12" ht="34" x14ac:dyDescent="0.2">
      <c r="A29" s="69" t="s">
        <v>665</v>
      </c>
      <c r="B29" s="31"/>
      <c r="C29" s="31"/>
      <c r="D29" s="32"/>
      <c r="E29" s="31"/>
      <c r="F29" s="1" t="s">
        <v>315</v>
      </c>
      <c r="G29" s="1">
        <f>1-G27</f>
        <v>0.19999999999999996</v>
      </c>
    </row>
    <row r="30" spans="1:12" ht="17" x14ac:dyDescent="0.2">
      <c r="A30" s="66" t="s">
        <v>659</v>
      </c>
      <c r="B30" s="31"/>
      <c r="C30" s="31"/>
      <c r="D30" s="32"/>
      <c r="E30" s="31"/>
      <c r="F30" s="30" t="s">
        <v>315</v>
      </c>
      <c r="G30" s="70">
        <v>4.9000000000000002E-2</v>
      </c>
      <c r="K30" t="s">
        <v>670</v>
      </c>
      <c r="L30" s="4" t="s">
        <v>669</v>
      </c>
    </row>
    <row r="31" spans="1:12" ht="17" x14ac:dyDescent="0.2">
      <c r="A31" s="66" t="s">
        <v>660</v>
      </c>
      <c r="B31" s="31"/>
      <c r="C31" s="31"/>
      <c r="D31" s="32"/>
      <c r="E31" s="31"/>
      <c r="F31" s="30" t="s">
        <v>315</v>
      </c>
      <c r="G31" s="70">
        <v>0.95</v>
      </c>
    </row>
    <row r="32" spans="1:12" ht="17" x14ac:dyDescent="0.2">
      <c r="A32" s="66" t="s">
        <v>663</v>
      </c>
      <c r="B32" s="31"/>
      <c r="C32" s="31"/>
      <c r="D32" s="32"/>
      <c r="E32" s="31"/>
      <c r="F32" s="30" t="s">
        <v>315</v>
      </c>
      <c r="G32" s="70">
        <v>0.01</v>
      </c>
      <c r="L32" t="s">
        <v>668</v>
      </c>
    </row>
    <row r="33" spans="1:13" ht="17" x14ac:dyDescent="0.2">
      <c r="A33" s="66" t="s">
        <v>661</v>
      </c>
      <c r="B33" s="31"/>
      <c r="C33" s="31"/>
      <c r="D33" s="32"/>
      <c r="E33" s="31"/>
      <c r="F33" s="30" t="s">
        <v>315</v>
      </c>
      <c r="G33" s="70">
        <v>0.99</v>
      </c>
    </row>
    <row r="34" spans="1:13" ht="17" x14ac:dyDescent="0.2">
      <c r="A34" s="66" t="s">
        <v>662</v>
      </c>
      <c r="B34" s="31"/>
      <c r="C34" s="31"/>
      <c r="D34" s="32"/>
      <c r="E34" s="31"/>
      <c r="F34" s="30" t="s">
        <v>315</v>
      </c>
      <c r="G34" s="70">
        <v>0.01</v>
      </c>
    </row>
    <row r="35" spans="1:13" ht="34" x14ac:dyDescent="0.2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4" x14ac:dyDescent="0.2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4" x14ac:dyDescent="0.2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4" x14ac:dyDescent="0.2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51" x14ac:dyDescent="0.2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51" x14ac:dyDescent="0.2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51" x14ac:dyDescent="0.2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51" x14ac:dyDescent="0.2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4" x14ac:dyDescent="0.2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4" x14ac:dyDescent="0.2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4" x14ac:dyDescent="0.2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4" x14ac:dyDescent="0.2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4" x14ac:dyDescent="0.2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4" x14ac:dyDescent="0.2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51" x14ac:dyDescent="0.2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51" x14ac:dyDescent="0.2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4" x14ac:dyDescent="0.2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4" x14ac:dyDescent="0.2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4" x14ac:dyDescent="0.2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4" x14ac:dyDescent="0.2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4" x14ac:dyDescent="0.2">
      <c r="A56" s="68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06DF-E237-2443-A207-5C19A8ABA677}">
  <dimension ref="A1:B14"/>
  <sheetViews>
    <sheetView workbookViewId="0">
      <selection activeCell="E27" sqref="E27"/>
    </sheetView>
  </sheetViews>
  <sheetFormatPr baseColWidth="10" defaultRowHeight="15" x14ac:dyDescent="0.2"/>
  <cols>
    <col min="1" max="1" width="13.83203125" bestFit="1" customWidth="1"/>
    <col min="2" max="2" width="36.6640625" bestFit="1" customWidth="1"/>
  </cols>
  <sheetData>
    <row r="1" spans="1:2" x14ac:dyDescent="0.2">
      <c r="A1" s="41" t="s">
        <v>4</v>
      </c>
      <c r="B1" s="42">
        <v>6</v>
      </c>
    </row>
    <row r="3" spans="1:2" x14ac:dyDescent="0.2">
      <c r="A3" s="41" t="s">
        <v>671</v>
      </c>
      <c r="B3" t="s">
        <v>672</v>
      </c>
    </row>
    <row r="4" spans="1:2" x14ac:dyDescent="0.2">
      <c r="A4" s="42">
        <v>1</v>
      </c>
      <c r="B4" s="43">
        <v>500</v>
      </c>
    </row>
    <row r="5" spans="1:2" x14ac:dyDescent="0.2">
      <c r="A5" s="71">
        <v>1</v>
      </c>
      <c r="B5" s="43">
        <v>200</v>
      </c>
    </row>
    <row r="6" spans="1:2" x14ac:dyDescent="0.2">
      <c r="A6" s="71">
        <v>2</v>
      </c>
      <c r="B6" s="43">
        <v>165</v>
      </c>
    </row>
    <row r="7" spans="1:2" x14ac:dyDescent="0.2">
      <c r="A7" s="71">
        <v>3</v>
      </c>
      <c r="B7" s="43">
        <v>53.999999999999979</v>
      </c>
    </row>
    <row r="8" spans="1:2" x14ac:dyDescent="0.2">
      <c r="A8" s="71">
        <v>4</v>
      </c>
      <c r="B8" s="43">
        <v>81</v>
      </c>
    </row>
    <row r="9" spans="1:2" x14ac:dyDescent="0.2">
      <c r="A9" s="42">
        <v>2</v>
      </c>
      <c r="B9" s="43">
        <v>500</v>
      </c>
    </row>
    <row r="10" spans="1:2" x14ac:dyDescent="0.2">
      <c r="A10" s="71">
        <v>1</v>
      </c>
      <c r="B10" s="43">
        <v>99.999999999999972</v>
      </c>
    </row>
    <row r="11" spans="1:2" x14ac:dyDescent="0.2">
      <c r="A11" s="71">
        <v>2</v>
      </c>
      <c r="B11" s="43">
        <v>220.00000000000006</v>
      </c>
    </row>
    <row r="12" spans="1:2" x14ac:dyDescent="0.2">
      <c r="A12" s="71">
        <v>3</v>
      </c>
      <c r="B12" s="43">
        <v>71.999999999999972</v>
      </c>
    </row>
    <row r="13" spans="1:2" x14ac:dyDescent="0.2">
      <c r="A13" s="71">
        <v>4</v>
      </c>
      <c r="B13" s="43">
        <v>108</v>
      </c>
    </row>
    <row r="14" spans="1:2" x14ac:dyDescent="0.2">
      <c r="A14" s="42" t="s">
        <v>325</v>
      </c>
      <c r="B14" s="4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113" activePane="bottomLeft" state="frozen"/>
      <selection pane="bottomLeft" activeCell="N2" sqref="N2:N129"/>
    </sheetView>
  </sheetViews>
  <sheetFormatPr baseColWidth="10" defaultColWidth="10.6640625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51" x14ac:dyDescent="0.2">
      <c r="A1" s="58" t="s">
        <v>321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666</v>
      </c>
      <c r="I1" s="5" t="s">
        <v>284</v>
      </c>
      <c r="J1" s="5" t="s">
        <v>285</v>
      </c>
      <c r="K1" s="5" t="s">
        <v>286</v>
      </c>
      <c r="L1" s="5" t="s">
        <v>287</v>
      </c>
      <c r="M1" s="5" t="s">
        <v>413</v>
      </c>
      <c r="N1" s="59" t="s">
        <v>414</v>
      </c>
      <c r="O1" s="60" t="s">
        <v>11</v>
      </c>
      <c r="P1" s="61" t="s">
        <v>12</v>
      </c>
      <c r="Q1" s="61" t="s">
        <v>208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IF(C2=1,indirect_model_parameters!$G$33,indirect_model_parameters!$G$34)</f>
        <v>0.99</v>
      </c>
      <c r="I2" s="9">
        <f t="shared" ref="I2:I33" si="2">IF(D2=1,1,0)</f>
        <v>1</v>
      </c>
      <c r="J2" s="9">
        <f>IF(E2=1,indirect_model_parameters!$G$16,indirect_model_parameters!$G$17)*IF(E2=2,indirect_model_parameters!$G$10,IF(E2=3,indirect_model_parameters!$G$12,IF(E2=4,indirect_model_parameters!$G$14,1)))</f>
        <v>0.7</v>
      </c>
      <c r="L2" s="9">
        <f t="shared" ref="L2:L33" si="3">PRODUCT(H2:J2)</f>
        <v>0.69299999999999995</v>
      </c>
      <c r="M2" s="9">
        <f>(L2/SUM($L$2:$L$33))*indirect_model_parameters!$G$22</f>
        <v>0.17325000000000002</v>
      </c>
      <c r="N2" s="37">
        <f>M2*indirect_model_parameters!$G$9</f>
        <v>17325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IF(C3=1,indirect_model_parameters!$G$33,indirect_model_parameters!$G$34)</f>
        <v>0.99</v>
      </c>
      <c r="I3" s="9">
        <f t="shared" si="2"/>
        <v>0</v>
      </c>
      <c r="J3" s="9">
        <f>IF(E3=1,indirect_model_parameters!$G$16,indirect_model_parameters!$G$17)*IF(E3=2,indirect_model_parameters!$G$10,IF(E3=3,indirect_model_parameters!$G$12,IF(E3=4,indirect_model_parameters!$G$14,1)))</f>
        <v>0.7</v>
      </c>
      <c r="L3" s="9">
        <f t="shared" si="3"/>
        <v>0</v>
      </c>
      <c r="M3" s="9">
        <f>(L3/SUM($L$2:$L$33))*indirect_model_parameters!$G$22</f>
        <v>0</v>
      </c>
      <c r="N3" s="37">
        <f>M3*indirect_model_parameters!$G$9</f>
        <v>0</v>
      </c>
    </row>
    <row r="4" spans="1:17" ht="48" x14ac:dyDescent="0.2">
      <c r="A4" s="1" t="str">
        <f t="shared" si="0"/>
        <v>Population in TB compartment  Uninfected, not on IPT with  Multidrug-resistant (MDR-TB) in HIV compartment  PLHIV not on ART, CD4&gt;200 and Male</v>
      </c>
      <c r="B4" s="8" t="s">
        <v>239</v>
      </c>
      <c r="C4" s="8">
        <v>1</v>
      </c>
      <c r="D4" s="9">
        <v>2</v>
      </c>
      <c r="E4" s="9">
        <v>2</v>
      </c>
      <c r="F4" s="9">
        <v>1</v>
      </c>
      <c r="G4" s="39" t="str">
        <f t="shared" si="1"/>
        <v>N,1,2,2,1</v>
      </c>
      <c r="H4" s="9">
        <f>IF(C4=1,indirect_model_parameters!$G$33,indirect_model_parameters!$G$34)</f>
        <v>0.99</v>
      </c>
      <c r="I4" s="9">
        <f t="shared" si="2"/>
        <v>0</v>
      </c>
      <c r="J4" s="9">
        <f>IF(E4=1,indirect_model_parameters!$G$16,indirect_model_parameters!$G$17)*IF(E4=2,indirect_model_parameters!$G$10,IF(E4=3,indirect_model_parameters!$G$12,IF(E4=4,indirect_model_parameters!$G$14,1)))</f>
        <v>0.13499999999999998</v>
      </c>
      <c r="L4" s="9">
        <f t="shared" si="3"/>
        <v>0</v>
      </c>
      <c r="M4" s="9">
        <f>(L4/SUM($L$2:$L$33))*indirect_model_parameters!$G$22</f>
        <v>0</v>
      </c>
      <c r="N4" s="37">
        <f>M4*indirect_model_parameters!$G$9</f>
        <v>0</v>
      </c>
    </row>
    <row r="5" spans="1:17" ht="48" x14ac:dyDescent="0.2">
      <c r="A5" s="1" t="str">
        <f t="shared" si="0"/>
        <v>Population in TB compartment  Uninfected, not on IPT with Drug-susceptible (DS) in HIV compartment  PLHIV not on ART, CD4&gt;200 and Male</v>
      </c>
      <c r="B5" s="8" t="s">
        <v>239</v>
      </c>
      <c r="C5" s="8">
        <v>1</v>
      </c>
      <c r="D5" s="9">
        <v>1</v>
      </c>
      <c r="E5" s="9">
        <v>2</v>
      </c>
      <c r="F5" s="9">
        <v>1</v>
      </c>
      <c r="G5" s="39" t="str">
        <f t="shared" si="1"/>
        <v>N,1,1,2,1</v>
      </c>
      <c r="H5" s="9">
        <f>IF(C5=1,indirect_model_parameters!$G$33,indirect_model_parameters!$G$34)</f>
        <v>0.99</v>
      </c>
      <c r="I5" s="9">
        <f t="shared" si="2"/>
        <v>1</v>
      </c>
      <c r="J5" s="9">
        <f>IF(E5=1,indirect_model_parameters!$G$16,indirect_model_parameters!$G$17)*IF(E5=2,indirect_model_parameters!$G$10,IF(E5=3,indirect_model_parameters!$G$12,IF(E5=4,indirect_model_parameters!$G$14,1)))</f>
        <v>0.13499999999999998</v>
      </c>
      <c r="L5" s="9">
        <f t="shared" si="3"/>
        <v>0.13364999999999999</v>
      </c>
      <c r="M5" s="9">
        <f>(L5/SUM($L$2:$L$33))*indirect_model_parameters!$G$22</f>
        <v>3.3412500000000005E-2</v>
      </c>
      <c r="N5" s="37">
        <f>M5*indirect_model_parameters!$G$9</f>
        <v>3341.2500000000005</v>
      </c>
    </row>
    <row r="6" spans="1:17" ht="48" x14ac:dyDescent="0.2">
      <c r="A6" s="1" t="str">
        <f t="shared" si="0"/>
        <v>Population in TB compartment  Uninfected, not on IPT with  Multidrug-resistant (MDR-TB) in HIV compartment  PLHIV not on ART, CD4≤200 and Male</v>
      </c>
      <c r="B6" s="8" t="s">
        <v>239</v>
      </c>
      <c r="C6" s="8">
        <v>1</v>
      </c>
      <c r="D6" s="9">
        <v>2</v>
      </c>
      <c r="E6" s="9">
        <v>3</v>
      </c>
      <c r="F6" s="9">
        <v>1</v>
      </c>
      <c r="G6" s="39" t="str">
        <f t="shared" si="1"/>
        <v>N,1,2,3,1</v>
      </c>
      <c r="H6" s="9">
        <f>IF(C6=1,indirect_model_parameters!$G$33,indirect_model_parameters!$G$34)</f>
        <v>0.99</v>
      </c>
      <c r="I6" s="9">
        <f t="shared" si="2"/>
        <v>0</v>
      </c>
      <c r="J6" s="9">
        <f>IF(E6=1,indirect_model_parameters!$G$16,indirect_model_parameters!$G$17)*IF(E6=2,indirect_model_parameters!$G$10,IF(E6=3,indirect_model_parameters!$G$12,IF(E6=4,indirect_model_parameters!$G$14,1)))</f>
        <v>0.16500000000000001</v>
      </c>
      <c r="L6" s="9">
        <f t="shared" si="3"/>
        <v>0</v>
      </c>
      <c r="M6" s="9">
        <f>(L6/SUM($L$2:$L$33))*indirect_model_parameters!$G$22</f>
        <v>0</v>
      </c>
      <c r="N6" s="37">
        <f>M6*indirect_model_parameters!$G$9</f>
        <v>0</v>
      </c>
    </row>
    <row r="7" spans="1:17" ht="48" x14ac:dyDescent="0.2">
      <c r="A7" s="1" t="str">
        <f t="shared" si="0"/>
        <v>Population in TB compartment  Uninfected, not on IPT with Drug-susceptible (DS) in HIV compartment  PLHIV not on ART, CD4≤200 and Male</v>
      </c>
      <c r="B7" s="8" t="s">
        <v>239</v>
      </c>
      <c r="C7" s="8">
        <v>1</v>
      </c>
      <c r="D7" s="9">
        <v>1</v>
      </c>
      <c r="E7" s="9">
        <v>3</v>
      </c>
      <c r="F7" s="9">
        <v>1</v>
      </c>
      <c r="G7" s="39" t="str">
        <f t="shared" si="1"/>
        <v>N,1,1,3,1</v>
      </c>
      <c r="H7" s="9">
        <f>IF(C7=1,indirect_model_parameters!$G$33,indirect_model_parameters!$G$34)</f>
        <v>0.99</v>
      </c>
      <c r="I7" s="9">
        <f t="shared" si="2"/>
        <v>1</v>
      </c>
      <c r="J7" s="9">
        <f>IF(E7=1,indirect_model_parameters!$G$16,indirect_model_parameters!$G$17)*IF(E7=2,indirect_model_parameters!$G$10,IF(E7=3,indirect_model_parameters!$G$12,IF(E7=4,indirect_model_parameters!$G$14,1)))</f>
        <v>0.16500000000000001</v>
      </c>
      <c r="L7" s="9">
        <f t="shared" si="3"/>
        <v>0.16335</v>
      </c>
      <c r="M7" s="9">
        <f>(L7/SUM($L$2:$L$33))*indirect_model_parameters!$G$22</f>
        <v>4.0837500000000006E-2</v>
      </c>
      <c r="N7" s="37">
        <f>M7*indirect_model_parameters!$G$9</f>
        <v>4083.7500000000005</v>
      </c>
    </row>
    <row r="8" spans="1:17" ht="48" x14ac:dyDescent="0.2">
      <c r="A8" s="1" t="str">
        <f t="shared" si="0"/>
        <v>Population in TB compartment  Uninfected, not on IPT with  Multidrug-resistant (MDR-TB) in HIV compartment  PLHIV and on ART and Male</v>
      </c>
      <c r="B8" s="8" t="s">
        <v>239</v>
      </c>
      <c r="C8" s="8">
        <v>1</v>
      </c>
      <c r="D8" s="9">
        <v>2</v>
      </c>
      <c r="E8" s="9">
        <v>4</v>
      </c>
      <c r="F8" s="9">
        <v>1</v>
      </c>
      <c r="G8" s="39" t="str">
        <f t="shared" si="1"/>
        <v>N,1,2,4,1</v>
      </c>
      <c r="H8" s="9">
        <f>IF(C8=1,indirect_model_parameters!$G$33,indirect_model_parameters!$G$34)</f>
        <v>0.99</v>
      </c>
      <c r="I8" s="9">
        <f t="shared" si="2"/>
        <v>0</v>
      </c>
      <c r="J8" s="9">
        <f>IF(E8=1,indirect_model_parameters!$G$16,indirect_model_parameters!$G$17)*IF(E8=2,indirect_model_parameters!$G$10,IF(E8=3,indirect_model_parameters!$G$12,IF(E8=4,indirect_model_parameters!$G$14,1)))</f>
        <v>0</v>
      </c>
      <c r="L8" s="9">
        <f t="shared" si="3"/>
        <v>0</v>
      </c>
      <c r="M8" s="9">
        <f>(L8/SUM($L$2:$L$33))*indirect_model_parameters!$G$22</f>
        <v>0</v>
      </c>
      <c r="N8" s="37">
        <f>M8*indirect_model_parameters!$G$9</f>
        <v>0</v>
      </c>
    </row>
    <row r="9" spans="1:17" ht="32" x14ac:dyDescent="0.2">
      <c r="A9" s="1" t="str">
        <f t="shared" si="0"/>
        <v>Population in TB compartment  Uninfected, not on IPT with Drug-susceptible (DS) in HIV compartment  PLHIV and on ART and Male</v>
      </c>
      <c r="B9" s="8" t="s">
        <v>239</v>
      </c>
      <c r="C9" s="8">
        <v>1</v>
      </c>
      <c r="D9" s="9">
        <v>1</v>
      </c>
      <c r="E9" s="9">
        <v>4</v>
      </c>
      <c r="F9" s="9">
        <v>1</v>
      </c>
      <c r="G9" s="39" t="str">
        <f t="shared" si="1"/>
        <v>N,1,1,4,1</v>
      </c>
      <c r="H9" s="9">
        <f>IF(C9=1,indirect_model_parameters!$G$33,indirect_model_parameters!$G$34)</f>
        <v>0.99</v>
      </c>
      <c r="I9" s="9">
        <f t="shared" si="2"/>
        <v>1</v>
      </c>
      <c r="J9" s="9">
        <f>IF(E9=1,indirect_model_parameters!$G$16,indirect_model_parameters!$G$17)*IF(E9=2,indirect_model_parameters!$G$10,IF(E9=3,indirect_model_parameters!$G$12,IF(E9=4,indirect_model_parameters!$G$14,1)))</f>
        <v>0</v>
      </c>
      <c r="L9" s="9">
        <f t="shared" si="3"/>
        <v>0</v>
      </c>
      <c r="M9" s="9">
        <f>(L9/SUM($L$2:$L$33))*indirect_model_parameters!$G$22</f>
        <v>0</v>
      </c>
      <c r="N9" s="37">
        <f>M9*indirect_model_parameters!$G$9</f>
        <v>0</v>
      </c>
    </row>
    <row r="10" spans="1:17" ht="48" x14ac:dyDescent="0.2">
      <c r="A10" s="1" t="str">
        <f t="shared" si="0"/>
        <v>Population in TB compartment  Uninfected, not on IPT with  Multidrug-resistant (MDR-TB) in HIV compartment  HIV-negative and Female</v>
      </c>
      <c r="B10" s="8" t="s">
        <v>239</v>
      </c>
      <c r="C10" s="8">
        <v>1</v>
      </c>
      <c r="D10" s="9">
        <v>2</v>
      </c>
      <c r="E10" s="9">
        <v>1</v>
      </c>
      <c r="F10" s="9">
        <v>2</v>
      </c>
      <c r="G10" s="39" t="str">
        <f t="shared" si="1"/>
        <v>N,1,2,1,2</v>
      </c>
      <c r="H10" s="9">
        <f>IF(C10=1,indirect_model_parameters!$G$33,indirect_model_parameters!$G$34)</f>
        <v>0.99</v>
      </c>
      <c r="I10" s="9">
        <f t="shared" si="2"/>
        <v>0</v>
      </c>
      <c r="J10" s="9">
        <f>IF(E10=1,indirect_model_parameters!$G$16,indirect_model_parameters!$G$17)*IF(E10=2,indirect_model_parameters!$G$10,IF(E10=3,indirect_model_parameters!$G$12,IF(E10=4,indirect_model_parameters!$G$14,1)))</f>
        <v>0.7</v>
      </c>
      <c r="L10" s="9">
        <f t="shared" si="3"/>
        <v>0</v>
      </c>
      <c r="M10" s="9">
        <f>(L10/SUM($L$2:$L$33))*indirect_model_parameters!$G$22</f>
        <v>0</v>
      </c>
      <c r="N10" s="37">
        <f>M10*indirect_model_parameters!$G$9</f>
        <v>0</v>
      </c>
    </row>
    <row r="11" spans="1:17" ht="32" x14ac:dyDescent="0.2">
      <c r="A11" s="1" t="str">
        <f t="shared" si="0"/>
        <v>Population in TB compartment  Uninfected, not on IPT with Drug-susceptible (DS) in HIV compartment  HIV-negative and Female</v>
      </c>
      <c r="B11" s="8" t="s">
        <v>239</v>
      </c>
      <c r="C11" s="8">
        <v>1</v>
      </c>
      <c r="D11" s="9">
        <v>1</v>
      </c>
      <c r="E11" s="9">
        <v>1</v>
      </c>
      <c r="F11" s="9">
        <v>2</v>
      </c>
      <c r="G11" s="39" t="str">
        <f t="shared" si="1"/>
        <v>N,1,1,1,2</v>
      </c>
      <c r="H11" s="9">
        <f>IF(C11=1,indirect_model_parameters!$G$33,indirect_model_parameters!$G$34)</f>
        <v>0.99</v>
      </c>
      <c r="I11" s="9">
        <f t="shared" si="2"/>
        <v>1</v>
      </c>
      <c r="J11" s="9">
        <f>IF(E11=1,indirect_model_parameters!$G$16,indirect_model_parameters!$G$17)*IF(E11=2,indirect_model_parameters!$G$10,IF(E11=3,indirect_model_parameters!$G$12,IF(E11=4,indirect_model_parameters!$G$14,1)))</f>
        <v>0.7</v>
      </c>
      <c r="L11" s="9">
        <f t="shared" si="3"/>
        <v>0.69299999999999995</v>
      </c>
      <c r="M11" s="9">
        <f>(L11/SUM($L$2:$L$33))*indirect_model_parameters!$G$22</f>
        <v>0.17325000000000002</v>
      </c>
      <c r="N11" s="37">
        <f>M11*indirect_model_parameters!$G$9</f>
        <v>17325</v>
      </c>
    </row>
    <row r="12" spans="1:17" ht="48" x14ac:dyDescent="0.2">
      <c r="A12" s="1" t="str">
        <f t="shared" si="0"/>
        <v>Population in TB compartment  Uninfected, not on IPT with  Multidrug-resistant (MDR-TB) in HIV compartment  PLHIV not on ART, CD4&gt;200 and Female</v>
      </c>
      <c r="B12" s="8" t="s">
        <v>239</v>
      </c>
      <c r="C12" s="8">
        <v>1</v>
      </c>
      <c r="D12" s="9">
        <v>2</v>
      </c>
      <c r="E12" s="9">
        <v>2</v>
      </c>
      <c r="F12" s="9">
        <v>2</v>
      </c>
      <c r="G12" s="39" t="str">
        <f t="shared" si="1"/>
        <v>N,1,2,2,2</v>
      </c>
      <c r="H12" s="9">
        <f>IF(C12=1,indirect_model_parameters!$G$33,indirect_model_parameters!$G$34)</f>
        <v>0.99</v>
      </c>
      <c r="I12" s="9">
        <f t="shared" si="2"/>
        <v>0</v>
      </c>
      <c r="J12" s="9">
        <f>IF(E12=1,indirect_model_parameters!$G$16,indirect_model_parameters!$G$17)*IF(E12=2,indirect_model_parameters!$G$10,IF(E12=3,indirect_model_parameters!$G$12,IF(E12=4,indirect_model_parameters!$G$14,1)))</f>
        <v>0.13499999999999998</v>
      </c>
      <c r="L12" s="9">
        <f t="shared" si="3"/>
        <v>0</v>
      </c>
      <c r="M12" s="9">
        <f>(L12/SUM($L$2:$L$33))*indirect_model_parameters!$G$22</f>
        <v>0</v>
      </c>
      <c r="N12" s="37">
        <f>M12*indirect_model_parameters!$G$9</f>
        <v>0</v>
      </c>
    </row>
    <row r="13" spans="1:17" ht="48" x14ac:dyDescent="0.2">
      <c r="A13" s="1" t="str">
        <f t="shared" si="0"/>
        <v>Population in TB compartment  Uninfected, not on IPT with Drug-susceptible (DS) in HIV compartment  PLHIV not on ART, CD4&gt;200 and Female</v>
      </c>
      <c r="B13" s="8" t="s">
        <v>239</v>
      </c>
      <c r="C13" s="8">
        <v>1</v>
      </c>
      <c r="D13" s="9">
        <v>1</v>
      </c>
      <c r="E13" s="9">
        <v>2</v>
      </c>
      <c r="F13" s="9">
        <v>2</v>
      </c>
      <c r="G13" s="39" t="str">
        <f t="shared" si="1"/>
        <v>N,1,1,2,2</v>
      </c>
      <c r="H13" s="9">
        <f>IF(C13=1,indirect_model_parameters!$G$33,indirect_model_parameters!$G$34)</f>
        <v>0.99</v>
      </c>
      <c r="I13" s="9">
        <f t="shared" si="2"/>
        <v>1</v>
      </c>
      <c r="J13" s="9">
        <f>IF(E13=1,indirect_model_parameters!$G$16,indirect_model_parameters!$G$17)*IF(E13=2,indirect_model_parameters!$G$10,IF(E13=3,indirect_model_parameters!$G$12,IF(E13=4,indirect_model_parameters!$G$14,1)))</f>
        <v>0.13499999999999998</v>
      </c>
      <c r="L13" s="9">
        <f t="shared" si="3"/>
        <v>0.13364999999999999</v>
      </c>
      <c r="M13" s="9">
        <f>(L13/SUM($L$2:$L$33))*indirect_model_parameters!$G$22</f>
        <v>3.3412500000000005E-2</v>
      </c>
      <c r="N13" s="37">
        <f>M13*indirect_model_parameters!$G$9</f>
        <v>3341.2500000000005</v>
      </c>
    </row>
    <row r="14" spans="1:17" ht="48" x14ac:dyDescent="0.2">
      <c r="A14" s="1" t="str">
        <f t="shared" si="0"/>
        <v>Population in TB compartment  Uninfected, not on IPT with  Multidrug-resistant (MDR-TB) in HIV compartment  PLHIV not on ART, CD4≤200 and Female</v>
      </c>
      <c r="B14" s="8" t="s">
        <v>239</v>
      </c>
      <c r="C14" s="8">
        <v>1</v>
      </c>
      <c r="D14" s="9">
        <v>2</v>
      </c>
      <c r="E14" s="9">
        <v>3</v>
      </c>
      <c r="F14" s="9">
        <v>2</v>
      </c>
      <c r="G14" s="39" t="str">
        <f t="shared" si="1"/>
        <v>N,1,2,3,2</v>
      </c>
      <c r="H14" s="9">
        <f>IF(C14=1,indirect_model_parameters!$G$33,indirect_model_parameters!$G$34)</f>
        <v>0.99</v>
      </c>
      <c r="I14" s="9">
        <f t="shared" si="2"/>
        <v>0</v>
      </c>
      <c r="J14" s="9">
        <f>IF(E14=1,indirect_model_parameters!$G$16,indirect_model_parameters!$G$17)*IF(E14=2,indirect_model_parameters!$G$10,IF(E14=3,indirect_model_parameters!$G$12,IF(E14=4,indirect_model_parameters!$G$14,1)))</f>
        <v>0.16500000000000001</v>
      </c>
      <c r="L14" s="9">
        <f t="shared" si="3"/>
        <v>0</v>
      </c>
      <c r="M14" s="9">
        <f>(L14/SUM($L$2:$L$33))*indirect_model_parameters!$G$22</f>
        <v>0</v>
      </c>
      <c r="N14" s="37">
        <f>M14*indirect_model_parameters!$G$9</f>
        <v>0</v>
      </c>
    </row>
    <row r="15" spans="1:17" ht="48" x14ac:dyDescent="0.2">
      <c r="A15" s="1" t="str">
        <f t="shared" si="0"/>
        <v>Population in TB compartment  Uninfected, not on IPT with Drug-susceptible (DS) in HIV compartment  PLHIV not on ART, CD4≤200 and Female</v>
      </c>
      <c r="B15" s="8" t="s">
        <v>239</v>
      </c>
      <c r="C15" s="8">
        <v>1</v>
      </c>
      <c r="D15" s="9">
        <v>1</v>
      </c>
      <c r="E15" s="9">
        <v>3</v>
      </c>
      <c r="F15" s="9">
        <v>2</v>
      </c>
      <c r="G15" s="39" t="str">
        <f t="shared" si="1"/>
        <v>N,1,1,3,2</v>
      </c>
      <c r="H15" s="9">
        <f>IF(C15=1,indirect_model_parameters!$G$33,indirect_model_parameters!$G$34)</f>
        <v>0.99</v>
      </c>
      <c r="I15" s="9">
        <f t="shared" si="2"/>
        <v>1</v>
      </c>
      <c r="J15" s="9">
        <f>IF(E15=1,indirect_model_parameters!$G$16,indirect_model_parameters!$G$17)*IF(E15=2,indirect_model_parameters!$G$10,IF(E15=3,indirect_model_parameters!$G$12,IF(E15=4,indirect_model_parameters!$G$14,1)))</f>
        <v>0.16500000000000001</v>
      </c>
      <c r="L15" s="9">
        <f t="shared" si="3"/>
        <v>0.16335</v>
      </c>
      <c r="M15" s="9">
        <f>(L15/SUM($L$2:$L$33))*indirect_model_parameters!$G$22</f>
        <v>4.0837500000000006E-2</v>
      </c>
      <c r="N15" s="37">
        <f>M15*indirect_model_parameters!$G$9</f>
        <v>4083.7500000000005</v>
      </c>
    </row>
    <row r="16" spans="1:17" ht="48" x14ac:dyDescent="0.2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IF(C16=1,indirect_model_parameters!$G$33,indirect_model_parameters!$G$34)</f>
        <v>0.99</v>
      </c>
      <c r="I16" s="9">
        <f t="shared" si="2"/>
        <v>0</v>
      </c>
      <c r="J16" s="9">
        <f>IF(E16=1,indirect_model_parameters!$G$16,indirect_model_parameters!$G$17)*IF(E16=2,indirect_model_parameters!$G$10,IF(E16=3,indirect_model_parameters!$G$12,IF(E16=4,indirect_model_parameters!$G$14,1)))</f>
        <v>0</v>
      </c>
      <c r="L16" s="9">
        <f t="shared" si="3"/>
        <v>0</v>
      </c>
      <c r="M16" s="9">
        <f>(L16/SUM($L$2:$L$33))*indirect_model_parameters!$G$22</f>
        <v>0</v>
      </c>
      <c r="N16" s="37">
        <f>M16*indirect_model_parameters!$G$9</f>
        <v>0</v>
      </c>
    </row>
    <row r="17" spans="1:14" ht="48" x14ac:dyDescent="0.2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IF(C17=1,indirect_model_parameters!$G$33,indirect_model_parameters!$G$34)</f>
        <v>0.99</v>
      </c>
      <c r="I17" s="9">
        <f t="shared" si="2"/>
        <v>1</v>
      </c>
      <c r="J17" s="9">
        <f>IF(E17=1,indirect_model_parameters!$G$16,indirect_model_parameters!$G$17)*IF(E17=2,indirect_model_parameters!$G$10,IF(E17=3,indirect_model_parameters!$G$12,IF(E17=4,indirect_model_parameters!$G$14,1)))</f>
        <v>0</v>
      </c>
      <c r="L17" s="9">
        <f t="shared" si="3"/>
        <v>0</v>
      </c>
      <c r="M17" s="9">
        <f>(L17/SUM($L$2:$L$33))*indirect_model_parameters!$G$22</f>
        <v>0</v>
      </c>
      <c r="N17" s="37">
        <f>M17*indirect_model_parameters!$G$9</f>
        <v>0</v>
      </c>
    </row>
    <row r="18" spans="1:14" ht="32" x14ac:dyDescent="0.2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IF(C18=1,indirect_model_parameters!$G$33,indirect_model_parameters!$G$34)</f>
        <v>0.01</v>
      </c>
      <c r="I18" s="9">
        <f t="shared" si="2"/>
        <v>1</v>
      </c>
      <c r="J18" s="9">
        <f>IF(E18=1,indirect_model_parameters!$G$16,indirect_model_parameters!$G$17)*IF(E18=2,indirect_model_parameters!$G$10,IF(E18=3,indirect_model_parameters!$G$12,IF(E18=4,indirect_model_parameters!$G$14,1)))</f>
        <v>0.7</v>
      </c>
      <c r="L18" s="9">
        <f t="shared" si="3"/>
        <v>6.9999999999999993E-3</v>
      </c>
      <c r="M18" s="9">
        <f>(L18/SUM($L$2:$L$33))*indirect_model_parameters!$G$22</f>
        <v>1.7500000000000003E-3</v>
      </c>
      <c r="N18" s="37">
        <f>M18*indirect_model_parameters!$G$9</f>
        <v>175.00000000000003</v>
      </c>
    </row>
    <row r="19" spans="1:14" ht="48" x14ac:dyDescent="0.2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IF(C19=1,indirect_model_parameters!$G$33,indirect_model_parameters!$G$34)</f>
        <v>0.01</v>
      </c>
      <c r="I19" s="9">
        <f t="shared" si="2"/>
        <v>0</v>
      </c>
      <c r="J19" s="9">
        <f>IF(E19=1,indirect_model_parameters!$G$16,indirect_model_parameters!$G$17)*IF(E19=2,indirect_model_parameters!$G$10,IF(E19=3,indirect_model_parameters!$G$12,IF(E19=4,indirect_model_parameters!$G$14,1)))</f>
        <v>0.7</v>
      </c>
      <c r="L19" s="9">
        <f t="shared" si="3"/>
        <v>0</v>
      </c>
      <c r="M19" s="9">
        <f>(L19/SUM($L$2:$L$33))*indirect_model_parameters!$G$22</f>
        <v>0</v>
      </c>
      <c r="N19" s="37">
        <f>M19*indirect_model_parameters!$G$9</f>
        <v>0</v>
      </c>
    </row>
    <row r="20" spans="1:14" ht="48" x14ac:dyDescent="0.2">
      <c r="A20" s="1" t="str">
        <f t="shared" si="0"/>
        <v>Population in TB compartment  Uninfected, on IPT with Drug-susceptible (DS) in HIV compartment  PLHIV not on ART, CD4&gt;200 and Male</v>
      </c>
      <c r="B20" s="8" t="s">
        <v>239</v>
      </c>
      <c r="C20" s="8">
        <v>2</v>
      </c>
      <c r="D20" s="9">
        <v>1</v>
      </c>
      <c r="E20" s="9">
        <v>2</v>
      </c>
      <c r="F20" s="9">
        <v>1</v>
      </c>
      <c r="G20" s="39" t="str">
        <f t="shared" si="1"/>
        <v>N,2,1,2,1</v>
      </c>
      <c r="H20" s="9">
        <f>IF(C20=1,indirect_model_parameters!$G$33,indirect_model_parameters!$G$34)</f>
        <v>0.01</v>
      </c>
      <c r="I20" s="9">
        <f t="shared" si="2"/>
        <v>1</v>
      </c>
      <c r="J20" s="9">
        <f>IF(E20=1,indirect_model_parameters!$G$16,indirect_model_parameters!$G$17)*IF(E20=2,indirect_model_parameters!$G$10,IF(E20=3,indirect_model_parameters!$G$12,IF(E20=4,indirect_model_parameters!$G$14,1)))</f>
        <v>0.13499999999999998</v>
      </c>
      <c r="L20" s="9">
        <f t="shared" si="3"/>
        <v>1.3499999999999999E-3</v>
      </c>
      <c r="M20" s="9">
        <f>(L20/SUM($L$2:$L$33))*indirect_model_parameters!$G$22</f>
        <v>3.3750000000000002E-4</v>
      </c>
      <c r="N20" s="37">
        <f>M20*indirect_model_parameters!$G$9</f>
        <v>33.75</v>
      </c>
    </row>
    <row r="21" spans="1:14" ht="48" x14ac:dyDescent="0.2">
      <c r="A21" s="1" t="str">
        <f t="shared" si="0"/>
        <v>Population in TB compartment  Uninfected, on IPT with  Multidrug-resistant (MDR-TB) in HIV compartment  PLHIV not on ART, CD4&gt;200 and Male</v>
      </c>
      <c r="B21" s="8" t="s">
        <v>239</v>
      </c>
      <c r="C21" s="8">
        <v>2</v>
      </c>
      <c r="D21" s="9">
        <v>2</v>
      </c>
      <c r="E21" s="9">
        <v>2</v>
      </c>
      <c r="F21" s="9">
        <v>1</v>
      </c>
      <c r="G21" s="39" t="str">
        <f t="shared" si="1"/>
        <v>N,2,2,2,1</v>
      </c>
      <c r="H21" s="9">
        <f>IF(C21=1,indirect_model_parameters!$G$33,indirect_model_parameters!$G$34)</f>
        <v>0.01</v>
      </c>
      <c r="I21" s="9">
        <f t="shared" si="2"/>
        <v>0</v>
      </c>
      <c r="J21" s="9">
        <f>IF(E21=1,indirect_model_parameters!$G$16,indirect_model_parameters!$G$17)*IF(E21=2,indirect_model_parameters!$G$10,IF(E21=3,indirect_model_parameters!$G$12,IF(E21=4,indirect_model_parameters!$G$14,1)))</f>
        <v>0.13499999999999998</v>
      </c>
      <c r="L21" s="9">
        <f t="shared" si="3"/>
        <v>0</v>
      </c>
      <c r="M21" s="9">
        <f>(L21/SUM($L$2:$L$33))*indirect_model_parameters!$G$22</f>
        <v>0</v>
      </c>
      <c r="N21" s="37">
        <f>M21*indirect_model_parameters!$G$9</f>
        <v>0</v>
      </c>
    </row>
    <row r="22" spans="1:14" ht="48" x14ac:dyDescent="0.2">
      <c r="A22" s="1" t="str">
        <f t="shared" si="0"/>
        <v>Population in TB compartment  Uninfected, on IPT with Drug-susceptible (DS) in HIV compartment  PLHIV not on ART, CD4≤200 and Male</v>
      </c>
      <c r="B22" s="8" t="s">
        <v>239</v>
      </c>
      <c r="C22" s="8">
        <v>2</v>
      </c>
      <c r="D22" s="9">
        <v>1</v>
      </c>
      <c r="E22" s="9">
        <v>3</v>
      </c>
      <c r="F22" s="9">
        <v>1</v>
      </c>
      <c r="G22" s="39" t="str">
        <f t="shared" si="1"/>
        <v>N,2,1,3,1</v>
      </c>
      <c r="H22" s="9">
        <f>IF(C22=1,indirect_model_parameters!$G$33,indirect_model_parameters!$G$34)</f>
        <v>0.01</v>
      </c>
      <c r="I22" s="9">
        <f t="shared" si="2"/>
        <v>1</v>
      </c>
      <c r="J22" s="9">
        <f>IF(E22=1,indirect_model_parameters!$G$16,indirect_model_parameters!$G$17)*IF(E22=2,indirect_model_parameters!$G$10,IF(E22=3,indirect_model_parameters!$G$12,IF(E22=4,indirect_model_parameters!$G$14,1)))</f>
        <v>0.16500000000000001</v>
      </c>
      <c r="L22" s="9">
        <f t="shared" si="3"/>
        <v>1.6500000000000002E-3</v>
      </c>
      <c r="M22" s="9">
        <f>(L22/SUM($L$2:$L$33))*indirect_model_parameters!$G$22</f>
        <v>4.1250000000000016E-4</v>
      </c>
      <c r="N22" s="37">
        <f>M22*indirect_model_parameters!$G$9</f>
        <v>41.250000000000014</v>
      </c>
    </row>
    <row r="23" spans="1:14" ht="48" x14ac:dyDescent="0.2">
      <c r="A23" s="1" t="str">
        <f t="shared" si="0"/>
        <v>Population in TB compartment  Uninfected, on IPT with  Multidrug-resistant (MDR-TB) in HIV compartment  PLHIV not on ART, CD4≤200 and Male</v>
      </c>
      <c r="B23" s="8" t="s">
        <v>239</v>
      </c>
      <c r="C23" s="8">
        <v>2</v>
      </c>
      <c r="D23" s="9">
        <v>2</v>
      </c>
      <c r="E23" s="9">
        <v>3</v>
      </c>
      <c r="F23" s="9">
        <v>1</v>
      </c>
      <c r="G23" s="39" t="str">
        <f t="shared" si="1"/>
        <v>N,2,2,3,1</v>
      </c>
      <c r="H23" s="9">
        <f>IF(C23=1,indirect_model_parameters!$G$33,indirect_model_parameters!$G$34)</f>
        <v>0.01</v>
      </c>
      <c r="I23" s="9">
        <f t="shared" si="2"/>
        <v>0</v>
      </c>
      <c r="J23" s="9">
        <f>IF(E23=1,indirect_model_parameters!$G$16,indirect_model_parameters!$G$17)*IF(E23=2,indirect_model_parameters!$G$10,IF(E23=3,indirect_model_parameters!$G$12,IF(E23=4,indirect_model_parameters!$G$14,1)))</f>
        <v>0.16500000000000001</v>
      </c>
      <c r="L23" s="9">
        <f t="shared" si="3"/>
        <v>0</v>
      </c>
      <c r="M23" s="9">
        <f>(L23/SUM($L$2:$L$33))*indirect_model_parameters!$G$22</f>
        <v>0</v>
      </c>
      <c r="N23" s="37">
        <f>M23*indirect_model_parameters!$G$9</f>
        <v>0</v>
      </c>
    </row>
    <row r="24" spans="1:14" ht="32" x14ac:dyDescent="0.2">
      <c r="A24" s="1" t="str">
        <f t="shared" si="0"/>
        <v>Population in TB compartment  Uninfected, on IPT with Drug-susceptible (DS) in HIV compartment  PLHIV and on ART and Male</v>
      </c>
      <c r="B24" s="8" t="s">
        <v>239</v>
      </c>
      <c r="C24" s="8">
        <v>2</v>
      </c>
      <c r="D24" s="9">
        <v>1</v>
      </c>
      <c r="E24" s="9">
        <v>4</v>
      </c>
      <c r="F24" s="9">
        <v>1</v>
      </c>
      <c r="G24" s="39" t="str">
        <f t="shared" si="1"/>
        <v>N,2,1,4,1</v>
      </c>
      <c r="H24" s="9">
        <f>IF(C24=1,indirect_model_parameters!$G$33,indirect_model_parameters!$G$34)</f>
        <v>0.01</v>
      </c>
      <c r="I24" s="9">
        <f t="shared" si="2"/>
        <v>1</v>
      </c>
      <c r="J24" s="9">
        <f>IF(E24=1,indirect_model_parameters!$G$16,indirect_model_parameters!$G$17)*IF(E24=2,indirect_model_parameters!$G$10,IF(E24=3,indirect_model_parameters!$G$12,IF(E24=4,indirect_model_parameters!$G$14,1)))</f>
        <v>0</v>
      </c>
      <c r="L24" s="9">
        <f t="shared" si="3"/>
        <v>0</v>
      </c>
      <c r="M24" s="9">
        <f>(L24/SUM($L$2:$L$33))*indirect_model_parameters!$G$22</f>
        <v>0</v>
      </c>
      <c r="N24" s="37">
        <f>M24*indirect_model_parameters!$G$9</f>
        <v>0</v>
      </c>
    </row>
    <row r="25" spans="1:14" ht="48" x14ac:dyDescent="0.2">
      <c r="A25" s="1" t="str">
        <f t="shared" si="0"/>
        <v>Population in TB compartment  Uninfected, on IPT with  Multidrug-resistant (MDR-TB) in HIV compartment  PLHIV and on ART and Male</v>
      </c>
      <c r="B25" s="8" t="s">
        <v>239</v>
      </c>
      <c r="C25" s="8">
        <v>2</v>
      </c>
      <c r="D25" s="9">
        <v>2</v>
      </c>
      <c r="E25" s="9">
        <v>4</v>
      </c>
      <c r="F25" s="9">
        <v>1</v>
      </c>
      <c r="G25" s="39" t="str">
        <f t="shared" si="1"/>
        <v>N,2,2,4,1</v>
      </c>
      <c r="H25" s="9">
        <f>IF(C25=1,indirect_model_parameters!$G$33,indirect_model_parameters!$G$34)</f>
        <v>0.01</v>
      </c>
      <c r="I25" s="9">
        <f t="shared" si="2"/>
        <v>0</v>
      </c>
      <c r="J25" s="9">
        <f>IF(E25=1,indirect_model_parameters!$G$16,indirect_model_parameters!$G$17)*IF(E25=2,indirect_model_parameters!$G$10,IF(E25=3,indirect_model_parameters!$G$12,IF(E25=4,indirect_model_parameters!$G$14,1)))</f>
        <v>0</v>
      </c>
      <c r="L25" s="9">
        <f t="shared" si="3"/>
        <v>0</v>
      </c>
      <c r="M25" s="9">
        <f>(L25/SUM($L$2:$L$33))*indirect_model_parameters!$G$22</f>
        <v>0</v>
      </c>
      <c r="N25" s="37">
        <f>M25*indirect_model_parameters!$G$9</f>
        <v>0</v>
      </c>
    </row>
    <row r="26" spans="1:14" ht="32" x14ac:dyDescent="0.2">
      <c r="A26" s="1" t="str">
        <f t="shared" si="0"/>
        <v>Population in TB compartment  Uninfected, on IPT with Drug-susceptible (DS) in HIV compartment  HIV-negative and Female</v>
      </c>
      <c r="B26" s="8" t="s">
        <v>239</v>
      </c>
      <c r="C26" s="8">
        <v>2</v>
      </c>
      <c r="D26" s="9">
        <v>1</v>
      </c>
      <c r="E26" s="9">
        <v>1</v>
      </c>
      <c r="F26" s="9">
        <v>2</v>
      </c>
      <c r="G26" s="39" t="str">
        <f t="shared" si="1"/>
        <v>N,2,1,1,2</v>
      </c>
      <c r="H26" s="9">
        <f>IF(C26=1,indirect_model_parameters!$G$33,indirect_model_parameters!$G$34)</f>
        <v>0.01</v>
      </c>
      <c r="I26" s="9">
        <f t="shared" si="2"/>
        <v>1</v>
      </c>
      <c r="J26" s="9">
        <f>IF(E26=1,indirect_model_parameters!$G$16,indirect_model_parameters!$G$17)*IF(E26=2,indirect_model_parameters!$G$10,IF(E26=3,indirect_model_parameters!$G$12,IF(E26=4,indirect_model_parameters!$G$14,1)))</f>
        <v>0.7</v>
      </c>
      <c r="L26" s="9">
        <f t="shared" si="3"/>
        <v>6.9999999999999993E-3</v>
      </c>
      <c r="M26" s="9">
        <f>(L26/SUM($L$2:$L$33))*indirect_model_parameters!$G$22</f>
        <v>1.7500000000000003E-3</v>
      </c>
      <c r="N26" s="37">
        <f>M26*indirect_model_parameters!$G$9</f>
        <v>175.00000000000003</v>
      </c>
    </row>
    <row r="27" spans="1:14" ht="48" x14ac:dyDescent="0.2">
      <c r="A27" s="1" t="str">
        <f t="shared" si="0"/>
        <v>Population in TB compartment  Uninfected, on IPT with  Multidrug-resistant (MDR-TB) in HIV compartment  HIV-negative and Female</v>
      </c>
      <c r="B27" s="8" t="s">
        <v>239</v>
      </c>
      <c r="C27" s="8">
        <v>2</v>
      </c>
      <c r="D27" s="9">
        <v>2</v>
      </c>
      <c r="E27" s="9">
        <v>1</v>
      </c>
      <c r="F27" s="9">
        <v>2</v>
      </c>
      <c r="G27" s="39" t="str">
        <f t="shared" si="1"/>
        <v>N,2,2,1,2</v>
      </c>
      <c r="H27" s="9">
        <f>IF(C27=1,indirect_model_parameters!$G$33,indirect_model_parameters!$G$34)</f>
        <v>0.01</v>
      </c>
      <c r="I27" s="9">
        <f t="shared" si="2"/>
        <v>0</v>
      </c>
      <c r="J27" s="9">
        <f>IF(E27=1,indirect_model_parameters!$G$16,indirect_model_parameters!$G$17)*IF(E27=2,indirect_model_parameters!$G$10,IF(E27=3,indirect_model_parameters!$G$12,IF(E27=4,indirect_model_parameters!$G$14,1)))</f>
        <v>0.7</v>
      </c>
      <c r="L27" s="9">
        <f t="shared" si="3"/>
        <v>0</v>
      </c>
      <c r="M27" s="9">
        <f>(L27/SUM($L$2:$L$33))*indirect_model_parameters!$G$22</f>
        <v>0</v>
      </c>
      <c r="N27" s="37">
        <f>M27*indirect_model_parameters!$G$9</f>
        <v>0</v>
      </c>
    </row>
    <row r="28" spans="1:14" ht="48" x14ac:dyDescent="0.2">
      <c r="A28" s="1" t="str">
        <f t="shared" si="0"/>
        <v>Population in TB compartment  Uninfected, on IPT with Drug-susceptible (DS) in HIV compartment  PLHIV not on ART, CD4&gt;200 and Female</v>
      </c>
      <c r="B28" s="8" t="s">
        <v>239</v>
      </c>
      <c r="C28" s="8">
        <v>2</v>
      </c>
      <c r="D28" s="9">
        <v>1</v>
      </c>
      <c r="E28" s="9">
        <v>2</v>
      </c>
      <c r="F28" s="9">
        <v>2</v>
      </c>
      <c r="G28" s="39" t="str">
        <f t="shared" si="1"/>
        <v>N,2,1,2,2</v>
      </c>
      <c r="H28" s="9">
        <f>IF(C28=1,indirect_model_parameters!$G$33,indirect_model_parameters!$G$34)</f>
        <v>0.01</v>
      </c>
      <c r="I28" s="9">
        <f t="shared" si="2"/>
        <v>1</v>
      </c>
      <c r="J28" s="9">
        <f>IF(E28=1,indirect_model_parameters!$G$16,indirect_model_parameters!$G$17)*IF(E28=2,indirect_model_parameters!$G$10,IF(E28=3,indirect_model_parameters!$G$12,IF(E28=4,indirect_model_parameters!$G$14,1)))</f>
        <v>0.13499999999999998</v>
      </c>
      <c r="L28" s="9">
        <f t="shared" si="3"/>
        <v>1.3499999999999999E-3</v>
      </c>
      <c r="M28" s="9">
        <f>(L28/SUM($L$2:$L$33))*indirect_model_parameters!$G$22</f>
        <v>3.3750000000000002E-4</v>
      </c>
      <c r="N28" s="37">
        <f>M28*indirect_model_parameters!$G$9</f>
        <v>33.75</v>
      </c>
    </row>
    <row r="29" spans="1:14" ht="48" x14ac:dyDescent="0.2">
      <c r="A29" s="1" t="str">
        <f t="shared" si="0"/>
        <v>Population in TB compartment  Uninfected, on IPT with  Multidrug-resistant (MDR-TB) in HIV compartment  PLHIV not on ART, CD4&gt;200 and Female</v>
      </c>
      <c r="B29" s="8" t="s">
        <v>239</v>
      </c>
      <c r="C29" s="8">
        <v>2</v>
      </c>
      <c r="D29" s="9">
        <v>2</v>
      </c>
      <c r="E29" s="9">
        <v>2</v>
      </c>
      <c r="F29" s="9">
        <v>2</v>
      </c>
      <c r="G29" s="39" t="str">
        <f t="shared" si="1"/>
        <v>N,2,2,2,2</v>
      </c>
      <c r="H29" s="9">
        <f>IF(C29=1,indirect_model_parameters!$G$33,indirect_model_parameters!$G$34)</f>
        <v>0.01</v>
      </c>
      <c r="I29" s="9">
        <f t="shared" si="2"/>
        <v>0</v>
      </c>
      <c r="J29" s="9">
        <f>IF(E29=1,indirect_model_parameters!$G$16,indirect_model_parameters!$G$17)*IF(E29=2,indirect_model_parameters!$G$10,IF(E29=3,indirect_model_parameters!$G$12,IF(E29=4,indirect_model_parameters!$G$14,1)))</f>
        <v>0.13499999999999998</v>
      </c>
      <c r="L29" s="9">
        <f t="shared" si="3"/>
        <v>0</v>
      </c>
      <c r="M29" s="9">
        <f>(L29/SUM($L$2:$L$33))*indirect_model_parameters!$G$22</f>
        <v>0</v>
      </c>
      <c r="N29" s="37">
        <f>M29*indirect_model_parameters!$G$9</f>
        <v>0</v>
      </c>
    </row>
    <row r="30" spans="1:14" ht="48" x14ac:dyDescent="0.2">
      <c r="A30" s="1" t="str">
        <f t="shared" si="0"/>
        <v>Population in TB compartment  Uninfected, on IPT with Drug-susceptible (DS) in HIV compartment  PLHIV not on ART, CD4≤200 and Female</v>
      </c>
      <c r="B30" s="8" t="s">
        <v>239</v>
      </c>
      <c r="C30" s="8">
        <v>2</v>
      </c>
      <c r="D30" s="9">
        <v>1</v>
      </c>
      <c r="E30" s="9">
        <v>3</v>
      </c>
      <c r="F30" s="9">
        <v>2</v>
      </c>
      <c r="G30" s="39" t="str">
        <f t="shared" si="1"/>
        <v>N,2,1,3,2</v>
      </c>
      <c r="H30" s="9">
        <f>IF(C30=1,indirect_model_parameters!$G$33,indirect_model_parameters!$G$34)</f>
        <v>0.01</v>
      </c>
      <c r="I30" s="9">
        <f t="shared" si="2"/>
        <v>1</v>
      </c>
      <c r="J30" s="9">
        <f>IF(E30=1,indirect_model_parameters!$G$16,indirect_model_parameters!$G$17)*IF(E30=2,indirect_model_parameters!$G$10,IF(E30=3,indirect_model_parameters!$G$12,IF(E30=4,indirect_model_parameters!$G$14,1)))</f>
        <v>0.16500000000000001</v>
      </c>
      <c r="L30" s="9">
        <f t="shared" si="3"/>
        <v>1.6500000000000002E-3</v>
      </c>
      <c r="M30" s="9">
        <f>(L30/SUM($L$2:$L$33))*indirect_model_parameters!$G$22</f>
        <v>4.1250000000000016E-4</v>
      </c>
      <c r="N30" s="37">
        <f>M30*indirect_model_parameters!$G$9</f>
        <v>41.250000000000014</v>
      </c>
    </row>
    <row r="31" spans="1:14" ht="48" x14ac:dyDescent="0.2">
      <c r="A31" s="1" t="str">
        <f t="shared" si="0"/>
        <v>Population in TB compartment  Uninfected, on IPT with  Multidrug-resistant (MDR-TB) in HIV compartment  PLHIV not on ART, CD4≤200 and Female</v>
      </c>
      <c r="B31" s="8" t="s">
        <v>239</v>
      </c>
      <c r="C31" s="8">
        <v>2</v>
      </c>
      <c r="D31" s="9">
        <v>2</v>
      </c>
      <c r="E31" s="9">
        <v>3</v>
      </c>
      <c r="F31" s="9">
        <v>2</v>
      </c>
      <c r="G31" s="39" t="str">
        <f t="shared" si="1"/>
        <v>N,2,2,3,2</v>
      </c>
      <c r="H31" s="9">
        <f>IF(C31=1,indirect_model_parameters!$G$33,indirect_model_parameters!$G$34)</f>
        <v>0.01</v>
      </c>
      <c r="I31" s="9">
        <f t="shared" si="2"/>
        <v>0</v>
      </c>
      <c r="J31" s="9">
        <f>IF(E31=1,indirect_model_parameters!$G$16,indirect_model_parameters!$G$17)*IF(E31=2,indirect_model_parameters!$G$10,IF(E31=3,indirect_model_parameters!$G$12,IF(E31=4,indirect_model_parameters!$G$14,1)))</f>
        <v>0.16500000000000001</v>
      </c>
      <c r="L31" s="9">
        <f t="shared" si="3"/>
        <v>0</v>
      </c>
      <c r="M31" s="9">
        <f>(L31/SUM($L$2:$L$33))*indirect_model_parameters!$G$22</f>
        <v>0</v>
      </c>
      <c r="N31" s="37">
        <f>M31*indirect_model_parameters!$G$9</f>
        <v>0</v>
      </c>
    </row>
    <row r="32" spans="1:14" ht="48" x14ac:dyDescent="0.2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IF(C32=1,indirect_model_parameters!$G$33,indirect_model_parameters!$G$34)</f>
        <v>0.01</v>
      </c>
      <c r="I32" s="9">
        <f t="shared" si="2"/>
        <v>1</v>
      </c>
      <c r="J32" s="9">
        <f>IF(E32=1,indirect_model_parameters!$G$16,indirect_model_parameters!$G$17)*IF(E32=2,indirect_model_parameters!$G$10,IF(E32=3,indirect_model_parameters!$G$12,IF(E32=4,indirect_model_parameters!$G$14,1)))</f>
        <v>0</v>
      </c>
      <c r="L32" s="9">
        <f t="shared" si="3"/>
        <v>0</v>
      </c>
      <c r="M32" s="9">
        <f>(L32/SUM($L$2:$L$33))*indirect_model_parameters!$G$22</f>
        <v>0</v>
      </c>
      <c r="N32" s="37">
        <f>M32*indirect_model_parameters!$G$9</f>
        <v>0</v>
      </c>
    </row>
    <row r="33" spans="1:14" ht="48" x14ac:dyDescent="0.2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IF(C33=1,indirect_model_parameters!$G$33,indirect_model_parameters!$G$34)</f>
        <v>0.01</v>
      </c>
      <c r="I33" s="9">
        <f t="shared" si="2"/>
        <v>0</v>
      </c>
      <c r="J33" s="9">
        <f>IF(E33=1,indirect_model_parameters!$G$16,indirect_model_parameters!$G$17)*IF(E33=2,indirect_model_parameters!$G$10,IF(E33=3,indirect_model_parameters!$G$12,IF(E33=4,indirect_model_parameters!$G$14,1)))</f>
        <v>0</v>
      </c>
      <c r="L33" s="9">
        <f t="shared" si="3"/>
        <v>0</v>
      </c>
      <c r="M33" s="9">
        <f>(L33/SUM($L$2:$L$33))*indirect_model_parameters!$G$22</f>
        <v>0</v>
      </c>
      <c r="N33" s="37">
        <f>M33*indirect_model_parameters!$G$9</f>
        <v>0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indirect_model_parameters!$G$30</f>
        <v>4.9000000000000002E-2</v>
      </c>
      <c r="I34" s="9">
        <f>IF(D34=1,1-indirect_model_parameters!$G$55,indirect_model_parameters!$G$55)</f>
        <v>0.96299999999999997</v>
      </c>
      <c r="J34" s="9">
        <f>IF(E34=1,indirect_model_parameters!$G$16,indirect_model_parameters!$G$17)*IF(E34=2,indirect_model_parameters!$G$10,IF(E34=3,indirect_model_parameters!$G$12,IF(E34=4,indirect_model_parameters!$G$14,1)))</f>
        <v>0.7</v>
      </c>
      <c r="L34" s="9">
        <f t="shared" ref="L34:L65" si="6">PRODUCT(H34:J34)</f>
        <v>3.3030899999999995E-2</v>
      </c>
      <c r="M34" s="9">
        <f>(L34/SUM($L$34:$L$81))*indirect_model_parameters!$G$20</f>
        <v>8.0203870168483668E-3</v>
      </c>
      <c r="N34" s="37">
        <f>M34*indirect_model_parameters!$G$9</f>
        <v>802.03870168483672</v>
      </c>
    </row>
    <row r="35" spans="1:14" ht="48" x14ac:dyDescent="0.2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indirect_model_parameters!$G$30</f>
        <v>4.9000000000000002E-2</v>
      </c>
      <c r="I35" s="9">
        <f>IF(D35=1,1-indirect_model_parameters!$G$55,indirect_model_parameters!$G$55)</f>
        <v>3.6999999999999998E-2</v>
      </c>
      <c r="J35" s="9">
        <f>IF(E35=1,indirect_model_parameters!$G$16,indirect_model_parameters!$G$17)*IF(E35=2,indirect_model_parameters!$G$10,IF(E35=3,indirect_model_parameters!$G$12,IF(E35=4,indirect_model_parameters!$G$14,1)))</f>
        <v>0.7</v>
      </c>
      <c r="L35" s="9">
        <f t="shared" si="6"/>
        <v>1.2690999999999998E-3</v>
      </c>
      <c r="M35" s="9">
        <f>(L35/SUM($L$34:$L$81))*indirect_model_parameters!$G$20</f>
        <v>3.0815609514370668E-4</v>
      </c>
      <c r="N35" s="37">
        <f>M35*indirect_model_parameters!$G$9</f>
        <v>30.815609514370667</v>
      </c>
    </row>
    <row r="36" spans="1:14" ht="48" x14ac:dyDescent="0.2">
      <c r="A36" s="1" t="str">
        <f t="shared" si="4"/>
        <v>Population in TB compartment  LTBI, infected recently (at risk for rapid progression) with Drug-susceptible (DS) in HIV compartment  PLHIV not on ART, CD4&gt;200 and Male</v>
      </c>
      <c r="B36" s="8" t="s">
        <v>239</v>
      </c>
      <c r="C36" s="8">
        <v>3</v>
      </c>
      <c r="D36" s="9">
        <v>1</v>
      </c>
      <c r="E36" s="9">
        <v>2</v>
      </c>
      <c r="F36" s="9">
        <v>1</v>
      </c>
      <c r="G36" s="39" t="str">
        <f t="shared" si="5"/>
        <v>N,3,1,2,1</v>
      </c>
      <c r="H36" s="9">
        <f>indirect_model_parameters!$G$30</f>
        <v>4.9000000000000002E-2</v>
      </c>
      <c r="I36" s="9">
        <f>IF(D36=1,1-indirect_model_parameters!$G$55,indirect_model_parameters!$G$55)</f>
        <v>0.96299999999999997</v>
      </c>
      <c r="J36" s="9">
        <f>IF(E36=1,indirect_model_parameters!$G$16,indirect_model_parameters!$G$17)*IF(E36=2,indirect_model_parameters!$G$10,IF(E36=3,indirect_model_parameters!$G$12,IF(E36=4,indirect_model_parameters!$G$14,1)))</f>
        <v>0.13499999999999998</v>
      </c>
      <c r="L36" s="9">
        <f t="shared" si="6"/>
        <v>6.3702449999999992E-3</v>
      </c>
      <c r="M36" s="9">
        <f>(L36/SUM($L$34:$L$81))*indirect_model_parameters!$G$20</f>
        <v>1.546788924677899E-3</v>
      </c>
      <c r="N36" s="37">
        <f>M36*indirect_model_parameters!$G$9</f>
        <v>154.67889246778989</v>
      </c>
    </row>
    <row r="37" spans="1:14" ht="48" x14ac:dyDescent="0.2">
      <c r="A37" s="1" t="str">
        <f t="shared" si="4"/>
        <v>Population in TB compartment  LTBI, infected recently (at risk for rapid progression) with  Multidrug-resistant (MDR-TB) in HIV compartment  PLHIV not on ART, CD4&gt;200 and Male</v>
      </c>
      <c r="B37" s="8" t="s">
        <v>239</v>
      </c>
      <c r="C37" s="8">
        <v>3</v>
      </c>
      <c r="D37" s="9">
        <v>2</v>
      </c>
      <c r="E37" s="9">
        <v>2</v>
      </c>
      <c r="F37" s="9">
        <v>1</v>
      </c>
      <c r="G37" s="39" t="str">
        <f t="shared" si="5"/>
        <v>N,3,2,2,1</v>
      </c>
      <c r="H37" s="9">
        <f>indirect_model_parameters!$G$30</f>
        <v>4.9000000000000002E-2</v>
      </c>
      <c r="I37" s="9">
        <f>IF(D37=1,1-indirect_model_parameters!$G$55,indirect_model_parameters!$G$55)</f>
        <v>3.6999999999999998E-2</v>
      </c>
      <c r="J37" s="9">
        <f>IF(E37=1,indirect_model_parameters!$G$16,indirect_model_parameters!$G$17)*IF(E37=2,indirect_model_parameters!$G$10,IF(E37=3,indirect_model_parameters!$G$12,IF(E37=4,indirect_model_parameters!$G$14,1)))</f>
        <v>0.13499999999999998</v>
      </c>
      <c r="L37" s="9">
        <f t="shared" si="6"/>
        <v>2.4475499999999998E-4</v>
      </c>
      <c r="M37" s="9">
        <f>(L37/SUM($L$34:$L$81))*indirect_model_parameters!$G$20</f>
        <v>5.9430104063429151E-5</v>
      </c>
      <c r="N37" s="37">
        <f>M37*indirect_model_parameters!$G$9</f>
        <v>5.943010406342915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239</v>
      </c>
      <c r="C38" s="8">
        <v>3</v>
      </c>
      <c r="D38" s="9">
        <v>1</v>
      </c>
      <c r="E38" s="9">
        <v>3</v>
      </c>
      <c r="F38" s="9">
        <v>1</v>
      </c>
      <c r="G38" s="39" t="str">
        <f t="shared" si="5"/>
        <v>N,3,1,3,1</v>
      </c>
      <c r="H38" s="9">
        <f>indirect_model_parameters!$G$30</f>
        <v>4.9000000000000002E-2</v>
      </c>
      <c r="I38" s="9">
        <f>IF(D38=1,1-indirect_model_parameters!$G$55,indirect_model_parameters!$G$55)</f>
        <v>0.96299999999999997</v>
      </c>
      <c r="J38" s="9">
        <f>IF(E38=1,indirect_model_parameters!$G$16,indirect_model_parameters!$G$17)*IF(E38=2,indirect_model_parameters!$G$10,IF(E38=3,indirect_model_parameters!$G$12,IF(E38=4,indirect_model_parameters!$G$14,1)))</f>
        <v>0.16500000000000001</v>
      </c>
      <c r="L38" s="9">
        <f t="shared" si="6"/>
        <v>7.7858550000000004E-3</v>
      </c>
      <c r="M38" s="9">
        <f>(L38/SUM($L$34:$L$81))*indirect_model_parameters!$G$20</f>
        <v>1.8905197968285437E-3</v>
      </c>
      <c r="N38" s="37">
        <f>M38*indirect_model_parameters!$G$9</f>
        <v>189.05197968285438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239</v>
      </c>
      <c r="C39" s="8">
        <v>3</v>
      </c>
      <c r="D39" s="9">
        <v>2</v>
      </c>
      <c r="E39" s="9">
        <v>3</v>
      </c>
      <c r="F39" s="9">
        <v>1</v>
      </c>
      <c r="G39" s="39" t="str">
        <f t="shared" si="5"/>
        <v>N,3,2,3,1</v>
      </c>
      <c r="H39" s="9">
        <f>indirect_model_parameters!$G$30</f>
        <v>4.9000000000000002E-2</v>
      </c>
      <c r="I39" s="9">
        <f>IF(D39=1,1-indirect_model_parameters!$G$55,indirect_model_parameters!$G$55)</f>
        <v>3.6999999999999998E-2</v>
      </c>
      <c r="J39" s="9">
        <f>IF(E39=1,indirect_model_parameters!$G$16,indirect_model_parameters!$G$17)*IF(E39=2,indirect_model_parameters!$G$10,IF(E39=3,indirect_model_parameters!$G$12,IF(E39=4,indirect_model_parameters!$G$14,1)))</f>
        <v>0.16500000000000001</v>
      </c>
      <c r="L39" s="9">
        <f t="shared" si="6"/>
        <v>2.9914500000000001E-4</v>
      </c>
      <c r="M39" s="9">
        <f>(L39/SUM($L$34:$L$81))*indirect_model_parameters!$G$20</f>
        <v>7.2636793855302309E-5</v>
      </c>
      <c r="N39" s="37">
        <f>M39*indirect_model_parameters!$G$9</f>
        <v>7.2636793855302306</v>
      </c>
    </row>
    <row r="40" spans="1:14" ht="48" x14ac:dyDescent="0.2">
      <c r="A40" s="1" t="str">
        <f t="shared" si="4"/>
        <v>Population in TB compartment  LTBI, infected recently (at risk for rapid progression) with Drug-susceptible (DS) in HIV compartment  PLHIV and on ART and Male</v>
      </c>
      <c r="B40" s="8" t="s">
        <v>239</v>
      </c>
      <c r="C40" s="8">
        <v>3</v>
      </c>
      <c r="D40" s="9">
        <v>1</v>
      </c>
      <c r="E40" s="9">
        <v>4</v>
      </c>
      <c r="F40" s="9">
        <v>1</v>
      </c>
      <c r="G40" s="39" t="str">
        <f t="shared" si="5"/>
        <v>N,3,1,4,1</v>
      </c>
      <c r="H40" s="9">
        <f>indirect_model_parameters!$G$30</f>
        <v>4.9000000000000002E-2</v>
      </c>
      <c r="I40" s="9">
        <f>IF(D40=1,1-indirect_model_parameters!$G$55,indirect_model_parameters!$G$55)</f>
        <v>0.96299999999999997</v>
      </c>
      <c r="J40" s="9">
        <f>IF(E40=1,indirect_model_parameters!$G$16,indirect_model_parameters!$G$17)*IF(E40=2,indirect_model_parameters!$G$10,IF(E40=3,indirect_model_parameters!$G$12,IF(E40=4,indirect_model_parameters!$G$14,1)))</f>
        <v>0</v>
      </c>
      <c r="L40" s="9">
        <f t="shared" si="6"/>
        <v>0</v>
      </c>
      <c r="M40" s="9">
        <f>(L40/SUM($L$34:$L$81))*indirect_model_parameters!$G$20</f>
        <v>0</v>
      </c>
      <c r="N40" s="37">
        <f>M40*indirect_model_parameters!$G$9</f>
        <v>0</v>
      </c>
    </row>
    <row r="41" spans="1:14" ht="48" x14ac:dyDescent="0.2">
      <c r="A41" s="1" t="str">
        <f t="shared" si="4"/>
        <v>Population in TB compartment  LTBI, infected recently (at risk for rapid progression) with  Multidrug-resistant (MDR-TB) in HIV compartment  PLHIV and on ART and Male</v>
      </c>
      <c r="B41" s="8" t="s">
        <v>239</v>
      </c>
      <c r="C41" s="8">
        <v>3</v>
      </c>
      <c r="D41" s="9">
        <v>2</v>
      </c>
      <c r="E41" s="9">
        <v>4</v>
      </c>
      <c r="F41" s="9">
        <v>1</v>
      </c>
      <c r="G41" s="39" t="str">
        <f t="shared" si="5"/>
        <v>N,3,2,4,1</v>
      </c>
      <c r="H41" s="9">
        <f>indirect_model_parameters!$G$30</f>
        <v>4.9000000000000002E-2</v>
      </c>
      <c r="I41" s="9">
        <f>IF(D41=1,1-indirect_model_parameters!$G$55,indirect_model_parameters!$G$55)</f>
        <v>3.6999999999999998E-2</v>
      </c>
      <c r="J41" s="9">
        <f>IF(E41=1,indirect_model_parameters!$G$16,indirect_model_parameters!$G$17)*IF(E41=2,indirect_model_parameters!$G$10,IF(E41=3,indirect_model_parameters!$G$12,IF(E41=4,indirect_model_parameters!$G$14,1)))</f>
        <v>0</v>
      </c>
      <c r="L41" s="9">
        <f t="shared" si="6"/>
        <v>0</v>
      </c>
      <c r="M41" s="9">
        <f>(L41/SUM($L$34:$L$81))*indirect_model_parameters!$G$20</f>
        <v>0</v>
      </c>
      <c r="N41" s="37">
        <f>M41*indirect_model_parameters!$G$9</f>
        <v>0</v>
      </c>
    </row>
    <row r="42" spans="1:14" ht="48" x14ac:dyDescent="0.2">
      <c r="A42" s="1" t="str">
        <f t="shared" si="4"/>
        <v>Population in TB compartment  LTBI, infected recently (at risk for rapid progression) with Drug-susceptible (DS) in HIV compartment  HIV-negative and Female</v>
      </c>
      <c r="B42" s="8" t="s">
        <v>239</v>
      </c>
      <c r="C42" s="8">
        <v>3</v>
      </c>
      <c r="D42" s="9">
        <v>1</v>
      </c>
      <c r="E42" s="9">
        <v>1</v>
      </c>
      <c r="F42" s="9">
        <v>2</v>
      </c>
      <c r="G42" s="39" t="str">
        <f t="shared" si="5"/>
        <v>N,3,1,1,2</v>
      </c>
      <c r="H42" s="9">
        <f>indirect_model_parameters!$G$30</f>
        <v>4.9000000000000002E-2</v>
      </c>
      <c r="I42" s="9">
        <f>IF(D42=1,1-indirect_model_parameters!$G$55,indirect_model_parameters!$G$55)</f>
        <v>0.96299999999999997</v>
      </c>
      <c r="J42" s="9">
        <f>IF(E42=1,indirect_model_parameters!$G$16,indirect_model_parameters!$G$17)*IF(E42=2,indirect_model_parameters!$G$10,IF(E42=3,indirect_model_parameters!$G$12,IF(E42=4,indirect_model_parameters!$G$14,1)))</f>
        <v>0.7</v>
      </c>
      <c r="L42" s="9">
        <f t="shared" si="6"/>
        <v>3.3030899999999995E-2</v>
      </c>
      <c r="M42" s="9">
        <f>(L42/SUM($L$34:$L$81))*indirect_model_parameters!$G$20</f>
        <v>8.0203870168483668E-3</v>
      </c>
      <c r="N42" s="37">
        <f>M42*indirect_model_parameters!$G$9</f>
        <v>802.03870168483672</v>
      </c>
    </row>
    <row r="43" spans="1:14" ht="48" x14ac:dyDescent="0.2">
      <c r="A43" s="1" t="str">
        <f t="shared" si="4"/>
        <v>Population in TB compartment  LTBI, infected recently (at risk for rapid progression) with  Multidrug-resistant (MDR-TB) in HIV compartment  HIV-negative and Female</v>
      </c>
      <c r="B43" s="8" t="s">
        <v>239</v>
      </c>
      <c r="C43" s="8">
        <v>3</v>
      </c>
      <c r="D43" s="9">
        <v>2</v>
      </c>
      <c r="E43" s="9">
        <v>1</v>
      </c>
      <c r="F43" s="9">
        <v>2</v>
      </c>
      <c r="G43" s="39" t="str">
        <f t="shared" si="5"/>
        <v>N,3,2,1,2</v>
      </c>
      <c r="H43" s="9">
        <f>indirect_model_parameters!$G$30</f>
        <v>4.9000000000000002E-2</v>
      </c>
      <c r="I43" s="9">
        <f>IF(D43=1,1-indirect_model_parameters!$G$55,indirect_model_parameters!$G$55)</f>
        <v>3.6999999999999998E-2</v>
      </c>
      <c r="J43" s="9">
        <f>IF(E43=1,indirect_model_parameters!$G$16,indirect_model_parameters!$G$17)*IF(E43=2,indirect_model_parameters!$G$10,IF(E43=3,indirect_model_parameters!$G$12,IF(E43=4,indirect_model_parameters!$G$14,1)))</f>
        <v>0.7</v>
      </c>
      <c r="L43" s="9">
        <f t="shared" si="6"/>
        <v>1.2690999999999998E-3</v>
      </c>
      <c r="M43" s="9">
        <f>(L43/SUM($L$34:$L$81))*indirect_model_parameters!$G$20</f>
        <v>3.0815609514370668E-4</v>
      </c>
      <c r="N43" s="37">
        <f>M43*indirect_model_parameters!$G$9</f>
        <v>30.815609514370667</v>
      </c>
    </row>
    <row r="44" spans="1:14" ht="48" x14ac:dyDescent="0.2">
      <c r="A44" s="1" t="str">
        <f t="shared" si="4"/>
        <v>Population in TB compartment  LTBI, infected recently (at risk for rapid progression) with Drug-susceptible (DS) in HIV compartment  PLHIV not on ART, CD4&gt;200 and Female</v>
      </c>
      <c r="B44" s="8" t="s">
        <v>239</v>
      </c>
      <c r="C44" s="8">
        <v>3</v>
      </c>
      <c r="D44" s="9">
        <v>1</v>
      </c>
      <c r="E44" s="9">
        <v>2</v>
      </c>
      <c r="F44" s="9">
        <v>2</v>
      </c>
      <c r="G44" s="39" t="str">
        <f t="shared" si="5"/>
        <v>N,3,1,2,2</v>
      </c>
      <c r="H44" s="9">
        <f>indirect_model_parameters!$G$30</f>
        <v>4.9000000000000002E-2</v>
      </c>
      <c r="I44" s="9">
        <f>IF(D44=1,1-indirect_model_parameters!$G$55,indirect_model_parameters!$G$55)</f>
        <v>0.96299999999999997</v>
      </c>
      <c r="J44" s="9">
        <f>IF(E44=1,indirect_model_parameters!$G$16,indirect_model_parameters!$G$17)*IF(E44=2,indirect_model_parameters!$G$10,IF(E44=3,indirect_model_parameters!$G$12,IF(E44=4,indirect_model_parameters!$G$14,1)))</f>
        <v>0.13499999999999998</v>
      </c>
      <c r="L44" s="9">
        <f t="shared" si="6"/>
        <v>6.3702449999999992E-3</v>
      </c>
      <c r="M44" s="9">
        <f>(L44/SUM($L$34:$L$81))*indirect_model_parameters!$G$20</f>
        <v>1.546788924677899E-3</v>
      </c>
      <c r="N44" s="37">
        <f>M44*indirect_model_parameters!$G$9</f>
        <v>154.67889246778989</v>
      </c>
    </row>
    <row r="45" spans="1:14" ht="48" x14ac:dyDescent="0.2">
      <c r="A45" s="1" t="str">
        <f t="shared" si="4"/>
        <v>Population in TB compartment  LTBI, infected recently (at risk for rapid progression) with  Multidrug-resistant (MDR-TB) in HIV compartment  PLHIV not on ART, CD4&gt;200 and Female</v>
      </c>
      <c r="B45" s="8" t="s">
        <v>239</v>
      </c>
      <c r="C45" s="8">
        <v>3</v>
      </c>
      <c r="D45" s="9">
        <v>2</v>
      </c>
      <c r="E45" s="9">
        <v>2</v>
      </c>
      <c r="F45" s="9">
        <v>2</v>
      </c>
      <c r="G45" s="39" t="str">
        <f t="shared" si="5"/>
        <v>N,3,2,2,2</v>
      </c>
      <c r="H45" s="9">
        <f>indirect_model_parameters!$G$30</f>
        <v>4.9000000000000002E-2</v>
      </c>
      <c r="I45" s="9">
        <f>IF(D45=1,1-indirect_model_parameters!$G$55,indirect_model_parameters!$G$55)</f>
        <v>3.6999999999999998E-2</v>
      </c>
      <c r="J45" s="9">
        <f>IF(E45=1,indirect_model_parameters!$G$16,indirect_model_parameters!$G$17)*IF(E45=2,indirect_model_parameters!$G$10,IF(E45=3,indirect_model_parameters!$G$12,IF(E45=4,indirect_model_parameters!$G$14,1)))</f>
        <v>0.13499999999999998</v>
      </c>
      <c r="L45" s="9">
        <f t="shared" si="6"/>
        <v>2.4475499999999998E-4</v>
      </c>
      <c r="M45" s="9">
        <f>(L45/SUM($L$34:$L$81))*indirect_model_parameters!$G$20</f>
        <v>5.9430104063429151E-5</v>
      </c>
      <c r="N45" s="37">
        <f>M45*indirect_model_parameters!$G$9</f>
        <v>5.943010406342915</v>
      </c>
    </row>
    <row r="46" spans="1:14" ht="48" x14ac:dyDescent="0.2">
      <c r="A46" s="1" t="str">
        <f t="shared" si="4"/>
        <v>Population in TB compartment  LTBI, infected recently (at risk for rapid progression) with Drug-susceptible (DS) in HIV compartment  PLHIV not on ART, CD4≤200 and Female</v>
      </c>
      <c r="B46" s="8" t="s">
        <v>239</v>
      </c>
      <c r="C46" s="8">
        <v>3</v>
      </c>
      <c r="D46" s="9">
        <v>1</v>
      </c>
      <c r="E46" s="9">
        <v>3</v>
      </c>
      <c r="F46" s="9">
        <v>2</v>
      </c>
      <c r="G46" s="39" t="str">
        <f t="shared" si="5"/>
        <v>N,3,1,3,2</v>
      </c>
      <c r="H46" s="9">
        <f>indirect_model_parameters!$G$30</f>
        <v>4.9000000000000002E-2</v>
      </c>
      <c r="I46" s="9">
        <f>IF(D46=1,1-indirect_model_parameters!$G$55,indirect_model_parameters!$G$55)</f>
        <v>0.96299999999999997</v>
      </c>
      <c r="J46" s="9">
        <f>IF(E46=1,indirect_model_parameters!$G$16,indirect_model_parameters!$G$17)*IF(E46=2,indirect_model_parameters!$G$10,IF(E46=3,indirect_model_parameters!$G$12,IF(E46=4,indirect_model_parameters!$G$14,1)))</f>
        <v>0.16500000000000001</v>
      </c>
      <c r="L46" s="9">
        <f t="shared" si="6"/>
        <v>7.7858550000000004E-3</v>
      </c>
      <c r="M46" s="9">
        <f>(L46/SUM($L$34:$L$81))*indirect_model_parameters!$G$20</f>
        <v>1.8905197968285437E-3</v>
      </c>
      <c r="N46" s="37">
        <f>M46*indirect_model_parameters!$G$9</f>
        <v>189.05197968285438</v>
      </c>
    </row>
    <row r="47" spans="1:14" ht="48" x14ac:dyDescent="0.2">
      <c r="A47" s="1" t="str">
        <f t="shared" si="4"/>
        <v>Population in TB compartment  LTBI, infected recently (at risk for rapid progression) with  Multidrug-resistant (MDR-TB) in HIV compartment  PLHIV not on ART, CD4≤200 and Female</v>
      </c>
      <c r="B47" s="8" t="s">
        <v>239</v>
      </c>
      <c r="C47" s="8">
        <v>3</v>
      </c>
      <c r="D47" s="9">
        <v>2</v>
      </c>
      <c r="E47" s="9">
        <v>3</v>
      </c>
      <c r="F47" s="9">
        <v>2</v>
      </c>
      <c r="G47" s="39" t="str">
        <f t="shared" si="5"/>
        <v>N,3,2,3,2</v>
      </c>
      <c r="H47" s="9">
        <f>indirect_model_parameters!$G$30</f>
        <v>4.9000000000000002E-2</v>
      </c>
      <c r="I47" s="9">
        <f>IF(D47=1,1-indirect_model_parameters!$G$55,indirect_model_parameters!$G$55)</f>
        <v>3.6999999999999998E-2</v>
      </c>
      <c r="J47" s="9">
        <f>IF(E47=1,indirect_model_parameters!$G$16,indirect_model_parameters!$G$17)*IF(E47=2,indirect_model_parameters!$G$10,IF(E47=3,indirect_model_parameters!$G$12,IF(E47=4,indirect_model_parameters!$G$14,1)))</f>
        <v>0.16500000000000001</v>
      </c>
      <c r="L47" s="9">
        <f t="shared" si="6"/>
        <v>2.9914500000000001E-4</v>
      </c>
      <c r="M47" s="9">
        <f>(L47/SUM($L$34:$L$81))*indirect_model_parameters!$G$20</f>
        <v>7.2636793855302309E-5</v>
      </c>
      <c r="N47" s="37">
        <f>M47*indirect_model_parameters!$G$9</f>
        <v>7.2636793855302306</v>
      </c>
    </row>
    <row r="48" spans="1:14" ht="48" x14ac:dyDescent="0.2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indirect_model_parameters!$G$30</f>
        <v>4.9000000000000002E-2</v>
      </c>
      <c r="I48" s="9">
        <f>IF(D48=1,1-indirect_model_parameters!$G$55,indirect_model_parameters!$G$55)</f>
        <v>0.96299999999999997</v>
      </c>
      <c r="J48" s="9">
        <f>IF(E48=1,indirect_model_parameters!$G$16,indirect_model_parameters!$G$17)*IF(E48=2,indirect_model_parameters!$G$10,IF(E48=3,indirect_model_parameters!$G$12,IF(E48=4,indirect_model_parameters!$G$14,1)))</f>
        <v>0</v>
      </c>
      <c r="L48" s="9">
        <f t="shared" si="6"/>
        <v>0</v>
      </c>
      <c r="M48" s="9">
        <f>(L48/SUM($L$34:$L$81))*indirect_model_parameters!$G$20</f>
        <v>0</v>
      </c>
      <c r="N48" s="37">
        <f>M48*indirect_model_parameters!$G$9</f>
        <v>0</v>
      </c>
    </row>
    <row r="49" spans="1:14" ht="48" x14ac:dyDescent="0.2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indirect_model_parameters!$G$30</f>
        <v>4.9000000000000002E-2</v>
      </c>
      <c r="I49" s="9">
        <f>IF(D49=1,1-indirect_model_parameters!$G$55,indirect_model_parameters!$G$55)</f>
        <v>3.6999999999999998E-2</v>
      </c>
      <c r="J49" s="9">
        <f>IF(E49=1,indirect_model_parameters!$G$16,indirect_model_parameters!$G$17)*IF(E49=2,indirect_model_parameters!$G$10,IF(E49=3,indirect_model_parameters!$G$12,IF(E49=4,indirect_model_parameters!$G$14,1)))</f>
        <v>0</v>
      </c>
      <c r="L49" s="9">
        <f t="shared" si="6"/>
        <v>0</v>
      </c>
      <c r="M49" s="9">
        <f>(L49/SUM($L$34:$L$81))*indirect_model_parameters!$G$20</f>
        <v>0</v>
      </c>
      <c r="N49" s="37">
        <f>M49*indirect_model_parameters!$G$9</f>
        <v>0</v>
      </c>
    </row>
    <row r="50" spans="1:14" ht="32" x14ac:dyDescent="0.2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indirect_model_parameters!$G$31</f>
        <v>0.95</v>
      </c>
      <c r="I50" s="9">
        <f>IF(D50=1,1-indirect_model_parameters!$G$55,indirect_model_parameters!$G$55)</f>
        <v>0.96299999999999997</v>
      </c>
      <c r="J50" s="9">
        <f>IF(E50=1,indirect_model_parameters!$G$16,indirect_model_parameters!$G$17)*IF(E50=2,indirect_model_parameters!$G$10,IF(E50=3,indirect_model_parameters!$G$12,IF(E50=4,indirect_model_parameters!$G$14,1)))</f>
        <v>0.7</v>
      </c>
      <c r="L50" s="9">
        <f t="shared" si="6"/>
        <v>0.64039499999999994</v>
      </c>
      <c r="M50" s="9">
        <f>(L50/SUM($L$34:$L$81))*indirect_model_parameters!$G$20</f>
        <v>0.15549729930624381</v>
      </c>
      <c r="N50" s="37">
        <f>M50*indirect_model_parameters!$G$9</f>
        <v>15549.729930624382</v>
      </c>
    </row>
    <row r="51" spans="1:14" ht="48" x14ac:dyDescent="0.2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indirect_model_parameters!$G$31</f>
        <v>0.95</v>
      </c>
      <c r="I51" s="9">
        <f>IF(D51=1,1-indirect_model_parameters!$G$55,indirect_model_parameters!$G$55)</f>
        <v>3.6999999999999998E-2</v>
      </c>
      <c r="J51" s="9">
        <f>IF(E51=1,indirect_model_parameters!$G$16,indirect_model_parameters!$G$17)*IF(E51=2,indirect_model_parameters!$G$10,IF(E51=3,indirect_model_parameters!$G$12,IF(E51=4,indirect_model_parameters!$G$14,1)))</f>
        <v>0.7</v>
      </c>
      <c r="L51" s="9">
        <f t="shared" si="6"/>
        <v>2.4604999999999995E-2</v>
      </c>
      <c r="M51" s="9">
        <f>(L51/SUM($L$34:$L$81))*indirect_model_parameters!$G$20</f>
        <v>5.9744549058473742E-3</v>
      </c>
      <c r="N51" s="37">
        <f>M51*indirect_model_parameters!$G$9</f>
        <v>597.4454905847374</v>
      </c>
    </row>
    <row r="52" spans="1:14" ht="48" x14ac:dyDescent="0.2">
      <c r="A52" s="1" t="str">
        <f t="shared" si="4"/>
        <v>Population in TB compartment  LTBI, infected remotely with Drug-susceptible (DS) in HIV compartment  PLHIV not on ART, CD4&gt;200 and Male</v>
      </c>
      <c r="B52" s="8" t="s">
        <v>239</v>
      </c>
      <c r="C52" s="8">
        <v>4</v>
      </c>
      <c r="D52" s="9">
        <v>1</v>
      </c>
      <c r="E52" s="9">
        <v>2</v>
      </c>
      <c r="F52" s="9">
        <v>1</v>
      </c>
      <c r="G52" s="39" t="str">
        <f t="shared" si="5"/>
        <v>N,4,1,2,1</v>
      </c>
      <c r="H52" s="9">
        <f>indirect_model_parameters!$G$31</f>
        <v>0.95</v>
      </c>
      <c r="I52" s="9">
        <f>IF(D52=1,1-indirect_model_parameters!$G$55,indirect_model_parameters!$G$55)</f>
        <v>0.96299999999999997</v>
      </c>
      <c r="J52" s="9">
        <f>IF(E52=1,indirect_model_parameters!$G$16,indirect_model_parameters!$G$17)*IF(E52=2,indirect_model_parameters!$G$10,IF(E52=3,indirect_model_parameters!$G$12,IF(E52=4,indirect_model_parameters!$G$14,1)))</f>
        <v>0.13499999999999998</v>
      </c>
      <c r="L52" s="9">
        <f t="shared" si="6"/>
        <v>0.12350474999999997</v>
      </c>
      <c r="M52" s="9">
        <f>(L52/SUM($L$34:$L$81))*indirect_model_parameters!$G$20</f>
        <v>2.9988764866204165E-2</v>
      </c>
      <c r="N52" s="37">
        <f>M52*indirect_model_parameters!$G$9</f>
        <v>2998.8764866204165</v>
      </c>
    </row>
    <row r="53" spans="1:14" ht="48" x14ac:dyDescent="0.2">
      <c r="A53" s="1" t="str">
        <f t="shared" si="4"/>
        <v>Population in TB compartment  LTBI, infected remotely with  Multidrug-resistant (MDR-TB) in HIV compartment  PLHIV not on ART, CD4&gt;200 and Male</v>
      </c>
      <c r="B53" s="8" t="s">
        <v>239</v>
      </c>
      <c r="C53" s="8">
        <v>4</v>
      </c>
      <c r="D53" s="9">
        <v>2</v>
      </c>
      <c r="E53" s="9">
        <v>2</v>
      </c>
      <c r="F53" s="9">
        <v>1</v>
      </c>
      <c r="G53" s="39" t="str">
        <f t="shared" si="5"/>
        <v>N,4,2,2,1</v>
      </c>
      <c r="H53" s="9">
        <f>indirect_model_parameters!$G$31</f>
        <v>0.95</v>
      </c>
      <c r="I53" s="9">
        <f>IF(D53=1,1-indirect_model_parameters!$G$55,indirect_model_parameters!$G$55)</f>
        <v>3.6999999999999998E-2</v>
      </c>
      <c r="J53" s="9">
        <f>IF(E53=1,indirect_model_parameters!$G$16,indirect_model_parameters!$G$17)*IF(E53=2,indirect_model_parameters!$G$10,IF(E53=3,indirect_model_parameters!$G$12,IF(E53=4,indirect_model_parameters!$G$14,1)))</f>
        <v>0.13499999999999998</v>
      </c>
      <c r="L53" s="9">
        <f t="shared" si="6"/>
        <v>4.7452499999999986E-3</v>
      </c>
      <c r="M53" s="9">
        <f>(L53/SUM($L$34:$L$81))*indirect_model_parameters!$G$20</f>
        <v>1.1522163032705651E-3</v>
      </c>
      <c r="N53" s="37">
        <f>M53*indirect_model_parameters!$G$9</f>
        <v>115.2216303270565</v>
      </c>
    </row>
    <row r="54" spans="1:14" ht="48" x14ac:dyDescent="0.2">
      <c r="A54" s="1" t="str">
        <f t="shared" si="4"/>
        <v>Population in TB compartment  LTBI, infected remotely with Drug-susceptible (DS) in HIV compartment  PLHIV not on ART, CD4≤200 and Male</v>
      </c>
      <c r="B54" s="8" t="s">
        <v>239</v>
      </c>
      <c r="C54" s="8">
        <v>4</v>
      </c>
      <c r="D54" s="9">
        <v>1</v>
      </c>
      <c r="E54" s="9">
        <v>3</v>
      </c>
      <c r="F54" s="9">
        <v>1</v>
      </c>
      <c r="G54" s="39" t="str">
        <f t="shared" si="5"/>
        <v>N,4,1,3,1</v>
      </c>
      <c r="H54" s="9">
        <f>indirect_model_parameters!$G$31</f>
        <v>0.95</v>
      </c>
      <c r="I54" s="9">
        <f>IF(D54=1,1-indirect_model_parameters!$G$55,indirect_model_parameters!$G$55)</f>
        <v>0.96299999999999997</v>
      </c>
      <c r="J54" s="9">
        <f>IF(E54=1,indirect_model_parameters!$G$16,indirect_model_parameters!$G$17)*IF(E54=2,indirect_model_parameters!$G$10,IF(E54=3,indirect_model_parameters!$G$12,IF(E54=4,indirect_model_parameters!$G$14,1)))</f>
        <v>0.16500000000000001</v>
      </c>
      <c r="L54" s="9">
        <f t="shared" si="6"/>
        <v>0.15095025000000001</v>
      </c>
      <c r="M54" s="9">
        <f>(L54/SUM($L$34:$L$81))*indirect_model_parameters!$G$20</f>
        <v>3.6652934836471765E-2</v>
      </c>
      <c r="N54" s="37">
        <f>M54*indirect_model_parameters!$G$9</f>
        <v>3665.2934836471763</v>
      </c>
    </row>
    <row r="55" spans="1:14" ht="48" x14ac:dyDescent="0.2">
      <c r="A55" s="1" t="str">
        <f t="shared" si="4"/>
        <v>Population in TB compartment  LTBI, infected remotely with  Multidrug-resistant (MDR-TB) in HIV compartment  PLHIV not on ART, CD4≤200 and Male</v>
      </c>
      <c r="B55" s="8" t="s">
        <v>239</v>
      </c>
      <c r="C55" s="8">
        <v>4</v>
      </c>
      <c r="D55" s="9">
        <v>2</v>
      </c>
      <c r="E55" s="9">
        <v>3</v>
      </c>
      <c r="F55" s="9">
        <v>1</v>
      </c>
      <c r="G55" s="39" t="str">
        <f t="shared" si="5"/>
        <v>N,4,2,3,1</v>
      </c>
      <c r="H55" s="9">
        <f>indirect_model_parameters!$G$31</f>
        <v>0.95</v>
      </c>
      <c r="I55" s="9">
        <f>IF(D55=1,1-indirect_model_parameters!$G$55,indirect_model_parameters!$G$55)</f>
        <v>3.6999999999999998E-2</v>
      </c>
      <c r="J55" s="9">
        <f>IF(E55=1,indirect_model_parameters!$G$16,indirect_model_parameters!$G$17)*IF(E55=2,indirect_model_parameters!$G$10,IF(E55=3,indirect_model_parameters!$G$12,IF(E55=4,indirect_model_parameters!$G$14,1)))</f>
        <v>0.16500000000000001</v>
      </c>
      <c r="L55" s="9">
        <f t="shared" si="6"/>
        <v>5.7997499999999994E-3</v>
      </c>
      <c r="M55" s="9">
        <f>(L55/SUM($L$34:$L$81))*indirect_model_parameters!$G$20</f>
        <v>1.408264370664024E-3</v>
      </c>
      <c r="N55" s="37">
        <f>M55*indirect_model_parameters!$G$9</f>
        <v>140.82643706640241</v>
      </c>
    </row>
    <row r="56" spans="1:14" ht="32" x14ac:dyDescent="0.2">
      <c r="A56" s="1" t="str">
        <f t="shared" si="4"/>
        <v>Population in TB compartment  LTBI, infected remotely with Drug-susceptible (DS) in HIV compartment  PLHIV and on ART and Male</v>
      </c>
      <c r="B56" s="8" t="s">
        <v>239</v>
      </c>
      <c r="C56" s="8">
        <v>4</v>
      </c>
      <c r="D56" s="9">
        <v>1</v>
      </c>
      <c r="E56" s="9">
        <v>4</v>
      </c>
      <c r="F56" s="9">
        <v>1</v>
      </c>
      <c r="G56" s="39" t="str">
        <f t="shared" si="5"/>
        <v>N,4,1,4,1</v>
      </c>
      <c r="H56" s="9">
        <f>indirect_model_parameters!$G$31</f>
        <v>0.95</v>
      </c>
      <c r="I56" s="9">
        <f>IF(D56=1,1-indirect_model_parameters!$G$55,indirect_model_parameters!$G$55)</f>
        <v>0.96299999999999997</v>
      </c>
      <c r="J56" s="9">
        <f>IF(E56=1,indirect_model_parameters!$G$16,indirect_model_parameters!$G$17)*IF(E56=2,indirect_model_parameters!$G$10,IF(E56=3,indirect_model_parameters!$G$12,IF(E56=4,indirect_model_parameters!$G$14,1)))</f>
        <v>0</v>
      </c>
      <c r="L56" s="9">
        <f t="shared" si="6"/>
        <v>0</v>
      </c>
      <c r="M56" s="9">
        <f>(L56/SUM($L$34:$L$81))*indirect_model_parameters!$G$20</f>
        <v>0</v>
      </c>
      <c r="N56" s="37">
        <f>M56*indirect_model_parameters!$G$9</f>
        <v>0</v>
      </c>
    </row>
    <row r="57" spans="1:14" ht="48" x14ac:dyDescent="0.2">
      <c r="A57" s="1" t="str">
        <f t="shared" si="4"/>
        <v>Population in TB compartment  LTBI, infected remotely with  Multidrug-resistant (MDR-TB) in HIV compartment  PLHIV and on ART and Male</v>
      </c>
      <c r="B57" s="8" t="s">
        <v>239</v>
      </c>
      <c r="C57" s="8">
        <v>4</v>
      </c>
      <c r="D57" s="9">
        <v>2</v>
      </c>
      <c r="E57" s="9">
        <v>4</v>
      </c>
      <c r="F57" s="9">
        <v>1</v>
      </c>
      <c r="G57" s="39" t="str">
        <f t="shared" si="5"/>
        <v>N,4,2,4,1</v>
      </c>
      <c r="H57" s="9">
        <f>indirect_model_parameters!$G$31</f>
        <v>0.95</v>
      </c>
      <c r="I57" s="9">
        <f>IF(D57=1,1-indirect_model_parameters!$G$55,indirect_model_parameters!$G$55)</f>
        <v>3.6999999999999998E-2</v>
      </c>
      <c r="J57" s="9">
        <f>IF(E57=1,indirect_model_parameters!$G$16,indirect_model_parameters!$G$17)*IF(E57=2,indirect_model_parameters!$G$10,IF(E57=3,indirect_model_parameters!$G$12,IF(E57=4,indirect_model_parameters!$G$14,1)))</f>
        <v>0</v>
      </c>
      <c r="L57" s="9">
        <f t="shared" si="6"/>
        <v>0</v>
      </c>
      <c r="M57" s="9">
        <f>(L57/SUM($L$34:$L$81))*indirect_model_parameters!$G$20</f>
        <v>0</v>
      </c>
      <c r="N57" s="37">
        <f>M57*indirect_model_parameters!$G$9</f>
        <v>0</v>
      </c>
    </row>
    <row r="58" spans="1:14" ht="32" x14ac:dyDescent="0.2">
      <c r="A58" s="1" t="str">
        <f t="shared" si="4"/>
        <v>Population in TB compartment  LTBI, infected remotely with Drug-susceptible (DS) in HIV compartment  HIV-negative and Female</v>
      </c>
      <c r="B58" s="8" t="s">
        <v>239</v>
      </c>
      <c r="C58" s="8">
        <v>4</v>
      </c>
      <c r="D58" s="9">
        <v>1</v>
      </c>
      <c r="E58" s="9">
        <v>1</v>
      </c>
      <c r="F58" s="9">
        <v>2</v>
      </c>
      <c r="G58" s="39" t="str">
        <f t="shared" si="5"/>
        <v>N,4,1,1,2</v>
      </c>
      <c r="H58" s="9">
        <f>indirect_model_parameters!$G$31</f>
        <v>0.95</v>
      </c>
      <c r="I58" s="9">
        <f>IF(D58=1,1-indirect_model_parameters!$G$55,indirect_model_parameters!$G$55)</f>
        <v>0.96299999999999997</v>
      </c>
      <c r="J58" s="9">
        <f>IF(E58=1,indirect_model_parameters!$G$16,indirect_model_parameters!$G$17)*IF(E58=2,indirect_model_parameters!$G$10,IF(E58=3,indirect_model_parameters!$G$12,IF(E58=4,indirect_model_parameters!$G$14,1)))</f>
        <v>0.7</v>
      </c>
      <c r="L58" s="9">
        <f t="shared" si="6"/>
        <v>0.64039499999999994</v>
      </c>
      <c r="M58" s="9">
        <f>(L58/SUM($L$34:$L$81))*indirect_model_parameters!$G$20</f>
        <v>0.15549729930624381</v>
      </c>
      <c r="N58" s="37">
        <f>M58*indirect_model_parameters!$G$9</f>
        <v>15549.729930624382</v>
      </c>
    </row>
    <row r="59" spans="1:14" ht="48" x14ac:dyDescent="0.2">
      <c r="A59" s="1" t="str">
        <f t="shared" si="4"/>
        <v>Population in TB compartment  LTBI, infected remotely with  Multidrug-resistant (MDR-TB) in HIV compartment  HIV-negative and Female</v>
      </c>
      <c r="B59" s="8" t="s">
        <v>239</v>
      </c>
      <c r="C59" s="8">
        <v>4</v>
      </c>
      <c r="D59" s="9">
        <v>2</v>
      </c>
      <c r="E59" s="9">
        <v>1</v>
      </c>
      <c r="F59" s="9">
        <v>2</v>
      </c>
      <c r="G59" s="39" t="str">
        <f t="shared" si="5"/>
        <v>N,4,2,1,2</v>
      </c>
      <c r="H59" s="9">
        <f>indirect_model_parameters!$G$31</f>
        <v>0.95</v>
      </c>
      <c r="I59" s="9">
        <f>IF(D59=1,1-indirect_model_parameters!$G$55,indirect_model_parameters!$G$55)</f>
        <v>3.6999999999999998E-2</v>
      </c>
      <c r="J59" s="9">
        <f>IF(E59=1,indirect_model_parameters!$G$16,indirect_model_parameters!$G$17)*IF(E59=2,indirect_model_parameters!$G$10,IF(E59=3,indirect_model_parameters!$G$12,IF(E59=4,indirect_model_parameters!$G$14,1)))</f>
        <v>0.7</v>
      </c>
      <c r="L59" s="9">
        <f t="shared" si="6"/>
        <v>2.4604999999999995E-2</v>
      </c>
      <c r="M59" s="9">
        <f>(L59/SUM($L$34:$L$81))*indirect_model_parameters!$G$20</f>
        <v>5.9744549058473742E-3</v>
      </c>
      <c r="N59" s="37">
        <f>M59*indirect_model_parameters!$G$9</f>
        <v>597.4454905847374</v>
      </c>
    </row>
    <row r="60" spans="1:14" ht="48" x14ac:dyDescent="0.2">
      <c r="A60" s="1" t="str">
        <f t="shared" si="4"/>
        <v>Population in TB compartment  LTBI, infected remotely with Drug-susceptible (DS) in HIV compartment  PLHIV not on ART, CD4&gt;200 and Female</v>
      </c>
      <c r="B60" s="8" t="s">
        <v>239</v>
      </c>
      <c r="C60" s="8">
        <v>4</v>
      </c>
      <c r="D60" s="9">
        <v>1</v>
      </c>
      <c r="E60" s="9">
        <v>2</v>
      </c>
      <c r="F60" s="9">
        <v>2</v>
      </c>
      <c r="G60" s="39" t="str">
        <f t="shared" si="5"/>
        <v>N,4,1,2,2</v>
      </c>
      <c r="H60" s="9">
        <f>indirect_model_parameters!$G$31</f>
        <v>0.95</v>
      </c>
      <c r="I60" s="9">
        <f>IF(D60=1,1-indirect_model_parameters!$G$55,indirect_model_parameters!$G$55)</f>
        <v>0.96299999999999997</v>
      </c>
      <c r="J60" s="9">
        <f>IF(E60=1,indirect_model_parameters!$G$16,indirect_model_parameters!$G$17)*IF(E60=2,indirect_model_parameters!$G$10,IF(E60=3,indirect_model_parameters!$G$12,IF(E60=4,indirect_model_parameters!$G$14,1)))</f>
        <v>0.13499999999999998</v>
      </c>
      <c r="L60" s="9">
        <f t="shared" si="6"/>
        <v>0.12350474999999997</v>
      </c>
      <c r="M60" s="9">
        <f>(L60/SUM($L$34:$L$81))*indirect_model_parameters!$G$20</f>
        <v>2.9988764866204165E-2</v>
      </c>
      <c r="N60" s="37">
        <f>M60*indirect_model_parameters!$G$9</f>
        <v>2998.8764866204165</v>
      </c>
    </row>
    <row r="61" spans="1:14" ht="48" x14ac:dyDescent="0.2">
      <c r="A61" s="1" t="str">
        <f t="shared" si="4"/>
        <v>Population in TB compartment  LTBI, infected remotely with  Multidrug-resistant (MDR-TB) in HIV compartment  PLHIV not on ART, CD4&gt;200 and Female</v>
      </c>
      <c r="B61" s="8" t="s">
        <v>239</v>
      </c>
      <c r="C61" s="8">
        <v>4</v>
      </c>
      <c r="D61" s="9">
        <v>2</v>
      </c>
      <c r="E61" s="9">
        <v>2</v>
      </c>
      <c r="F61" s="9">
        <v>2</v>
      </c>
      <c r="G61" s="39" t="str">
        <f t="shared" si="5"/>
        <v>N,4,2,2,2</v>
      </c>
      <c r="H61" s="9">
        <f>indirect_model_parameters!$G$31</f>
        <v>0.95</v>
      </c>
      <c r="I61" s="9">
        <f>IF(D61=1,1-indirect_model_parameters!$G$55,indirect_model_parameters!$G$55)</f>
        <v>3.6999999999999998E-2</v>
      </c>
      <c r="J61" s="9">
        <f>IF(E61=1,indirect_model_parameters!$G$16,indirect_model_parameters!$G$17)*IF(E61=2,indirect_model_parameters!$G$10,IF(E61=3,indirect_model_parameters!$G$12,IF(E61=4,indirect_model_parameters!$G$14,1)))</f>
        <v>0.13499999999999998</v>
      </c>
      <c r="L61" s="9">
        <f t="shared" si="6"/>
        <v>4.7452499999999986E-3</v>
      </c>
      <c r="M61" s="9">
        <f>(L61/SUM($L$34:$L$81))*indirect_model_parameters!$G$20</f>
        <v>1.1522163032705651E-3</v>
      </c>
      <c r="N61" s="37">
        <f>M61*indirect_model_parameters!$G$9</f>
        <v>115.2216303270565</v>
      </c>
    </row>
    <row r="62" spans="1:14" ht="48" x14ac:dyDescent="0.2">
      <c r="A62" s="1" t="str">
        <f t="shared" si="4"/>
        <v>Population in TB compartment  LTBI, infected remotely with Drug-susceptible (DS) in HIV compartment  PLHIV not on ART, CD4≤200 and Female</v>
      </c>
      <c r="B62" s="8" t="s">
        <v>239</v>
      </c>
      <c r="C62" s="8">
        <v>4</v>
      </c>
      <c r="D62" s="9">
        <v>1</v>
      </c>
      <c r="E62" s="9">
        <v>3</v>
      </c>
      <c r="F62" s="9">
        <v>2</v>
      </c>
      <c r="G62" s="39" t="str">
        <f t="shared" si="5"/>
        <v>N,4,1,3,2</v>
      </c>
      <c r="H62" s="9">
        <f>indirect_model_parameters!$G$31</f>
        <v>0.95</v>
      </c>
      <c r="I62" s="9">
        <f>IF(D62=1,1-indirect_model_parameters!$G$55,indirect_model_parameters!$G$55)</f>
        <v>0.96299999999999997</v>
      </c>
      <c r="J62" s="9">
        <f>IF(E62=1,indirect_model_parameters!$G$16,indirect_model_parameters!$G$17)*IF(E62=2,indirect_model_parameters!$G$10,IF(E62=3,indirect_model_parameters!$G$12,IF(E62=4,indirect_model_parameters!$G$14,1)))</f>
        <v>0.16500000000000001</v>
      </c>
      <c r="L62" s="9">
        <f t="shared" si="6"/>
        <v>0.15095025000000001</v>
      </c>
      <c r="M62" s="9">
        <f>(L62/SUM($L$34:$L$81))*indirect_model_parameters!$G$20</f>
        <v>3.6652934836471765E-2</v>
      </c>
      <c r="N62" s="37">
        <f>M62*indirect_model_parameters!$G$9</f>
        <v>3665.2934836471763</v>
      </c>
    </row>
    <row r="63" spans="1:14" ht="48" x14ac:dyDescent="0.2">
      <c r="A63" s="1" t="str">
        <f t="shared" si="4"/>
        <v>Population in TB compartment  LTBI, infected remotely with  Multidrug-resistant (MDR-TB) in HIV compartment  PLHIV not on ART, CD4≤200 and Female</v>
      </c>
      <c r="B63" s="8" t="s">
        <v>239</v>
      </c>
      <c r="C63" s="8">
        <v>4</v>
      </c>
      <c r="D63" s="9">
        <v>2</v>
      </c>
      <c r="E63" s="9">
        <v>3</v>
      </c>
      <c r="F63" s="9">
        <v>2</v>
      </c>
      <c r="G63" s="39" t="str">
        <f t="shared" si="5"/>
        <v>N,4,2,3,2</v>
      </c>
      <c r="H63" s="9">
        <f>indirect_model_parameters!$G$31</f>
        <v>0.95</v>
      </c>
      <c r="I63" s="9">
        <f>IF(D63=1,1-indirect_model_parameters!$G$55,indirect_model_parameters!$G$55)</f>
        <v>3.6999999999999998E-2</v>
      </c>
      <c r="J63" s="9">
        <f>IF(E63=1,indirect_model_parameters!$G$16,indirect_model_parameters!$G$17)*IF(E63=2,indirect_model_parameters!$G$10,IF(E63=3,indirect_model_parameters!$G$12,IF(E63=4,indirect_model_parameters!$G$14,1)))</f>
        <v>0.16500000000000001</v>
      </c>
      <c r="L63" s="9">
        <f t="shared" si="6"/>
        <v>5.7997499999999994E-3</v>
      </c>
      <c r="M63" s="9">
        <f>(L63/SUM($L$34:$L$81))*indirect_model_parameters!$G$20</f>
        <v>1.408264370664024E-3</v>
      </c>
      <c r="N63" s="37">
        <f>M63*indirect_model_parameters!$G$9</f>
        <v>140.82643706640241</v>
      </c>
    </row>
    <row r="64" spans="1:14" ht="48" x14ac:dyDescent="0.2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indirect_model_parameters!$G$31</f>
        <v>0.95</v>
      </c>
      <c r="I64" s="9">
        <f>IF(D64=1,1-indirect_model_parameters!$G$55,indirect_model_parameters!$G$55)</f>
        <v>0.96299999999999997</v>
      </c>
      <c r="J64" s="9">
        <f>IF(E64=1,indirect_model_parameters!$G$16,indirect_model_parameters!$G$17)*IF(E64=2,indirect_model_parameters!$G$10,IF(E64=3,indirect_model_parameters!$G$12,IF(E64=4,indirect_model_parameters!$G$14,1)))</f>
        <v>0</v>
      </c>
      <c r="L64" s="9">
        <f t="shared" si="6"/>
        <v>0</v>
      </c>
      <c r="M64" s="9">
        <f>(L64/SUM($L$34:$L$81))*indirect_model_parameters!$G$20</f>
        <v>0</v>
      </c>
      <c r="N64" s="37">
        <f>M64*indirect_model_parameters!$G$9</f>
        <v>0</v>
      </c>
    </row>
    <row r="65" spans="1:14" ht="48" x14ac:dyDescent="0.2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indirect_model_parameters!$G$31</f>
        <v>0.95</v>
      </c>
      <c r="I65" s="9">
        <f>IF(D65=1,1-indirect_model_parameters!$G$55,indirect_model_parameters!$G$55)</f>
        <v>3.6999999999999998E-2</v>
      </c>
      <c r="J65" s="9">
        <f>IF(E65=1,indirect_model_parameters!$G$16,indirect_model_parameters!$G$17)*IF(E65=2,indirect_model_parameters!$G$10,IF(E65=3,indirect_model_parameters!$G$12,IF(E65=4,indirect_model_parameters!$G$14,1)))</f>
        <v>0</v>
      </c>
      <c r="L65" s="9">
        <f t="shared" si="6"/>
        <v>0</v>
      </c>
      <c r="M65" s="9">
        <f>(L65/SUM($L$34:$L$81))*indirect_model_parameters!$G$20</f>
        <v>0</v>
      </c>
      <c r="N65" s="37">
        <f>M65*indirect_model_parameters!$G$9</f>
        <v>0</v>
      </c>
    </row>
    <row r="66" spans="1:14" ht="32" x14ac:dyDescent="0.2">
      <c r="A66" s="1" t="str">
        <f t="shared" ref="A66:A97" si="7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8">CONCATENATE( B66, IF(B66&lt;&gt;"",",",""), C66, IF(C66&lt;&gt;"",",",""),  D66, IF(D66&lt;&gt;"",",",""),  E66, IF(F66&lt;&gt;"",",",""), F66,)</f>
        <v>N,5,1,1,1</v>
      </c>
      <c r="H66" s="9">
        <f>indirect_model_parameters!$G$32</f>
        <v>0.01</v>
      </c>
      <c r="I66" s="9">
        <f>IF(D66=1,1-indirect_model_parameters!$G$55,indirect_model_parameters!$G$55)</f>
        <v>0.96299999999999997</v>
      </c>
      <c r="J66" s="9">
        <f>IF(E66=1,indirect_model_parameters!$G$16,indirect_model_parameters!$G$17)*IF(E66=2,indirect_model_parameters!$G$10,IF(E66=3,indirect_model_parameters!$G$12,IF(E66=4,indirect_model_parameters!$G$14,1)))</f>
        <v>0.7</v>
      </c>
      <c r="L66" s="9">
        <f t="shared" ref="L66:L97" si="9">PRODUCT(H66:J66)</f>
        <v>6.7409999999999996E-3</v>
      </c>
      <c r="M66" s="9">
        <f>(L66/SUM($L$34:$L$81))*indirect_model_parameters!$G$20</f>
        <v>1.6368136769078299E-3</v>
      </c>
      <c r="N66" s="37">
        <f>M66*indirect_model_parameters!$G$9</f>
        <v>163.68136769078299</v>
      </c>
    </row>
    <row r="67" spans="1:14" ht="32" x14ac:dyDescent="0.2">
      <c r="A67" s="1" t="str">
        <f t="shared" si="7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8"/>
        <v>N,5,2,1,1</v>
      </c>
      <c r="H67" s="9">
        <f>indirect_model_parameters!$G$32</f>
        <v>0.01</v>
      </c>
      <c r="I67" s="9">
        <f>IF(D67=1,1-indirect_model_parameters!$G$55,indirect_model_parameters!$G$55)</f>
        <v>3.6999999999999998E-2</v>
      </c>
      <c r="J67" s="9">
        <f>IF(E67=1,indirect_model_parameters!$G$16,indirect_model_parameters!$G$17)*IF(E67=2,indirect_model_parameters!$G$10,IF(E67=3,indirect_model_parameters!$G$12,IF(E67=4,indirect_model_parameters!$G$14,1)))</f>
        <v>0.7</v>
      </c>
      <c r="L67" s="9">
        <f t="shared" si="9"/>
        <v>2.5899999999999995E-4</v>
      </c>
      <c r="M67" s="9">
        <f>(L67/SUM($L$34:$L$81))*indirect_model_parameters!$G$20</f>
        <v>6.2888999008919736E-5</v>
      </c>
      <c r="N67" s="37">
        <f>M67*indirect_model_parameters!$G$9</f>
        <v>6.2888999008919733</v>
      </c>
    </row>
    <row r="68" spans="1:14" ht="32" x14ac:dyDescent="0.2">
      <c r="A68" s="1" t="str">
        <f t="shared" si="7"/>
        <v>Population in TB compartment  LTBI, on IPT with Drug-susceptible (DS) in HIV compartment  PLHIV not on ART, CD4&gt;200 and Male</v>
      </c>
      <c r="B68" s="8" t="s">
        <v>239</v>
      </c>
      <c r="C68" s="8">
        <v>5</v>
      </c>
      <c r="D68" s="9">
        <v>1</v>
      </c>
      <c r="E68" s="9">
        <v>2</v>
      </c>
      <c r="F68" s="9">
        <v>1</v>
      </c>
      <c r="G68" s="39" t="str">
        <f t="shared" si="8"/>
        <v>N,5,1,2,1</v>
      </c>
      <c r="H68" s="9">
        <f>indirect_model_parameters!$G$32</f>
        <v>0.01</v>
      </c>
      <c r="I68" s="9">
        <f>IF(D68=1,1-indirect_model_parameters!$G$55,indirect_model_parameters!$G$55)</f>
        <v>0.96299999999999997</v>
      </c>
      <c r="J68" s="9">
        <f>IF(E68=1,indirect_model_parameters!$G$16,indirect_model_parameters!$G$17)*IF(E68=2,indirect_model_parameters!$G$10,IF(E68=3,indirect_model_parameters!$G$12,IF(E68=4,indirect_model_parameters!$G$14,1)))</f>
        <v>0.13499999999999998</v>
      </c>
      <c r="L68" s="9">
        <f t="shared" si="9"/>
        <v>1.3000499999999999E-3</v>
      </c>
      <c r="M68" s="9">
        <f>(L68/SUM($L$34:$L$81))*indirect_model_parameters!$G$20</f>
        <v>3.1567120911793863E-4</v>
      </c>
      <c r="N68" s="37">
        <f>M68*indirect_model_parameters!$G$9</f>
        <v>31.567120911793864</v>
      </c>
    </row>
    <row r="69" spans="1:14" ht="48" x14ac:dyDescent="0.2">
      <c r="A69" s="1" t="str">
        <f t="shared" si="7"/>
        <v>Population in TB compartment  LTBI, on IPT with  Multidrug-resistant (MDR-TB) in HIV compartment  PLHIV not on ART, CD4&gt;200 and Male</v>
      </c>
      <c r="B69" s="8" t="s">
        <v>239</v>
      </c>
      <c r="C69" s="8">
        <v>5</v>
      </c>
      <c r="D69" s="9">
        <v>2</v>
      </c>
      <c r="E69" s="9">
        <v>2</v>
      </c>
      <c r="F69" s="9">
        <v>1</v>
      </c>
      <c r="G69" s="39" t="str">
        <f t="shared" si="8"/>
        <v>N,5,2,2,1</v>
      </c>
      <c r="H69" s="9">
        <f>indirect_model_parameters!$G$32</f>
        <v>0.01</v>
      </c>
      <c r="I69" s="9">
        <f>IF(D69=1,1-indirect_model_parameters!$G$55,indirect_model_parameters!$G$55)</f>
        <v>3.6999999999999998E-2</v>
      </c>
      <c r="J69" s="9">
        <f>IF(E69=1,indirect_model_parameters!$G$16,indirect_model_parameters!$G$17)*IF(E69=2,indirect_model_parameters!$G$10,IF(E69=3,indirect_model_parameters!$G$12,IF(E69=4,indirect_model_parameters!$G$14,1)))</f>
        <v>0.13499999999999998</v>
      </c>
      <c r="L69" s="9">
        <f t="shared" si="9"/>
        <v>4.9949999999999994E-5</v>
      </c>
      <c r="M69" s="9">
        <f>(L69/SUM($L$34:$L$81))*indirect_model_parameters!$G$20</f>
        <v>1.2128592666005949E-5</v>
      </c>
      <c r="N69" s="37">
        <f>M69*indirect_model_parameters!$G$9</f>
        <v>1.2128592666005948</v>
      </c>
    </row>
    <row r="70" spans="1:14" ht="32" x14ac:dyDescent="0.2">
      <c r="A70" s="1" t="str">
        <f t="shared" si="7"/>
        <v>Population in TB compartment  LTBI, on IPT with Drug-susceptible (DS) in HIV compartment  PLHIV not on ART, CD4≤200 and Male</v>
      </c>
      <c r="B70" s="8" t="s">
        <v>239</v>
      </c>
      <c r="C70" s="8">
        <v>5</v>
      </c>
      <c r="D70" s="9">
        <v>1</v>
      </c>
      <c r="E70" s="9">
        <v>3</v>
      </c>
      <c r="F70" s="9">
        <v>1</v>
      </c>
      <c r="G70" s="39" t="str">
        <f t="shared" si="8"/>
        <v>N,5,1,3,1</v>
      </c>
      <c r="H70" s="9">
        <f>indirect_model_parameters!$G$32</f>
        <v>0.01</v>
      </c>
      <c r="I70" s="9">
        <f>IF(D70=1,1-indirect_model_parameters!$G$55,indirect_model_parameters!$G$55)</f>
        <v>0.96299999999999997</v>
      </c>
      <c r="J70" s="9">
        <f>IF(E70=1,indirect_model_parameters!$G$16,indirect_model_parameters!$G$17)*IF(E70=2,indirect_model_parameters!$G$10,IF(E70=3,indirect_model_parameters!$G$12,IF(E70=4,indirect_model_parameters!$G$14,1)))</f>
        <v>0.16500000000000001</v>
      </c>
      <c r="L70" s="9">
        <f t="shared" si="9"/>
        <v>1.58895E-3</v>
      </c>
      <c r="M70" s="9">
        <f>(L70/SUM($L$34:$L$81))*indirect_model_parameters!$G$20</f>
        <v>3.8582036669970276E-4</v>
      </c>
      <c r="N70" s="37">
        <f>M70*indirect_model_parameters!$G$9</f>
        <v>38.582036669970279</v>
      </c>
    </row>
    <row r="71" spans="1:14" ht="48" x14ac:dyDescent="0.2">
      <c r="A71" s="1" t="str">
        <f t="shared" si="7"/>
        <v>Population in TB compartment  LTBI, on IPT with  Multidrug-resistant (MDR-TB) in HIV compartment  PLHIV not on ART, CD4≤200 and Male</v>
      </c>
      <c r="B71" s="8" t="s">
        <v>239</v>
      </c>
      <c r="C71" s="8">
        <v>5</v>
      </c>
      <c r="D71" s="9">
        <v>2</v>
      </c>
      <c r="E71" s="9">
        <v>3</v>
      </c>
      <c r="F71" s="9">
        <v>1</v>
      </c>
      <c r="G71" s="39" t="str">
        <f t="shared" si="8"/>
        <v>N,5,2,3,1</v>
      </c>
      <c r="H71" s="9">
        <f>indirect_model_parameters!$G$32</f>
        <v>0.01</v>
      </c>
      <c r="I71" s="9">
        <f>IF(D71=1,1-indirect_model_parameters!$G$55,indirect_model_parameters!$G$55)</f>
        <v>3.6999999999999998E-2</v>
      </c>
      <c r="J71" s="9">
        <f>IF(E71=1,indirect_model_parameters!$G$16,indirect_model_parameters!$G$17)*IF(E71=2,indirect_model_parameters!$G$10,IF(E71=3,indirect_model_parameters!$G$12,IF(E71=4,indirect_model_parameters!$G$14,1)))</f>
        <v>0.16500000000000001</v>
      </c>
      <c r="L71" s="9">
        <f t="shared" si="9"/>
        <v>6.1050000000000007E-5</v>
      </c>
      <c r="M71" s="9">
        <f>(L71/SUM($L$34:$L$81))*indirect_model_parameters!$G$20</f>
        <v>1.4823835480673941E-5</v>
      </c>
      <c r="N71" s="37">
        <f>M71*indirect_model_parameters!$G$9</f>
        <v>1.4823835480673941</v>
      </c>
    </row>
    <row r="72" spans="1:14" ht="32" x14ac:dyDescent="0.2">
      <c r="A72" s="1" t="str">
        <f t="shared" si="7"/>
        <v>Population in TB compartment  LTBI, on IPT with Drug-susceptible (DS) in HIV compartment  PLHIV and on ART and Male</v>
      </c>
      <c r="B72" s="8" t="s">
        <v>239</v>
      </c>
      <c r="C72" s="8">
        <v>5</v>
      </c>
      <c r="D72" s="9">
        <v>1</v>
      </c>
      <c r="E72" s="9">
        <v>4</v>
      </c>
      <c r="F72" s="9">
        <v>1</v>
      </c>
      <c r="G72" s="39" t="str">
        <f t="shared" si="8"/>
        <v>N,5,1,4,1</v>
      </c>
      <c r="H72" s="9">
        <f>indirect_model_parameters!$G$32</f>
        <v>0.01</v>
      </c>
      <c r="I72" s="9">
        <f>IF(D72=1,1-indirect_model_parameters!$G$55,indirect_model_parameters!$G$55)</f>
        <v>0.96299999999999997</v>
      </c>
      <c r="J72" s="9">
        <f>IF(E72=1,indirect_model_parameters!$G$16,indirect_model_parameters!$G$17)*IF(E72=2,indirect_model_parameters!$G$10,IF(E72=3,indirect_model_parameters!$G$12,IF(E72=4,indirect_model_parameters!$G$14,1)))</f>
        <v>0</v>
      </c>
      <c r="L72" s="9">
        <f t="shared" si="9"/>
        <v>0</v>
      </c>
      <c r="M72" s="9">
        <f>(L72/SUM($L$34:$L$81))*indirect_model_parameters!$G$20</f>
        <v>0</v>
      </c>
      <c r="N72" s="37">
        <f>M72*indirect_model_parameters!$G$9</f>
        <v>0</v>
      </c>
    </row>
    <row r="73" spans="1:14" ht="48" x14ac:dyDescent="0.2">
      <c r="A73" s="1" t="str">
        <f t="shared" si="7"/>
        <v>Population in TB compartment  LTBI, on IPT with  Multidrug-resistant (MDR-TB) in HIV compartment  PLHIV and on ART and Male</v>
      </c>
      <c r="B73" s="8" t="s">
        <v>239</v>
      </c>
      <c r="C73" s="8">
        <v>5</v>
      </c>
      <c r="D73" s="9">
        <v>2</v>
      </c>
      <c r="E73" s="9">
        <v>4</v>
      </c>
      <c r="F73" s="9">
        <v>1</v>
      </c>
      <c r="G73" s="39" t="str">
        <f t="shared" si="8"/>
        <v>N,5,2,4,1</v>
      </c>
      <c r="H73" s="9">
        <f>indirect_model_parameters!$G$32</f>
        <v>0.01</v>
      </c>
      <c r="I73" s="9">
        <f>IF(D73=1,1-indirect_model_parameters!$G$55,indirect_model_parameters!$G$55)</f>
        <v>3.6999999999999998E-2</v>
      </c>
      <c r="J73" s="9">
        <f>IF(E73=1,indirect_model_parameters!$G$16,indirect_model_parameters!$G$17)*IF(E73=2,indirect_model_parameters!$G$10,IF(E73=3,indirect_model_parameters!$G$12,IF(E73=4,indirect_model_parameters!$G$14,1)))</f>
        <v>0</v>
      </c>
      <c r="L73" s="9">
        <f t="shared" si="9"/>
        <v>0</v>
      </c>
      <c r="M73" s="9">
        <f>(L73/SUM($L$34:$L$81))*indirect_model_parameters!$G$20</f>
        <v>0</v>
      </c>
      <c r="N73" s="37">
        <f>M73*indirect_model_parameters!$G$9</f>
        <v>0</v>
      </c>
    </row>
    <row r="74" spans="1:14" ht="32" x14ac:dyDescent="0.2">
      <c r="A74" s="1" t="str">
        <f t="shared" si="7"/>
        <v>Population in TB compartment  LTBI, on IPT with Drug-susceptible (DS) in HIV compartment  HIV-negative and Female</v>
      </c>
      <c r="B74" s="8" t="s">
        <v>239</v>
      </c>
      <c r="C74" s="8">
        <v>5</v>
      </c>
      <c r="D74" s="9">
        <v>1</v>
      </c>
      <c r="E74" s="9">
        <v>1</v>
      </c>
      <c r="F74" s="9">
        <v>2</v>
      </c>
      <c r="G74" s="39" t="str">
        <f t="shared" si="8"/>
        <v>N,5,1,1,2</v>
      </c>
      <c r="H74" s="9">
        <f>indirect_model_parameters!$G$32</f>
        <v>0.01</v>
      </c>
      <c r="I74" s="9">
        <f>IF(D74=1,1-indirect_model_parameters!$G$55,indirect_model_parameters!$G$55)</f>
        <v>0.96299999999999997</v>
      </c>
      <c r="J74" s="9">
        <f>IF(E74=1,indirect_model_parameters!$G$16,indirect_model_parameters!$G$17)*IF(E74=2,indirect_model_parameters!$G$10,IF(E74=3,indirect_model_parameters!$G$12,IF(E74=4,indirect_model_parameters!$G$14,1)))</f>
        <v>0.7</v>
      </c>
      <c r="L74" s="9">
        <f t="shared" si="9"/>
        <v>6.7409999999999996E-3</v>
      </c>
      <c r="M74" s="9">
        <f>(L74/SUM($L$34:$L$81))*indirect_model_parameters!$G$20</f>
        <v>1.6368136769078299E-3</v>
      </c>
      <c r="N74" s="37">
        <f>M74*indirect_model_parameters!$G$9</f>
        <v>163.68136769078299</v>
      </c>
    </row>
    <row r="75" spans="1:14" ht="32" x14ac:dyDescent="0.2">
      <c r="A75" s="1" t="str">
        <f t="shared" si="7"/>
        <v>Population in TB compartment  LTBI, on IPT with  Multidrug-resistant (MDR-TB) in HIV compartment  HIV-negative and Female</v>
      </c>
      <c r="B75" s="8" t="s">
        <v>239</v>
      </c>
      <c r="C75" s="8">
        <v>5</v>
      </c>
      <c r="D75" s="9">
        <v>2</v>
      </c>
      <c r="E75" s="9">
        <v>1</v>
      </c>
      <c r="F75" s="9">
        <v>2</v>
      </c>
      <c r="G75" s="39" t="str">
        <f t="shared" si="8"/>
        <v>N,5,2,1,2</v>
      </c>
      <c r="H75" s="9">
        <f>indirect_model_parameters!$G$32</f>
        <v>0.01</v>
      </c>
      <c r="I75" s="9">
        <f>IF(D75=1,1-indirect_model_parameters!$G$55,indirect_model_parameters!$G$55)</f>
        <v>3.6999999999999998E-2</v>
      </c>
      <c r="J75" s="9">
        <f>IF(E75=1,indirect_model_parameters!$G$16,indirect_model_parameters!$G$17)*IF(E75=2,indirect_model_parameters!$G$10,IF(E75=3,indirect_model_parameters!$G$12,IF(E75=4,indirect_model_parameters!$G$14,1)))</f>
        <v>0.7</v>
      </c>
      <c r="L75" s="9">
        <f t="shared" si="9"/>
        <v>2.5899999999999995E-4</v>
      </c>
      <c r="M75" s="9">
        <f>(L75/SUM($L$34:$L$81))*indirect_model_parameters!$G$20</f>
        <v>6.2888999008919736E-5</v>
      </c>
      <c r="N75" s="37">
        <f>M75*indirect_model_parameters!$G$9</f>
        <v>6.2888999008919733</v>
      </c>
    </row>
    <row r="76" spans="1:14" ht="32" x14ac:dyDescent="0.2">
      <c r="A76" s="1" t="str">
        <f t="shared" si="7"/>
        <v>Population in TB compartment  LTBI, on IPT with Drug-susceptible (DS) in HIV compartment  PLHIV not on ART, CD4&gt;200 and Female</v>
      </c>
      <c r="B76" s="8" t="s">
        <v>239</v>
      </c>
      <c r="C76" s="8">
        <v>5</v>
      </c>
      <c r="D76" s="9">
        <v>1</v>
      </c>
      <c r="E76" s="9">
        <v>2</v>
      </c>
      <c r="F76" s="9">
        <v>2</v>
      </c>
      <c r="G76" s="39" t="str">
        <f t="shared" si="8"/>
        <v>N,5,1,2,2</v>
      </c>
      <c r="H76" s="9">
        <f>indirect_model_parameters!$G$32</f>
        <v>0.01</v>
      </c>
      <c r="I76" s="9">
        <f>IF(D76=1,1-indirect_model_parameters!$G$55,indirect_model_parameters!$G$55)</f>
        <v>0.96299999999999997</v>
      </c>
      <c r="J76" s="9">
        <f>IF(E76=1,indirect_model_parameters!$G$16,indirect_model_parameters!$G$17)*IF(E76=2,indirect_model_parameters!$G$10,IF(E76=3,indirect_model_parameters!$G$12,IF(E76=4,indirect_model_parameters!$G$14,1)))</f>
        <v>0.13499999999999998</v>
      </c>
      <c r="L76" s="9">
        <f t="shared" si="9"/>
        <v>1.3000499999999999E-3</v>
      </c>
      <c r="M76" s="9">
        <f>(L76/SUM($L$34:$L$81))*indirect_model_parameters!$G$20</f>
        <v>3.1567120911793863E-4</v>
      </c>
      <c r="N76" s="37">
        <f>M76*indirect_model_parameters!$G$9</f>
        <v>31.567120911793864</v>
      </c>
    </row>
    <row r="77" spans="1:14" ht="48" x14ac:dyDescent="0.2">
      <c r="A77" s="1" t="str">
        <f t="shared" si="7"/>
        <v>Population in TB compartment  LTBI, on IPT with  Multidrug-resistant (MDR-TB) in HIV compartment  PLHIV not on ART, CD4&gt;200 and Female</v>
      </c>
      <c r="B77" s="8" t="s">
        <v>239</v>
      </c>
      <c r="C77" s="8">
        <v>5</v>
      </c>
      <c r="D77" s="9">
        <v>2</v>
      </c>
      <c r="E77" s="9">
        <v>2</v>
      </c>
      <c r="F77" s="9">
        <v>2</v>
      </c>
      <c r="G77" s="39" t="str">
        <f t="shared" si="8"/>
        <v>N,5,2,2,2</v>
      </c>
      <c r="H77" s="9">
        <f>indirect_model_parameters!$G$32</f>
        <v>0.01</v>
      </c>
      <c r="I77" s="9">
        <f>IF(D77=1,1-indirect_model_parameters!$G$55,indirect_model_parameters!$G$55)</f>
        <v>3.6999999999999998E-2</v>
      </c>
      <c r="J77" s="9">
        <f>IF(E77=1,indirect_model_parameters!$G$16,indirect_model_parameters!$G$17)*IF(E77=2,indirect_model_parameters!$G$10,IF(E77=3,indirect_model_parameters!$G$12,IF(E77=4,indirect_model_parameters!$G$14,1)))</f>
        <v>0.13499999999999998</v>
      </c>
      <c r="L77" s="9">
        <f t="shared" si="9"/>
        <v>4.9949999999999994E-5</v>
      </c>
      <c r="M77" s="9">
        <f>(L77/SUM($L$34:$L$81))*indirect_model_parameters!$G$20</f>
        <v>1.2128592666005949E-5</v>
      </c>
      <c r="N77" s="37">
        <f>M77*indirect_model_parameters!$G$9</f>
        <v>1.2128592666005948</v>
      </c>
    </row>
    <row r="78" spans="1:14" ht="32" x14ac:dyDescent="0.2">
      <c r="A78" s="1" t="str">
        <f t="shared" si="7"/>
        <v>Population in TB compartment  LTBI, on IPT with Drug-susceptible (DS) in HIV compartment  PLHIV not on ART, CD4≤200 and Female</v>
      </c>
      <c r="B78" s="8" t="s">
        <v>239</v>
      </c>
      <c r="C78" s="8">
        <v>5</v>
      </c>
      <c r="D78" s="9">
        <v>1</v>
      </c>
      <c r="E78" s="9">
        <v>3</v>
      </c>
      <c r="F78" s="9">
        <v>2</v>
      </c>
      <c r="G78" s="39" t="str">
        <f t="shared" si="8"/>
        <v>N,5,1,3,2</v>
      </c>
      <c r="H78" s="9">
        <f>indirect_model_parameters!$G$32</f>
        <v>0.01</v>
      </c>
      <c r="I78" s="9">
        <f>IF(D78=1,1-indirect_model_parameters!$G$55,indirect_model_parameters!$G$55)</f>
        <v>0.96299999999999997</v>
      </c>
      <c r="J78" s="9">
        <f>IF(E78=1,indirect_model_parameters!$G$16,indirect_model_parameters!$G$17)*IF(E78=2,indirect_model_parameters!$G$10,IF(E78=3,indirect_model_parameters!$G$12,IF(E78=4,indirect_model_parameters!$G$14,1)))</f>
        <v>0.16500000000000001</v>
      </c>
      <c r="L78" s="9">
        <f t="shared" si="9"/>
        <v>1.58895E-3</v>
      </c>
      <c r="M78" s="9">
        <f>(L78/SUM($L$34:$L$81))*indirect_model_parameters!$G$20</f>
        <v>3.8582036669970276E-4</v>
      </c>
      <c r="N78" s="37">
        <f>M78*indirect_model_parameters!$G$9</f>
        <v>38.582036669970279</v>
      </c>
    </row>
    <row r="79" spans="1:14" ht="48" x14ac:dyDescent="0.2">
      <c r="A79" s="1" t="str">
        <f t="shared" si="7"/>
        <v>Population in TB compartment  LTBI, on IPT with  Multidrug-resistant (MDR-TB) in HIV compartment  PLHIV not on ART, CD4≤200 and Female</v>
      </c>
      <c r="B79" s="8" t="s">
        <v>239</v>
      </c>
      <c r="C79" s="8">
        <v>5</v>
      </c>
      <c r="D79" s="9">
        <v>2</v>
      </c>
      <c r="E79" s="9">
        <v>3</v>
      </c>
      <c r="F79" s="9">
        <v>2</v>
      </c>
      <c r="G79" s="39" t="str">
        <f t="shared" si="8"/>
        <v>N,5,2,3,2</v>
      </c>
      <c r="H79" s="9">
        <f>indirect_model_parameters!$G$32</f>
        <v>0.01</v>
      </c>
      <c r="I79" s="9">
        <f>IF(D79=1,1-indirect_model_parameters!$G$55,indirect_model_parameters!$G$55)</f>
        <v>3.6999999999999998E-2</v>
      </c>
      <c r="J79" s="9">
        <f>IF(E79=1,indirect_model_parameters!$G$16,indirect_model_parameters!$G$17)*IF(E79=2,indirect_model_parameters!$G$10,IF(E79=3,indirect_model_parameters!$G$12,IF(E79=4,indirect_model_parameters!$G$14,1)))</f>
        <v>0.16500000000000001</v>
      </c>
      <c r="L79" s="9">
        <f t="shared" si="9"/>
        <v>6.1050000000000007E-5</v>
      </c>
      <c r="M79" s="9">
        <f>(L79/SUM($L$34:$L$81))*indirect_model_parameters!$G$20</f>
        <v>1.4823835480673941E-5</v>
      </c>
      <c r="N79" s="37">
        <f>M79*indirect_model_parameters!$G$9</f>
        <v>1.4823835480673941</v>
      </c>
    </row>
    <row r="80" spans="1:14" ht="32" x14ac:dyDescent="0.2">
      <c r="A80" s="1" t="str">
        <f t="shared" si="7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8"/>
        <v>N,5,1,4,2</v>
      </c>
      <c r="H80" s="9">
        <f>indirect_model_parameters!$G$32</f>
        <v>0.01</v>
      </c>
      <c r="I80" s="9">
        <f>IF(D80=1,1-indirect_model_parameters!$G$55,indirect_model_parameters!$G$55)</f>
        <v>0.96299999999999997</v>
      </c>
      <c r="J80" s="9">
        <f>IF(E80=1,indirect_model_parameters!$G$16,indirect_model_parameters!$G$17)*IF(E80=2,indirect_model_parameters!$G$10,IF(E80=3,indirect_model_parameters!$G$12,IF(E80=4,indirect_model_parameters!$G$14,1)))</f>
        <v>0</v>
      </c>
      <c r="L80" s="9">
        <f t="shared" si="9"/>
        <v>0</v>
      </c>
      <c r="M80" s="9">
        <f>(L80/SUM($L$34:$L$81))*indirect_model_parameters!$G$20</f>
        <v>0</v>
      </c>
      <c r="N80" s="37">
        <f>M80*indirect_model_parameters!$G$9</f>
        <v>0</v>
      </c>
    </row>
    <row r="81" spans="1:14" ht="48" x14ac:dyDescent="0.2">
      <c r="A81" s="1" t="str">
        <f t="shared" si="7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8"/>
        <v>N,5,2,4,2</v>
      </c>
      <c r="H81" s="9">
        <f>indirect_model_parameters!$G$32</f>
        <v>0.01</v>
      </c>
      <c r="I81" s="9">
        <f>IF(D81=1,1-indirect_model_parameters!$G$55,indirect_model_parameters!$G$55)</f>
        <v>3.6999999999999998E-2</v>
      </c>
      <c r="J81" s="9">
        <f>IF(E81=1,indirect_model_parameters!$G$16,indirect_model_parameters!$G$17)*IF(E81=2,indirect_model_parameters!$G$10,IF(E81=3,indirect_model_parameters!$G$12,IF(E81=4,indirect_model_parameters!$G$14,1)))</f>
        <v>0</v>
      </c>
      <c r="L81" s="9">
        <f t="shared" si="9"/>
        <v>0</v>
      </c>
      <c r="M81" s="9">
        <f>(L81/SUM($L$34:$L$81))*indirect_model_parameters!$G$20</f>
        <v>0</v>
      </c>
      <c r="N81" s="37">
        <f>M81*indirect_model_parameters!$G$9</f>
        <v>0</v>
      </c>
    </row>
    <row r="82" spans="1:14" ht="32" x14ac:dyDescent="0.2">
      <c r="A82" s="1" t="str">
        <f t="shared" si="7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8"/>
        <v>N,6,1,1,1</v>
      </c>
      <c r="H82" s="9">
        <f>IF(E82=1,indirect_model_parameters!$G$28,indirect_model_parameters!$G$26)</f>
        <v>0.4</v>
      </c>
      <c r="I82" s="9">
        <f>IF(D82=1,1-indirect_model_parameters!$G$55,indirect_model_parameters!$G$55)</f>
        <v>0.96299999999999997</v>
      </c>
      <c r="J82" s="9">
        <f>IF(E82=2,indirect_model_parameters!$G$12,IF(E82=3,indirect_model_parameters!$G$10,IF(E82=4,indirect_model_parameters!$G$14,1)))</f>
        <v>1</v>
      </c>
      <c r="L82" s="9">
        <f t="shared" si="9"/>
        <v>0.38519999999999999</v>
      </c>
      <c r="M82" s="9">
        <f>(L82/SUM($L$82:$L$97))*indirect_model_parameters!$G$24</f>
        <v>1.926E-3</v>
      </c>
      <c r="N82" s="37">
        <f>M82*indirect_model_parameters!$G$9</f>
        <v>192.6</v>
      </c>
    </row>
    <row r="83" spans="1:14" ht="32" x14ac:dyDescent="0.2">
      <c r="A83" s="1" t="str">
        <f t="shared" si="7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8"/>
        <v>N,6,2,1,1</v>
      </c>
      <c r="H83" s="9">
        <f>IF(E83=1,indirect_model_parameters!$G$28,indirect_model_parameters!$G$26)</f>
        <v>0.4</v>
      </c>
      <c r="I83" s="9">
        <f>IF(D83=1,1-indirect_model_parameters!$G$55,indirect_model_parameters!$G$55)</f>
        <v>3.6999999999999998E-2</v>
      </c>
      <c r="J83" s="9">
        <f>IF(E83=2,indirect_model_parameters!$G$12,IF(E83=3,indirect_model_parameters!$G$10,IF(E83=4,indirect_model_parameters!$G$14,1)))</f>
        <v>1</v>
      </c>
      <c r="L83" s="9">
        <f t="shared" si="9"/>
        <v>1.4800000000000001E-2</v>
      </c>
      <c r="M83" s="9">
        <f>(L83/SUM($L$82:$L$97))*indirect_model_parameters!$G$24</f>
        <v>7.400000000000001E-5</v>
      </c>
      <c r="N83" s="37">
        <f>M83*indirect_model_parameters!$G$9</f>
        <v>7.4000000000000012</v>
      </c>
    </row>
    <row r="84" spans="1:14" ht="32" x14ac:dyDescent="0.2">
      <c r="A84" s="1" t="str">
        <f t="shared" si="7"/>
        <v>Population in TB compartment  Active with Drug-susceptible (DS) in HIV compartment  PLHIV not on ART, CD4&gt;200 and Male</v>
      </c>
      <c r="B84" s="8" t="s">
        <v>239</v>
      </c>
      <c r="C84" s="8">
        <v>6</v>
      </c>
      <c r="D84" s="9">
        <v>1</v>
      </c>
      <c r="E84" s="9">
        <v>2</v>
      </c>
      <c r="F84" s="9">
        <v>1</v>
      </c>
      <c r="G84" s="39" t="str">
        <f t="shared" si="8"/>
        <v>N,6,1,2,1</v>
      </c>
      <c r="H84" s="9">
        <f>IF(E84=1,indirect_model_parameters!$G$28,indirect_model_parameters!$G$26)</f>
        <v>0.6</v>
      </c>
      <c r="I84" s="9">
        <f>IF(D84=1,1-indirect_model_parameters!$G$55,indirect_model_parameters!$G$55)</f>
        <v>0.96299999999999997</v>
      </c>
      <c r="J84" s="9">
        <f>IF(E84=2,indirect_model_parameters!$G$12,IF(E84=3,indirect_model_parameters!$G$10,IF(E84=4,indirect_model_parameters!$G$14,1)))</f>
        <v>0.55000000000000004</v>
      </c>
      <c r="L84" s="9">
        <f t="shared" si="9"/>
        <v>0.31779000000000002</v>
      </c>
      <c r="M84" s="9">
        <f>(L84/SUM($L$82:$L$97))*indirect_model_parameters!$G$24</f>
        <v>1.5889500000000002E-3</v>
      </c>
      <c r="N84" s="37">
        <f>M84*indirect_model_parameters!$G$9</f>
        <v>158.89500000000001</v>
      </c>
    </row>
    <row r="85" spans="1:14" ht="48" x14ac:dyDescent="0.2">
      <c r="A85" s="1" t="str">
        <f t="shared" si="7"/>
        <v>Population in TB compartment  Active with  Multidrug-resistant (MDR-TB) in HIV compartment  PLHIV not on ART, CD4&gt;200 and Male</v>
      </c>
      <c r="B85" s="8" t="s">
        <v>239</v>
      </c>
      <c r="C85" s="8">
        <v>6</v>
      </c>
      <c r="D85" s="9">
        <v>2</v>
      </c>
      <c r="E85" s="9">
        <v>2</v>
      </c>
      <c r="F85" s="9">
        <v>1</v>
      </c>
      <c r="G85" s="39" t="str">
        <f t="shared" si="8"/>
        <v>N,6,2,2,1</v>
      </c>
      <c r="H85" s="9">
        <f>IF(E85=1,indirect_model_parameters!$G$28,indirect_model_parameters!$G$26)</f>
        <v>0.6</v>
      </c>
      <c r="I85" s="9">
        <f>IF(D85=1,1-indirect_model_parameters!$G$55,indirect_model_parameters!$G$55)</f>
        <v>3.6999999999999998E-2</v>
      </c>
      <c r="J85" s="9">
        <f>IF(E85=2,indirect_model_parameters!$G$12,IF(E85=3,indirect_model_parameters!$G$10,IF(E85=4,indirect_model_parameters!$G$14,1)))</f>
        <v>0.55000000000000004</v>
      </c>
      <c r="L85" s="9">
        <f t="shared" si="9"/>
        <v>1.221E-2</v>
      </c>
      <c r="M85" s="9">
        <f>(L85/SUM($L$82:$L$97))*indirect_model_parameters!$G$24</f>
        <v>6.1050000000000007E-5</v>
      </c>
      <c r="N85" s="37">
        <f>M85*indirect_model_parameters!$G$9</f>
        <v>6.1050000000000004</v>
      </c>
    </row>
    <row r="86" spans="1:14" ht="32" x14ac:dyDescent="0.2">
      <c r="A86" s="1" t="str">
        <f t="shared" si="7"/>
        <v>Population in TB compartment  Active with Drug-susceptible (DS) in HIV compartment  PLHIV not on ART, CD4≤200 and Male</v>
      </c>
      <c r="B86" s="8" t="s">
        <v>239</v>
      </c>
      <c r="C86" s="8">
        <v>6</v>
      </c>
      <c r="D86" s="9">
        <v>1</v>
      </c>
      <c r="E86" s="9">
        <v>3</v>
      </c>
      <c r="F86" s="9">
        <v>1</v>
      </c>
      <c r="G86" s="39" t="str">
        <f t="shared" si="8"/>
        <v>N,6,1,3,1</v>
      </c>
      <c r="H86" s="9">
        <f>IF(E86=1,indirect_model_parameters!$G$28,indirect_model_parameters!$G$26)</f>
        <v>0.6</v>
      </c>
      <c r="I86" s="9">
        <f>IF(D86=1,1-indirect_model_parameters!$G$55,indirect_model_parameters!$G$55)</f>
        <v>0.96299999999999997</v>
      </c>
      <c r="J86" s="9">
        <f>IF(E86=2,indirect_model_parameters!$G$12,IF(E86=3,indirect_model_parameters!$G$10,IF(E86=4,indirect_model_parameters!$G$14,1)))</f>
        <v>0.44999999999999996</v>
      </c>
      <c r="L86" s="9">
        <f t="shared" si="9"/>
        <v>0.26000999999999996</v>
      </c>
      <c r="M86" s="9">
        <f>(L86/SUM($L$82:$L$97))*indirect_model_parameters!$G$24</f>
        <v>1.3000499999999999E-3</v>
      </c>
      <c r="N86" s="37">
        <f>M86*indirect_model_parameters!$G$9</f>
        <v>130.005</v>
      </c>
    </row>
    <row r="87" spans="1:14" ht="48" x14ac:dyDescent="0.2">
      <c r="A87" s="1" t="str">
        <f t="shared" si="7"/>
        <v>Population in TB compartment  Active with  Multidrug-resistant (MDR-TB) in HIV compartment  PLHIV not on ART, CD4≤200 and Male</v>
      </c>
      <c r="B87" s="8" t="s">
        <v>239</v>
      </c>
      <c r="C87" s="8">
        <v>6</v>
      </c>
      <c r="D87" s="9">
        <v>2</v>
      </c>
      <c r="E87" s="9">
        <v>3</v>
      </c>
      <c r="F87" s="9">
        <v>1</v>
      </c>
      <c r="G87" s="39" t="str">
        <f t="shared" si="8"/>
        <v>N,6,2,3,1</v>
      </c>
      <c r="H87" s="9">
        <f>IF(E87=1,indirect_model_parameters!$G$28,indirect_model_parameters!$G$26)</f>
        <v>0.6</v>
      </c>
      <c r="I87" s="9">
        <f>IF(D87=1,1-indirect_model_parameters!$G$55,indirect_model_parameters!$G$55)</f>
        <v>3.6999999999999998E-2</v>
      </c>
      <c r="J87" s="9">
        <f>IF(E87=2,indirect_model_parameters!$G$12,IF(E87=3,indirect_model_parameters!$G$10,IF(E87=4,indirect_model_parameters!$G$14,1)))</f>
        <v>0.44999999999999996</v>
      </c>
      <c r="L87" s="9">
        <f t="shared" si="9"/>
        <v>9.9899999999999971E-3</v>
      </c>
      <c r="M87" s="9">
        <f>(L87/SUM($L$82:$L$97))*indirect_model_parameters!$G$24</f>
        <v>4.9949999999999988E-5</v>
      </c>
      <c r="N87" s="37">
        <f>M87*indirect_model_parameters!$G$9</f>
        <v>4.9949999999999983</v>
      </c>
    </row>
    <row r="88" spans="1:14" ht="32" x14ac:dyDescent="0.2">
      <c r="A88" s="1" t="str">
        <f t="shared" si="7"/>
        <v>Population in TB compartment  Active with Drug-susceptible (DS) in HIV compartment  PLHIV and on ART and Male</v>
      </c>
      <c r="B88" s="8" t="s">
        <v>239</v>
      </c>
      <c r="C88" s="8">
        <v>6</v>
      </c>
      <c r="D88" s="9">
        <v>1</v>
      </c>
      <c r="E88" s="9">
        <v>4</v>
      </c>
      <c r="F88" s="9">
        <v>1</v>
      </c>
      <c r="G88" s="39" t="str">
        <f t="shared" si="8"/>
        <v>N,6,1,4,1</v>
      </c>
      <c r="H88" s="9">
        <f>IF(E88=1,indirect_model_parameters!$G$28,indirect_model_parameters!$G$26)</f>
        <v>0.6</v>
      </c>
      <c r="I88" s="9">
        <f>IF(D88=1,1-indirect_model_parameters!$G$55,indirect_model_parameters!$G$55)</f>
        <v>0.96299999999999997</v>
      </c>
      <c r="J88" s="9">
        <f>IF(E88=2,indirect_model_parameters!$G$12,IF(E88=3,indirect_model_parameters!$G$10,IF(E88=4,indirect_model_parameters!$G$14,1)))</f>
        <v>0</v>
      </c>
      <c r="L88" s="9">
        <f t="shared" si="9"/>
        <v>0</v>
      </c>
      <c r="M88" s="9">
        <f>(L88/SUM($L$82:$L$97))*indirect_model_parameters!$G$24</f>
        <v>0</v>
      </c>
      <c r="N88" s="37">
        <f>M88*indirect_model_parameters!$G$9</f>
        <v>0</v>
      </c>
    </row>
    <row r="89" spans="1:14" ht="32" x14ac:dyDescent="0.2">
      <c r="A89" s="1" t="str">
        <f t="shared" si="7"/>
        <v>Population in TB compartment  Active with  Multidrug-resistant (MDR-TB) in HIV compartment  PLHIV and on ART and Male</v>
      </c>
      <c r="B89" s="8" t="s">
        <v>239</v>
      </c>
      <c r="C89" s="8">
        <v>6</v>
      </c>
      <c r="D89" s="9">
        <v>2</v>
      </c>
      <c r="E89" s="9">
        <v>4</v>
      </c>
      <c r="F89" s="9">
        <v>1</v>
      </c>
      <c r="G89" s="39" t="str">
        <f t="shared" si="8"/>
        <v>N,6,2,4,1</v>
      </c>
      <c r="H89" s="9">
        <f>IF(E89=1,indirect_model_parameters!$G$28,indirect_model_parameters!$G$26)</f>
        <v>0.6</v>
      </c>
      <c r="I89" s="9">
        <f>IF(D89=1,1-indirect_model_parameters!$G$55,indirect_model_parameters!$G$55)</f>
        <v>3.6999999999999998E-2</v>
      </c>
      <c r="J89" s="9">
        <f>IF(E89=2,indirect_model_parameters!$G$12,IF(E89=3,indirect_model_parameters!$G$10,IF(E89=4,indirect_model_parameters!$G$14,1)))</f>
        <v>0</v>
      </c>
      <c r="L89" s="9">
        <f t="shared" si="9"/>
        <v>0</v>
      </c>
      <c r="M89" s="9">
        <f>(L89/SUM($L$82:$L$97))*indirect_model_parameters!$G$24</f>
        <v>0</v>
      </c>
      <c r="N89" s="37">
        <f>M89*indirect_model_parameters!$G$9</f>
        <v>0</v>
      </c>
    </row>
    <row r="90" spans="1:14" ht="32" x14ac:dyDescent="0.2">
      <c r="A90" s="1" t="str">
        <f t="shared" si="7"/>
        <v>Population in TB compartment  Active with Drug-susceptible (DS) in HIV compartment  HIV-negative and Female</v>
      </c>
      <c r="B90" s="8" t="s">
        <v>239</v>
      </c>
      <c r="C90" s="8">
        <v>6</v>
      </c>
      <c r="D90" s="9">
        <v>1</v>
      </c>
      <c r="E90" s="9">
        <v>1</v>
      </c>
      <c r="F90" s="9">
        <v>2</v>
      </c>
      <c r="G90" s="39" t="str">
        <f t="shared" si="8"/>
        <v>N,6,1,1,2</v>
      </c>
      <c r="H90" s="9">
        <f>IF(E90&gt;1,indirect_model_parameters!$G$27,indirect_model_parameters!$G$29)</f>
        <v>0.19999999999999996</v>
      </c>
      <c r="I90" s="9">
        <f>IF(D90=1,1-indirect_model_parameters!$G$55,indirect_model_parameters!$G$55)</f>
        <v>0.96299999999999997</v>
      </c>
      <c r="J90" s="9">
        <f>IF(E90=2,indirect_model_parameters!$G$12,IF(E90=3,indirect_model_parameters!$G$10,IF(E90=4,indirect_model_parameters!$G$14,1)))</f>
        <v>1</v>
      </c>
      <c r="L90" s="9">
        <f t="shared" si="9"/>
        <v>0.19259999999999994</v>
      </c>
      <c r="M90" s="9">
        <f>(L90/SUM($L$82:$L$97))*indirect_model_parameters!$G$24</f>
        <v>9.6299999999999966E-4</v>
      </c>
      <c r="N90" s="37">
        <f>M90*indirect_model_parameters!$G$9</f>
        <v>96.299999999999969</v>
      </c>
    </row>
    <row r="91" spans="1:14" ht="32" x14ac:dyDescent="0.2">
      <c r="A91" s="1" t="str">
        <f t="shared" si="7"/>
        <v>Population in TB compartment  Active with  Multidrug-resistant (MDR-TB) in HIV compartment  HIV-negative and Female</v>
      </c>
      <c r="B91" s="8" t="s">
        <v>239</v>
      </c>
      <c r="C91" s="8">
        <v>6</v>
      </c>
      <c r="D91" s="9">
        <v>2</v>
      </c>
      <c r="E91" s="9">
        <v>1</v>
      </c>
      <c r="F91" s="9">
        <v>2</v>
      </c>
      <c r="G91" s="39" t="str">
        <f t="shared" si="8"/>
        <v>N,6,2,1,2</v>
      </c>
      <c r="H91" s="9">
        <f>IF(E91&gt;1,indirect_model_parameters!$G$27,indirect_model_parameters!$G$29)</f>
        <v>0.19999999999999996</v>
      </c>
      <c r="I91" s="9">
        <f>IF(D91=1,1-indirect_model_parameters!$G$55,indirect_model_parameters!$G$55)</f>
        <v>3.6999999999999998E-2</v>
      </c>
      <c r="J91" s="9">
        <f>IF(E91=2,indirect_model_parameters!$G$12,IF(E91=3,indirect_model_parameters!$G$10,IF(E91=4,indirect_model_parameters!$G$14,1)))</f>
        <v>1</v>
      </c>
      <c r="L91" s="9">
        <f t="shared" si="9"/>
        <v>7.3999999999999977E-3</v>
      </c>
      <c r="M91" s="9">
        <f>(L91/SUM($L$82:$L$97))*indirect_model_parameters!$G$24</f>
        <v>3.6999999999999991E-5</v>
      </c>
      <c r="N91" s="37">
        <f>M91*indirect_model_parameters!$G$9</f>
        <v>3.6999999999999993</v>
      </c>
    </row>
    <row r="92" spans="1:14" ht="32" x14ac:dyDescent="0.2">
      <c r="A92" s="1" t="str">
        <f t="shared" si="7"/>
        <v>Population in TB compartment  Active with Drug-susceptible (DS) in HIV compartment  PLHIV not on ART, CD4&gt;200 and Female</v>
      </c>
      <c r="B92" s="8" t="s">
        <v>239</v>
      </c>
      <c r="C92" s="8">
        <v>6</v>
      </c>
      <c r="D92" s="9">
        <v>1</v>
      </c>
      <c r="E92" s="9">
        <v>2</v>
      </c>
      <c r="F92" s="9">
        <v>2</v>
      </c>
      <c r="G92" s="39" t="str">
        <f t="shared" si="8"/>
        <v>N,6,1,2,2</v>
      </c>
      <c r="H92" s="9">
        <f>IF(E92&gt;1,indirect_model_parameters!$G$27,indirect_model_parameters!$G$29)</f>
        <v>0.8</v>
      </c>
      <c r="I92" s="9">
        <f>IF(D92=1,1-indirect_model_parameters!$G$55,indirect_model_parameters!$G$55)</f>
        <v>0.96299999999999997</v>
      </c>
      <c r="J92" s="9">
        <f>IF(E92=2,indirect_model_parameters!$G$12,IF(E92=3,indirect_model_parameters!$G$10,IF(E92=4,indirect_model_parameters!$G$14,1)))</f>
        <v>0.55000000000000004</v>
      </c>
      <c r="L92" s="9">
        <f t="shared" si="9"/>
        <v>0.42372000000000004</v>
      </c>
      <c r="M92" s="9">
        <f>(L92/SUM($L$82:$L$97))*indirect_model_parameters!$G$24</f>
        <v>2.1186000000000004E-3</v>
      </c>
      <c r="N92" s="37">
        <f>M92*indirect_model_parameters!$G$9</f>
        <v>211.86000000000004</v>
      </c>
    </row>
    <row r="93" spans="1:14" ht="48" x14ac:dyDescent="0.2">
      <c r="A93" s="1" t="str">
        <f t="shared" si="7"/>
        <v>Population in TB compartment  Active with  Multidrug-resistant (MDR-TB) in HIV compartment  PLHIV not on ART, CD4&gt;200 and Female</v>
      </c>
      <c r="B93" s="8" t="s">
        <v>239</v>
      </c>
      <c r="C93" s="8">
        <v>6</v>
      </c>
      <c r="D93" s="9">
        <v>2</v>
      </c>
      <c r="E93" s="9">
        <v>2</v>
      </c>
      <c r="F93" s="9">
        <v>2</v>
      </c>
      <c r="G93" s="39" t="str">
        <f t="shared" si="8"/>
        <v>N,6,2,2,2</v>
      </c>
      <c r="H93" s="9">
        <f>IF(E93&gt;1,indirect_model_parameters!$G$27,indirect_model_parameters!$G$29)</f>
        <v>0.8</v>
      </c>
      <c r="I93" s="9">
        <f>IF(D93=1,1-indirect_model_parameters!$G$55,indirect_model_parameters!$G$55)</f>
        <v>3.6999999999999998E-2</v>
      </c>
      <c r="J93" s="9">
        <f>IF(E93=2,indirect_model_parameters!$G$12,IF(E93=3,indirect_model_parameters!$G$10,IF(E93=4,indirect_model_parameters!$G$14,1)))</f>
        <v>0.55000000000000004</v>
      </c>
      <c r="L93" s="9">
        <f t="shared" si="9"/>
        <v>1.6280000000000003E-2</v>
      </c>
      <c r="M93" s="9">
        <f>(L93/SUM($L$82:$L$97))*indirect_model_parameters!$G$24</f>
        <v>8.1400000000000013E-5</v>
      </c>
      <c r="N93" s="37">
        <f>M93*indirect_model_parameters!$G$9</f>
        <v>8.14</v>
      </c>
    </row>
    <row r="94" spans="1:14" ht="32" x14ac:dyDescent="0.2">
      <c r="A94" s="1" t="str">
        <f t="shared" si="7"/>
        <v>Population in TB compartment  Active with Drug-susceptible (DS) in HIV compartment  PLHIV not on ART, CD4≤200 and Female</v>
      </c>
      <c r="B94" s="8" t="s">
        <v>239</v>
      </c>
      <c r="C94" s="8">
        <v>6</v>
      </c>
      <c r="D94" s="9">
        <v>1</v>
      </c>
      <c r="E94" s="9">
        <v>3</v>
      </c>
      <c r="F94" s="9">
        <v>2</v>
      </c>
      <c r="G94" s="39" t="str">
        <f t="shared" si="8"/>
        <v>N,6,1,3,2</v>
      </c>
      <c r="H94" s="9">
        <f>IF(E94&gt;1,indirect_model_parameters!$G$27,indirect_model_parameters!$G$29)</f>
        <v>0.8</v>
      </c>
      <c r="I94" s="9">
        <f>IF(D94=1,1-indirect_model_parameters!$G$55,indirect_model_parameters!$G$55)</f>
        <v>0.96299999999999997</v>
      </c>
      <c r="J94" s="9">
        <f>IF(E94=2,indirect_model_parameters!$G$12,IF(E94=3,indirect_model_parameters!$G$10,IF(E94=4,indirect_model_parameters!$G$14,1)))</f>
        <v>0.44999999999999996</v>
      </c>
      <c r="L94" s="9">
        <f t="shared" si="9"/>
        <v>0.34667999999999993</v>
      </c>
      <c r="M94" s="9">
        <f>(L94/SUM($L$82:$L$97))*indirect_model_parameters!$G$24</f>
        <v>1.7333999999999997E-3</v>
      </c>
      <c r="N94" s="37">
        <f>M94*indirect_model_parameters!$G$9</f>
        <v>173.33999999999997</v>
      </c>
    </row>
    <row r="95" spans="1:14" ht="48" x14ac:dyDescent="0.2">
      <c r="A95" s="1" t="str">
        <f t="shared" si="7"/>
        <v>Population in TB compartment  Active with  Multidrug-resistant (MDR-TB) in HIV compartment  PLHIV not on ART, CD4≤200 and Female</v>
      </c>
      <c r="B95" s="8" t="s">
        <v>239</v>
      </c>
      <c r="C95" s="8">
        <v>6</v>
      </c>
      <c r="D95" s="9">
        <v>2</v>
      </c>
      <c r="E95" s="9">
        <v>3</v>
      </c>
      <c r="F95" s="9">
        <v>2</v>
      </c>
      <c r="G95" s="39" t="str">
        <f t="shared" si="8"/>
        <v>N,6,2,3,2</v>
      </c>
      <c r="H95" s="9">
        <f>IF(E95&gt;1,indirect_model_parameters!$G$27,indirect_model_parameters!$G$29)</f>
        <v>0.8</v>
      </c>
      <c r="I95" s="9">
        <f>IF(D95=1,1-indirect_model_parameters!$G$55,indirect_model_parameters!$G$55)</f>
        <v>3.6999999999999998E-2</v>
      </c>
      <c r="J95" s="9">
        <f>IF(E95=2,indirect_model_parameters!$G$12,IF(E95=3,indirect_model_parameters!$G$10,IF(E95=4,indirect_model_parameters!$G$14,1)))</f>
        <v>0.44999999999999996</v>
      </c>
      <c r="L95" s="9">
        <f t="shared" si="9"/>
        <v>1.3319999999999999E-2</v>
      </c>
      <c r="M95" s="9">
        <f>(L95/SUM($L$82:$L$97))*indirect_model_parameters!$G$24</f>
        <v>6.6599999999999993E-5</v>
      </c>
      <c r="N95" s="37">
        <f>M95*indirect_model_parameters!$G$9</f>
        <v>6.6599999999999993</v>
      </c>
    </row>
    <row r="96" spans="1:14" ht="32" x14ac:dyDescent="0.2">
      <c r="A96" s="1" t="str">
        <f t="shared" si="7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8"/>
        <v>N,6,1,4,2</v>
      </c>
      <c r="H96" s="9">
        <f>IF(E96&gt;1,indirect_model_parameters!$G$27,indirect_model_parameters!$G$29)</f>
        <v>0.8</v>
      </c>
      <c r="I96" s="9">
        <f>IF(D96=1,1-indirect_model_parameters!$G$55,indirect_model_parameters!$G$55)</f>
        <v>0.96299999999999997</v>
      </c>
      <c r="J96" s="9">
        <f>IF(E96=2,indirect_model_parameters!$G$12,IF(E96=3,indirect_model_parameters!$G$10,IF(E96=4,indirect_model_parameters!$G$14,1)))</f>
        <v>0</v>
      </c>
      <c r="L96" s="9">
        <f t="shared" si="9"/>
        <v>0</v>
      </c>
      <c r="M96" s="9">
        <f>(L96/SUM($L$82:$L$97))*indirect_model_parameters!$G$24</f>
        <v>0</v>
      </c>
      <c r="N96" s="37">
        <f>M96*indirect_model_parameters!$G$9</f>
        <v>0</v>
      </c>
    </row>
    <row r="97" spans="1:14" ht="32" x14ac:dyDescent="0.2">
      <c r="A97" s="1" t="str">
        <f t="shared" si="7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8"/>
        <v>N,6,2,4,2</v>
      </c>
      <c r="H97" s="9">
        <f>IF(E97&gt;1,indirect_model_parameters!$G$27,indirect_model_parameters!$G$29)</f>
        <v>0.8</v>
      </c>
      <c r="I97" s="9">
        <f>IF(D97=1,1-indirect_model_parameters!$G$55,indirect_model_parameters!$G$55)</f>
        <v>3.6999999999999998E-2</v>
      </c>
      <c r="J97" s="9">
        <f>IF(E97=2,indirect_model_parameters!$G$12,IF(E97=3,indirect_model_parameters!$G$10,IF(E97=4,indirect_model_parameters!$G$14,1)))</f>
        <v>0</v>
      </c>
      <c r="L97" s="9">
        <f t="shared" si="9"/>
        <v>0</v>
      </c>
      <c r="M97" s="9">
        <f>(L97/SUM($L$82:$L$97))*indirect_model_parameters!$G$24</f>
        <v>0</v>
      </c>
      <c r="N97" s="37">
        <f>M97*indirect_model_parameters!$G$9</f>
        <v>0</v>
      </c>
    </row>
    <row r="98" spans="1:14" ht="32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IF(D98=1,1-indirect_model_parameters!$G$55,indirect_model_parameters!$G$55)</f>
        <v>0.96299999999999997</v>
      </c>
      <c r="J98" s="9">
        <f>IF(E98=1,indirect_model_parameters!$G$16,indirect_model_parameters!$G$17)*IF(E98=2,indirect_model_parameters!$G$10,IF(E98=3,indirect_model_parameters!$G$12,IF(E98=4,indirect_model_parameters!$G$14,1)))</f>
        <v>0.7</v>
      </c>
      <c r="L98" s="9">
        <f t="shared" ref="L98:L129" si="12">PRODUCT(H98:J98)</f>
        <v>0</v>
      </c>
      <c r="M98" s="9">
        <v>0</v>
      </c>
      <c r="N98" s="37">
        <f>M98*indirect_model_parameters!$G$9</f>
        <v>0</v>
      </c>
    </row>
    <row r="99" spans="1:14" ht="48" x14ac:dyDescent="0.2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IF(D99=1,1-indirect_model_parameters!$G$55,indirect_model_parameters!$G$55)</f>
        <v>3.6999999999999998E-2</v>
      </c>
      <c r="J99" s="9">
        <f>IF(E99=1,indirect_model_parameters!$G$16,indirect_model_parameters!$G$17)*IF(E99=2,indirect_model_parameters!$G$10,IF(E99=3,indirect_model_parameters!$G$12,IF(E99=4,indirect_model_parameters!$G$14,1)))</f>
        <v>0.7</v>
      </c>
      <c r="L99" s="9">
        <f t="shared" si="12"/>
        <v>0</v>
      </c>
      <c r="M99" s="9">
        <v>0</v>
      </c>
      <c r="N99" s="37">
        <f>M99*indirect_model_parameters!$G$9</f>
        <v>0</v>
      </c>
    </row>
    <row r="100" spans="1:14" ht="48" x14ac:dyDescent="0.2">
      <c r="A100" s="1" t="str">
        <f t="shared" si="10"/>
        <v>Population in TB compartment  Recovered/Treated with Drug-susceptible (DS) in HIV compartment  PLHIV not on ART, CD4&gt;200 and Male</v>
      </c>
      <c r="B100" s="8" t="s">
        <v>239</v>
      </c>
      <c r="C100" s="8">
        <v>7</v>
      </c>
      <c r="D100" s="9">
        <v>1</v>
      </c>
      <c r="E100" s="9">
        <v>2</v>
      </c>
      <c r="F100" s="9">
        <v>1</v>
      </c>
      <c r="G100" s="39" t="str">
        <f t="shared" si="11"/>
        <v>N,7,1,2,1</v>
      </c>
      <c r="H100" s="9">
        <v>0</v>
      </c>
      <c r="I100" s="9">
        <f>IF(D100=1,1-indirect_model_parameters!$G$55,indirect_model_parameters!$G$55)</f>
        <v>0.96299999999999997</v>
      </c>
      <c r="J100" s="9">
        <f>IF(E100=1,indirect_model_parameters!$G$16,indirect_model_parameters!$G$17)*IF(E100=2,indirect_model_parameters!$G$10,IF(E100=3,indirect_model_parameters!$G$12,IF(E100=4,indirect_model_parameters!$G$14,1)))</f>
        <v>0.13499999999999998</v>
      </c>
      <c r="L100" s="9">
        <f t="shared" si="12"/>
        <v>0</v>
      </c>
      <c r="M100" s="9">
        <v>0</v>
      </c>
      <c r="N100" s="37">
        <f>M100*indirect_model_parameters!$G$9</f>
        <v>0</v>
      </c>
    </row>
    <row r="101" spans="1:14" ht="48" x14ac:dyDescent="0.2">
      <c r="A101" s="1" t="str">
        <f t="shared" si="10"/>
        <v>Population in TB compartment  Recovered/Treated with  Multidrug-resistant (MDR-TB) in HIV compartment  PLHIV not on ART, CD4&gt;200 and Male</v>
      </c>
      <c r="B101" s="8" t="s">
        <v>239</v>
      </c>
      <c r="C101" s="8">
        <v>7</v>
      </c>
      <c r="D101" s="9">
        <v>2</v>
      </c>
      <c r="E101" s="9">
        <v>2</v>
      </c>
      <c r="F101" s="9">
        <v>1</v>
      </c>
      <c r="G101" s="39" t="str">
        <f t="shared" si="11"/>
        <v>N,7,2,2,1</v>
      </c>
      <c r="H101" s="9">
        <v>0</v>
      </c>
      <c r="I101" s="9">
        <f>IF(D101=1,1-indirect_model_parameters!$G$55,indirect_model_parameters!$G$55)</f>
        <v>3.6999999999999998E-2</v>
      </c>
      <c r="J101" s="9">
        <f>IF(E101=1,indirect_model_parameters!$G$16,indirect_model_parameters!$G$17)*IF(E101=2,indirect_model_parameters!$G$10,IF(E101=3,indirect_model_parameters!$G$12,IF(E101=4,indirect_model_parameters!$G$14,1)))</f>
        <v>0.13499999999999998</v>
      </c>
      <c r="L101" s="9">
        <f t="shared" si="12"/>
        <v>0</v>
      </c>
      <c r="M101" s="9">
        <v>0</v>
      </c>
      <c r="N101" s="37">
        <f>M101*indirect_model_parameters!$G$9</f>
        <v>0</v>
      </c>
    </row>
    <row r="102" spans="1:14" ht="48" x14ac:dyDescent="0.2">
      <c r="A102" s="1" t="str">
        <f t="shared" si="10"/>
        <v>Population in TB compartment  Recovered/Treated with Drug-susceptible (DS) in HIV compartment  PLHIV not on ART, CD4≤200 and Male</v>
      </c>
      <c r="B102" s="8" t="s">
        <v>239</v>
      </c>
      <c r="C102" s="8">
        <v>7</v>
      </c>
      <c r="D102" s="9">
        <v>1</v>
      </c>
      <c r="E102" s="9">
        <v>3</v>
      </c>
      <c r="F102" s="9">
        <v>1</v>
      </c>
      <c r="G102" s="39" t="str">
        <f t="shared" si="11"/>
        <v>N,7,1,3,1</v>
      </c>
      <c r="H102" s="9">
        <v>0</v>
      </c>
      <c r="I102" s="9">
        <f>IF(D102=1,1-indirect_model_parameters!$G$55,indirect_model_parameters!$G$55)</f>
        <v>0.96299999999999997</v>
      </c>
      <c r="J102" s="9">
        <f>IF(E102=1,indirect_model_parameters!$G$16,indirect_model_parameters!$G$17)*IF(E102=2,indirect_model_parameters!$G$10,IF(E102=3,indirect_model_parameters!$G$12,IF(E102=4,indirect_model_parameters!$G$14,1)))</f>
        <v>0.16500000000000001</v>
      </c>
      <c r="L102" s="9">
        <f t="shared" si="12"/>
        <v>0</v>
      </c>
      <c r="M102" s="9">
        <v>0</v>
      </c>
      <c r="N102" s="37">
        <f>M102*indirect_model_parameters!$G$9</f>
        <v>0</v>
      </c>
    </row>
    <row r="103" spans="1:14" ht="48" x14ac:dyDescent="0.2">
      <c r="A103" s="1" t="str">
        <f t="shared" si="10"/>
        <v>Population in TB compartment  Recovered/Treated with  Multidrug-resistant (MDR-TB) in HIV compartment  PLHIV not on ART, CD4≤200 and Male</v>
      </c>
      <c r="B103" s="8" t="s">
        <v>239</v>
      </c>
      <c r="C103" s="8">
        <v>7</v>
      </c>
      <c r="D103" s="9">
        <v>2</v>
      </c>
      <c r="E103" s="9">
        <v>3</v>
      </c>
      <c r="F103" s="9">
        <v>1</v>
      </c>
      <c r="G103" s="39" t="str">
        <f t="shared" si="11"/>
        <v>N,7,2,3,1</v>
      </c>
      <c r="H103" s="9">
        <v>0</v>
      </c>
      <c r="I103" s="9">
        <f>IF(D103=1,1-indirect_model_parameters!$G$55,indirect_model_parameters!$G$55)</f>
        <v>3.6999999999999998E-2</v>
      </c>
      <c r="J103" s="9">
        <f>IF(E103=1,indirect_model_parameters!$G$16,indirect_model_parameters!$G$17)*IF(E103=2,indirect_model_parameters!$G$10,IF(E103=3,indirect_model_parameters!$G$12,IF(E103=4,indirect_model_parameters!$G$14,1)))</f>
        <v>0.16500000000000001</v>
      </c>
      <c r="L103" s="9">
        <f t="shared" si="12"/>
        <v>0</v>
      </c>
      <c r="M103" s="9">
        <v>0</v>
      </c>
      <c r="N103" s="37">
        <f>M103*indirect_model_parameters!$G$9</f>
        <v>0</v>
      </c>
    </row>
    <row r="104" spans="1:14" ht="32" x14ac:dyDescent="0.2">
      <c r="A104" s="1" t="str">
        <f t="shared" si="10"/>
        <v>Population in TB compartment  Recovered/Treated with Drug-susceptible (DS) in HIV compartment  PLHIV and on ART and Male</v>
      </c>
      <c r="B104" s="8" t="s">
        <v>239</v>
      </c>
      <c r="C104" s="8">
        <v>7</v>
      </c>
      <c r="D104" s="9">
        <v>1</v>
      </c>
      <c r="E104" s="9">
        <v>4</v>
      </c>
      <c r="F104" s="9">
        <v>1</v>
      </c>
      <c r="G104" s="39" t="str">
        <f t="shared" si="11"/>
        <v>N,7,1,4,1</v>
      </c>
      <c r="H104" s="9">
        <v>0</v>
      </c>
      <c r="I104" s="9">
        <f>IF(D104=1,1-indirect_model_parameters!$G$55,indirect_model_parameters!$G$55)</f>
        <v>0.96299999999999997</v>
      </c>
      <c r="J104" s="9">
        <f>IF(E104=1,indirect_model_parameters!$G$16,indirect_model_parameters!$G$17)*IF(E104=2,indirect_model_parameters!$G$10,IF(E104=3,indirect_model_parameters!$G$12,IF(E104=4,indirect_model_parameters!$G$14,1)))</f>
        <v>0</v>
      </c>
      <c r="L104" s="9">
        <f t="shared" si="12"/>
        <v>0</v>
      </c>
      <c r="M104" s="9">
        <v>0</v>
      </c>
      <c r="N104" s="37">
        <f>M104*indirect_model_parameters!$G$9</f>
        <v>0</v>
      </c>
    </row>
    <row r="105" spans="1:14" ht="48" x14ac:dyDescent="0.2">
      <c r="A105" s="1" t="str">
        <f t="shared" si="10"/>
        <v>Population in TB compartment  Recovered/Treated with  Multidrug-resistant (MDR-TB) in HIV compartment  PLHIV and on ART and Male</v>
      </c>
      <c r="B105" s="8" t="s">
        <v>239</v>
      </c>
      <c r="C105" s="8">
        <v>7</v>
      </c>
      <c r="D105" s="9">
        <v>2</v>
      </c>
      <c r="E105" s="9">
        <v>4</v>
      </c>
      <c r="F105" s="9">
        <v>1</v>
      </c>
      <c r="G105" s="39" t="str">
        <f t="shared" si="11"/>
        <v>N,7,2,4,1</v>
      </c>
      <c r="H105" s="9">
        <v>0</v>
      </c>
      <c r="I105" s="9">
        <f>IF(D105=1,1-indirect_model_parameters!$G$55,indirect_model_parameters!$G$55)</f>
        <v>3.6999999999999998E-2</v>
      </c>
      <c r="J105" s="9">
        <f>IF(E105=1,indirect_model_parameters!$G$16,indirect_model_parameters!$G$17)*IF(E105=2,indirect_model_parameters!$G$10,IF(E105=3,indirect_model_parameters!$G$12,IF(E105=4,indirect_model_parameters!$G$14,1)))</f>
        <v>0</v>
      </c>
      <c r="L105" s="9">
        <f t="shared" si="12"/>
        <v>0</v>
      </c>
      <c r="M105" s="9">
        <v>0</v>
      </c>
      <c r="N105" s="37">
        <f>M105*indirect_model_parameters!$G$9</f>
        <v>0</v>
      </c>
    </row>
    <row r="106" spans="1:14" ht="32" x14ac:dyDescent="0.2">
      <c r="A106" s="1" t="str">
        <f t="shared" si="10"/>
        <v>Population in TB compartment  Recovered/Treated with Drug-susceptible (DS) in HIV compartment  HIV-negative and Female</v>
      </c>
      <c r="B106" s="8" t="s">
        <v>239</v>
      </c>
      <c r="C106" s="8">
        <v>7</v>
      </c>
      <c r="D106" s="9">
        <v>1</v>
      </c>
      <c r="E106" s="9">
        <v>1</v>
      </c>
      <c r="F106" s="9">
        <v>2</v>
      </c>
      <c r="G106" s="39" t="str">
        <f t="shared" si="11"/>
        <v>N,7,1,1,2</v>
      </c>
      <c r="H106" s="9">
        <v>0</v>
      </c>
      <c r="I106" s="9">
        <f>IF(D106=1,1-indirect_model_parameters!$G$55,indirect_model_parameters!$G$55)</f>
        <v>0.96299999999999997</v>
      </c>
      <c r="J106" s="9">
        <f>IF(E106=1,indirect_model_parameters!$G$16,indirect_model_parameters!$G$17)*IF(E106=2,indirect_model_parameters!$G$10,IF(E106=3,indirect_model_parameters!$G$12,IF(E106=4,indirect_model_parameters!$G$14,1)))</f>
        <v>0.7</v>
      </c>
      <c r="L106" s="9">
        <f t="shared" si="12"/>
        <v>0</v>
      </c>
      <c r="M106" s="9">
        <v>0</v>
      </c>
      <c r="N106" s="37">
        <f>M106*indirect_model_parameters!$G$9</f>
        <v>0</v>
      </c>
    </row>
    <row r="107" spans="1:14" ht="48" x14ac:dyDescent="0.2">
      <c r="A107" s="1" t="str">
        <f t="shared" si="10"/>
        <v>Population in TB compartment  Recovered/Treated with  Multidrug-resistant (MDR-TB) in HIV compartment  HIV-negative and Female</v>
      </c>
      <c r="B107" s="8" t="s">
        <v>239</v>
      </c>
      <c r="C107" s="8">
        <v>7</v>
      </c>
      <c r="D107" s="9">
        <v>2</v>
      </c>
      <c r="E107" s="9">
        <v>1</v>
      </c>
      <c r="F107" s="9">
        <v>2</v>
      </c>
      <c r="G107" s="39" t="str">
        <f t="shared" si="11"/>
        <v>N,7,2,1,2</v>
      </c>
      <c r="H107" s="9">
        <v>0</v>
      </c>
      <c r="I107" s="9">
        <f>IF(D107=1,1-indirect_model_parameters!$G$55,indirect_model_parameters!$G$55)</f>
        <v>3.6999999999999998E-2</v>
      </c>
      <c r="J107" s="9">
        <f>IF(E107=1,indirect_model_parameters!$G$16,indirect_model_parameters!$G$17)*IF(E107=2,indirect_model_parameters!$G$10,IF(E107=3,indirect_model_parameters!$G$12,IF(E107=4,indirect_model_parameters!$G$14,1)))</f>
        <v>0.7</v>
      </c>
      <c r="L107" s="9">
        <f t="shared" si="12"/>
        <v>0</v>
      </c>
      <c r="M107" s="9">
        <v>0</v>
      </c>
      <c r="N107" s="37">
        <f>M107*indirect_model_parameters!$G$9</f>
        <v>0</v>
      </c>
    </row>
    <row r="108" spans="1:14" ht="48" x14ac:dyDescent="0.2">
      <c r="A108" s="1" t="str">
        <f t="shared" si="10"/>
        <v>Population in TB compartment  Recovered/Treated with Drug-susceptible (DS) in HIV compartment  PLHIV not on ART, CD4&gt;200 and Female</v>
      </c>
      <c r="B108" s="8" t="s">
        <v>239</v>
      </c>
      <c r="C108" s="8">
        <v>7</v>
      </c>
      <c r="D108" s="9">
        <v>1</v>
      </c>
      <c r="E108" s="9">
        <v>2</v>
      </c>
      <c r="F108" s="9">
        <v>2</v>
      </c>
      <c r="G108" s="39" t="str">
        <f t="shared" si="11"/>
        <v>N,7,1,2,2</v>
      </c>
      <c r="H108" s="9">
        <v>0</v>
      </c>
      <c r="I108" s="9">
        <f>IF(D108=1,1-indirect_model_parameters!$G$55,indirect_model_parameters!$G$55)</f>
        <v>0.96299999999999997</v>
      </c>
      <c r="J108" s="9">
        <f>IF(E108=1,indirect_model_parameters!$G$16,indirect_model_parameters!$G$17)*IF(E108=2,indirect_model_parameters!$G$10,IF(E108=3,indirect_model_parameters!$G$12,IF(E108=4,indirect_model_parameters!$G$14,1)))</f>
        <v>0.13499999999999998</v>
      </c>
      <c r="L108" s="9">
        <f t="shared" si="12"/>
        <v>0</v>
      </c>
      <c r="M108" s="9">
        <v>0</v>
      </c>
      <c r="N108" s="37">
        <f>M108*indirect_model_parameters!$G$9</f>
        <v>0</v>
      </c>
    </row>
    <row r="109" spans="1:14" ht="48" x14ac:dyDescent="0.2">
      <c r="A109" s="1" t="str">
        <f t="shared" si="10"/>
        <v>Population in TB compartment  Recovered/Treated with  Multidrug-resistant (MDR-TB) in HIV compartment  PLHIV not on ART, CD4&gt;200 and Female</v>
      </c>
      <c r="B109" s="8" t="s">
        <v>239</v>
      </c>
      <c r="C109" s="8">
        <v>7</v>
      </c>
      <c r="D109" s="9">
        <v>2</v>
      </c>
      <c r="E109" s="9">
        <v>2</v>
      </c>
      <c r="F109" s="9">
        <v>2</v>
      </c>
      <c r="G109" s="39" t="str">
        <f t="shared" si="11"/>
        <v>N,7,2,2,2</v>
      </c>
      <c r="H109" s="9">
        <v>0</v>
      </c>
      <c r="I109" s="9">
        <f>IF(D109=1,1-indirect_model_parameters!$G$55,indirect_model_parameters!$G$55)</f>
        <v>3.6999999999999998E-2</v>
      </c>
      <c r="J109" s="9">
        <f>IF(E109=1,indirect_model_parameters!$G$16,indirect_model_parameters!$G$17)*IF(E109=2,indirect_model_parameters!$G$10,IF(E109=3,indirect_model_parameters!$G$12,IF(E109=4,indirect_model_parameters!$G$14,1)))</f>
        <v>0.13499999999999998</v>
      </c>
      <c r="L109" s="9">
        <f t="shared" si="12"/>
        <v>0</v>
      </c>
      <c r="M109" s="9">
        <v>0</v>
      </c>
      <c r="N109" s="37">
        <f>M109*indirect_model_parameters!$G$9</f>
        <v>0</v>
      </c>
    </row>
    <row r="110" spans="1:14" ht="48" x14ac:dyDescent="0.2">
      <c r="A110" s="1" t="str">
        <f t="shared" si="10"/>
        <v>Population in TB compartment  Recovered/Treated with Drug-susceptible (DS) in HIV compartment  PLHIV not on ART, CD4≤200 and Female</v>
      </c>
      <c r="B110" s="8" t="s">
        <v>239</v>
      </c>
      <c r="C110" s="8">
        <v>7</v>
      </c>
      <c r="D110" s="9">
        <v>1</v>
      </c>
      <c r="E110" s="9">
        <v>3</v>
      </c>
      <c r="F110" s="9">
        <v>2</v>
      </c>
      <c r="G110" s="39" t="str">
        <f t="shared" si="11"/>
        <v>N,7,1,3,2</v>
      </c>
      <c r="H110" s="9">
        <v>0</v>
      </c>
      <c r="I110" s="9">
        <f>IF(D110=1,1-indirect_model_parameters!$G$55,indirect_model_parameters!$G$55)</f>
        <v>0.96299999999999997</v>
      </c>
      <c r="J110" s="9">
        <f>IF(E110=1,indirect_model_parameters!$G$16,indirect_model_parameters!$G$17)*IF(E110=2,indirect_model_parameters!$G$10,IF(E110=3,indirect_model_parameters!$G$12,IF(E110=4,indirect_model_parameters!$G$14,1)))</f>
        <v>0.16500000000000001</v>
      </c>
      <c r="L110" s="9">
        <f t="shared" si="12"/>
        <v>0</v>
      </c>
      <c r="M110" s="9">
        <v>0</v>
      </c>
      <c r="N110" s="37">
        <f>M110*indirect_model_parameters!$G$9</f>
        <v>0</v>
      </c>
    </row>
    <row r="111" spans="1:14" ht="48" x14ac:dyDescent="0.2">
      <c r="A111" s="1" t="str">
        <f t="shared" si="10"/>
        <v>Population in TB compartment  Recovered/Treated with  Multidrug-resistant (MDR-TB) in HIV compartment  PLHIV not on ART, CD4≤200 and Female</v>
      </c>
      <c r="B111" s="8" t="s">
        <v>239</v>
      </c>
      <c r="C111" s="8">
        <v>7</v>
      </c>
      <c r="D111" s="9">
        <v>2</v>
      </c>
      <c r="E111" s="9">
        <v>3</v>
      </c>
      <c r="F111" s="9">
        <v>2</v>
      </c>
      <c r="G111" s="39" t="str">
        <f t="shared" si="11"/>
        <v>N,7,2,3,2</v>
      </c>
      <c r="H111" s="9">
        <v>0</v>
      </c>
      <c r="I111" s="9">
        <f>IF(D111=1,1-indirect_model_parameters!$G$55,indirect_model_parameters!$G$55)</f>
        <v>3.6999999999999998E-2</v>
      </c>
      <c r="J111" s="9">
        <f>IF(E111=1,indirect_model_parameters!$G$16,indirect_model_parameters!$G$17)*IF(E111=2,indirect_model_parameters!$G$10,IF(E111=3,indirect_model_parameters!$G$12,IF(E111=4,indirect_model_parameters!$G$14,1)))</f>
        <v>0.16500000000000001</v>
      </c>
      <c r="L111" s="9">
        <f t="shared" si="12"/>
        <v>0</v>
      </c>
      <c r="M111" s="9">
        <v>0</v>
      </c>
      <c r="N111" s="37">
        <f>M111*indirect_model_parameters!$G$9</f>
        <v>0</v>
      </c>
    </row>
    <row r="112" spans="1:14" ht="48" x14ac:dyDescent="0.2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IF(D112=1,1-indirect_model_parameters!$G$55,indirect_model_parameters!$G$55)</f>
        <v>0.96299999999999997</v>
      </c>
      <c r="J112" s="9">
        <f>IF(E112=1,indirect_model_parameters!$G$16,indirect_model_parameters!$G$17)*IF(E112=2,indirect_model_parameters!$G$10,IF(E112=3,indirect_model_parameters!$G$12,IF(E112=4,indirect_model_parameters!$G$14,1)))</f>
        <v>0</v>
      </c>
      <c r="L112" s="9">
        <f t="shared" si="12"/>
        <v>0</v>
      </c>
      <c r="M112" s="9">
        <v>0</v>
      </c>
      <c r="N112" s="37">
        <f>M112*indirect_model_parameters!$G$9</f>
        <v>0</v>
      </c>
    </row>
    <row r="113" spans="1:14" ht="48" x14ac:dyDescent="0.2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IF(D113=1,1-indirect_model_parameters!$G$55,indirect_model_parameters!$G$55)</f>
        <v>3.6999999999999998E-2</v>
      </c>
      <c r="J113" s="9">
        <f>IF(E113=1,indirect_model_parameters!$G$16,indirect_model_parameters!$G$17)*IF(E113=2,indirect_model_parameters!$G$10,IF(E113=3,indirect_model_parameters!$G$12,IF(E113=4,indirect_model_parameters!$G$14,1)))</f>
        <v>0</v>
      </c>
      <c r="L113" s="9">
        <f t="shared" si="12"/>
        <v>0</v>
      </c>
      <c r="M113" s="9">
        <v>0</v>
      </c>
      <c r="N113" s="37">
        <f>M113*indirect_model_parameters!$G$9</f>
        <v>0</v>
      </c>
    </row>
    <row r="114" spans="1:14" ht="32" x14ac:dyDescent="0.2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v>0</v>
      </c>
      <c r="I114" s="9">
        <f>IF(D114=1,1-indirect_model_parameters!$G$55,indirect_model_parameters!$G$55)</f>
        <v>0.96299999999999997</v>
      </c>
      <c r="J114" s="9">
        <f>IF(E114=1,indirect_model_parameters!$G$16,indirect_model_parameters!$G$17)*IF(E114=2,indirect_model_parameters!$G$10,IF(E114=3,indirect_model_parameters!$G$12,IF(E114=4,indirect_model_parameters!$G$14,1)))</f>
        <v>0.7</v>
      </c>
      <c r="L114" s="9">
        <f t="shared" si="12"/>
        <v>0</v>
      </c>
      <c r="M114" s="9">
        <v>0</v>
      </c>
      <c r="N114" s="37">
        <f>M114*indirect_model_parameters!$G$9</f>
        <v>0</v>
      </c>
    </row>
    <row r="115" spans="1:14" ht="32" x14ac:dyDescent="0.2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v>0</v>
      </c>
      <c r="I115" s="9">
        <f>IF(D115=1,1-indirect_model_parameters!$G$55,indirect_model_parameters!$G$55)</f>
        <v>3.6999999999999998E-2</v>
      </c>
      <c r="J115" s="9">
        <f>IF(E115=1,indirect_model_parameters!$G$16,indirect_model_parameters!$G$17)*IF(E115=2,indirect_model_parameters!$G$10,IF(E115=3,indirect_model_parameters!$G$12,IF(E115=4,indirect_model_parameters!$G$14,1)))</f>
        <v>0.7</v>
      </c>
      <c r="L115" s="9">
        <f t="shared" si="12"/>
        <v>0</v>
      </c>
      <c r="M115" s="9">
        <v>0</v>
      </c>
      <c r="N115" s="37">
        <f>M115*indirect_model_parameters!$G$9</f>
        <v>0</v>
      </c>
    </row>
    <row r="116" spans="1:14" ht="48" x14ac:dyDescent="0.2">
      <c r="A116" s="1" t="str">
        <f t="shared" si="10"/>
        <v>Population in TB compartment  LTBI, after IPT with Drug-susceptible (DS) in HIV compartment  PLHIV not on ART, CD4&gt;200 and Male</v>
      </c>
      <c r="B116" s="8" t="s">
        <v>239</v>
      </c>
      <c r="C116" s="8">
        <v>8</v>
      </c>
      <c r="D116" s="9">
        <v>1</v>
      </c>
      <c r="E116" s="9">
        <v>2</v>
      </c>
      <c r="F116" s="9">
        <v>1</v>
      </c>
      <c r="G116" s="39" t="str">
        <f t="shared" si="11"/>
        <v>N,8,1,2,1</v>
      </c>
      <c r="H116" s="9">
        <v>0</v>
      </c>
      <c r="I116" s="9">
        <f>IF(D116=1,1-indirect_model_parameters!$G$55,indirect_model_parameters!$G$55)</f>
        <v>0.96299999999999997</v>
      </c>
      <c r="J116" s="9">
        <f>IF(E116=1,indirect_model_parameters!$G$16,indirect_model_parameters!$G$17)*IF(E116=2,indirect_model_parameters!$G$10,IF(E116=3,indirect_model_parameters!$G$12,IF(E116=4,indirect_model_parameters!$G$14,1)))</f>
        <v>0.13499999999999998</v>
      </c>
      <c r="L116" s="9">
        <f t="shared" si="12"/>
        <v>0</v>
      </c>
      <c r="M116" s="9">
        <v>0</v>
      </c>
      <c r="N116" s="37">
        <f>M116*indirect_model_parameters!$G$9</f>
        <v>0</v>
      </c>
    </row>
    <row r="117" spans="1:14" ht="48" x14ac:dyDescent="0.2">
      <c r="A117" s="1" t="str">
        <f t="shared" si="10"/>
        <v>Population in TB compartment  LTBI, after IPT with  Multidrug-resistant (MDR-TB) in HIV compartment  PLHIV not on ART, CD4&gt;200 and Male</v>
      </c>
      <c r="B117" s="8" t="s">
        <v>239</v>
      </c>
      <c r="C117" s="8">
        <v>8</v>
      </c>
      <c r="D117" s="9">
        <v>2</v>
      </c>
      <c r="E117" s="9">
        <v>2</v>
      </c>
      <c r="F117" s="9">
        <v>1</v>
      </c>
      <c r="G117" s="39" t="str">
        <f t="shared" si="11"/>
        <v>N,8,2,2,1</v>
      </c>
      <c r="H117" s="9">
        <v>0</v>
      </c>
      <c r="I117" s="9">
        <f>IF(D117=1,1-indirect_model_parameters!$G$55,indirect_model_parameters!$G$55)</f>
        <v>3.6999999999999998E-2</v>
      </c>
      <c r="J117" s="9">
        <f>IF(E117=1,indirect_model_parameters!$G$16,indirect_model_parameters!$G$17)*IF(E117=2,indirect_model_parameters!$G$10,IF(E117=3,indirect_model_parameters!$G$12,IF(E117=4,indirect_model_parameters!$G$14,1)))</f>
        <v>0.13499999999999998</v>
      </c>
      <c r="L117" s="9">
        <f t="shared" si="12"/>
        <v>0</v>
      </c>
      <c r="M117" s="9">
        <v>0</v>
      </c>
      <c r="N117" s="37">
        <f>M117*indirect_model_parameters!$G$9</f>
        <v>0</v>
      </c>
    </row>
    <row r="118" spans="1:14" ht="48" x14ac:dyDescent="0.2">
      <c r="A118" s="1" t="str">
        <f t="shared" si="10"/>
        <v>Population in TB compartment  LTBI, after IPT with Drug-susceptible (DS) in HIV compartment  PLHIV not on ART, CD4≤200 and Male</v>
      </c>
      <c r="B118" s="8" t="s">
        <v>239</v>
      </c>
      <c r="C118" s="8">
        <v>8</v>
      </c>
      <c r="D118" s="9">
        <v>1</v>
      </c>
      <c r="E118" s="9">
        <v>3</v>
      </c>
      <c r="F118" s="9">
        <v>1</v>
      </c>
      <c r="G118" s="39" t="str">
        <f t="shared" si="11"/>
        <v>N,8,1,3,1</v>
      </c>
      <c r="H118" s="9">
        <v>0</v>
      </c>
      <c r="I118" s="9">
        <f>IF(D118=1,1-indirect_model_parameters!$G$55,indirect_model_parameters!$G$55)</f>
        <v>0.96299999999999997</v>
      </c>
      <c r="J118" s="9">
        <f>IF(E118=1,indirect_model_parameters!$G$16,indirect_model_parameters!$G$17)*IF(E118=2,indirect_model_parameters!$G$10,IF(E118=3,indirect_model_parameters!$G$12,IF(E118=4,indirect_model_parameters!$G$14,1)))</f>
        <v>0.16500000000000001</v>
      </c>
      <c r="L118" s="9">
        <f t="shared" si="12"/>
        <v>0</v>
      </c>
      <c r="M118" s="9">
        <v>0</v>
      </c>
      <c r="N118" s="37">
        <f>M118*indirect_model_parameters!$G$9</f>
        <v>0</v>
      </c>
    </row>
    <row r="119" spans="1:14" ht="48" x14ac:dyDescent="0.2">
      <c r="A119" s="1" t="str">
        <f t="shared" si="10"/>
        <v>Population in TB compartment  LTBI, after IPT with  Multidrug-resistant (MDR-TB) in HIV compartment  PLHIV not on ART, CD4≤200 and Male</v>
      </c>
      <c r="B119" s="8" t="s">
        <v>239</v>
      </c>
      <c r="C119" s="8">
        <v>8</v>
      </c>
      <c r="D119" s="9">
        <v>2</v>
      </c>
      <c r="E119" s="9">
        <v>3</v>
      </c>
      <c r="F119" s="9">
        <v>1</v>
      </c>
      <c r="G119" s="39" t="str">
        <f t="shared" si="11"/>
        <v>N,8,2,3,1</v>
      </c>
      <c r="H119" s="9">
        <v>0</v>
      </c>
      <c r="I119" s="9">
        <f>IF(D119=1,1-indirect_model_parameters!$G$55,indirect_model_parameters!$G$55)</f>
        <v>3.6999999999999998E-2</v>
      </c>
      <c r="J119" s="9">
        <f>IF(E119=1,indirect_model_parameters!$G$16,indirect_model_parameters!$G$17)*IF(E119=2,indirect_model_parameters!$G$10,IF(E119=3,indirect_model_parameters!$G$12,IF(E119=4,indirect_model_parameters!$G$14,1)))</f>
        <v>0.16500000000000001</v>
      </c>
      <c r="L119" s="9">
        <f t="shared" si="12"/>
        <v>0</v>
      </c>
      <c r="M119" s="9">
        <v>0</v>
      </c>
      <c r="N119" s="37">
        <f>M119*indirect_model_parameters!$G$9</f>
        <v>0</v>
      </c>
    </row>
    <row r="120" spans="1:14" ht="32" x14ac:dyDescent="0.2">
      <c r="A120" s="1" t="str">
        <f t="shared" si="10"/>
        <v>Population in TB compartment  LTBI, after IPT with Drug-susceptible (DS) in HIV compartment  PLHIV and on ART and Male</v>
      </c>
      <c r="B120" s="8" t="s">
        <v>239</v>
      </c>
      <c r="C120" s="8">
        <v>8</v>
      </c>
      <c r="D120" s="9">
        <v>1</v>
      </c>
      <c r="E120" s="9">
        <v>4</v>
      </c>
      <c r="F120" s="9">
        <v>1</v>
      </c>
      <c r="G120" s="39" t="str">
        <f t="shared" si="11"/>
        <v>N,8,1,4,1</v>
      </c>
      <c r="H120" s="9">
        <v>0</v>
      </c>
      <c r="I120" s="9">
        <f>IF(D120=1,1-indirect_model_parameters!$G$55,indirect_model_parameters!$G$55)</f>
        <v>0.96299999999999997</v>
      </c>
      <c r="J120" s="9">
        <f>IF(E120=1,indirect_model_parameters!$G$16,indirect_model_parameters!$G$17)*IF(E120=2,indirect_model_parameters!$G$10,IF(E120=3,indirect_model_parameters!$G$12,IF(E120=4,indirect_model_parameters!$G$14,1)))</f>
        <v>0</v>
      </c>
      <c r="L120" s="9">
        <f t="shared" si="12"/>
        <v>0</v>
      </c>
      <c r="M120" s="9">
        <v>0</v>
      </c>
      <c r="N120" s="37">
        <f>M120*indirect_model_parameters!$G$9</f>
        <v>0</v>
      </c>
    </row>
    <row r="121" spans="1:14" ht="48" x14ac:dyDescent="0.2">
      <c r="A121" s="1" t="str">
        <f t="shared" si="10"/>
        <v>Population in TB compartment  LTBI, after IPT with  Multidrug-resistant (MDR-TB) in HIV compartment  PLHIV and on ART and Male</v>
      </c>
      <c r="B121" s="8" t="s">
        <v>239</v>
      </c>
      <c r="C121" s="8">
        <v>8</v>
      </c>
      <c r="D121" s="9">
        <v>2</v>
      </c>
      <c r="E121" s="9">
        <v>4</v>
      </c>
      <c r="F121" s="9">
        <v>1</v>
      </c>
      <c r="G121" s="39" t="str">
        <f t="shared" si="11"/>
        <v>N,8,2,4,1</v>
      </c>
      <c r="H121" s="9">
        <v>0</v>
      </c>
      <c r="I121" s="9">
        <f>IF(D121=1,1-indirect_model_parameters!$G$55,indirect_model_parameters!$G$55)</f>
        <v>3.6999999999999998E-2</v>
      </c>
      <c r="J121" s="9">
        <f>IF(E121=1,indirect_model_parameters!$G$16,indirect_model_parameters!$G$17)*IF(E121=2,indirect_model_parameters!$G$10,IF(E121=3,indirect_model_parameters!$G$12,IF(E121=4,indirect_model_parameters!$G$14,1)))</f>
        <v>0</v>
      </c>
      <c r="L121" s="9">
        <f t="shared" si="12"/>
        <v>0</v>
      </c>
      <c r="M121" s="9">
        <v>0</v>
      </c>
      <c r="N121" s="37">
        <f>M121*indirect_model_parameters!$G$9</f>
        <v>0</v>
      </c>
    </row>
    <row r="122" spans="1:14" ht="32" x14ac:dyDescent="0.2">
      <c r="A122" s="1" t="str">
        <f t="shared" si="10"/>
        <v>Population in TB compartment  LTBI, after IPT with Drug-susceptible (DS) in HIV compartment  HIV-negative and Female</v>
      </c>
      <c r="B122" s="8" t="s">
        <v>239</v>
      </c>
      <c r="C122" s="8">
        <v>8</v>
      </c>
      <c r="D122" s="9">
        <v>1</v>
      </c>
      <c r="E122" s="9">
        <v>1</v>
      </c>
      <c r="F122" s="9">
        <v>2</v>
      </c>
      <c r="G122" s="39" t="str">
        <f t="shared" si="11"/>
        <v>N,8,1,1,2</v>
      </c>
      <c r="H122" s="9">
        <v>0</v>
      </c>
      <c r="I122" s="9">
        <f>IF(D122=1,1-indirect_model_parameters!$G$55,indirect_model_parameters!$G$55)</f>
        <v>0.96299999999999997</v>
      </c>
      <c r="J122" s="9">
        <f>IF(E122=1,indirect_model_parameters!$G$16,indirect_model_parameters!$G$17)*IF(E122=2,indirect_model_parameters!$G$10,IF(E122=3,indirect_model_parameters!$G$12,IF(E122=4,indirect_model_parameters!$G$14,1)))</f>
        <v>0.7</v>
      </c>
      <c r="L122" s="9">
        <f t="shared" si="12"/>
        <v>0</v>
      </c>
      <c r="M122" s="9">
        <v>0</v>
      </c>
      <c r="N122" s="37">
        <f>M122*indirect_model_parameters!$G$9</f>
        <v>0</v>
      </c>
    </row>
    <row r="123" spans="1:14" ht="32" x14ac:dyDescent="0.2">
      <c r="A123" s="1" t="str">
        <f t="shared" si="10"/>
        <v>Population in TB compartment  LTBI, after IPT with  Multidrug-resistant (MDR-TB) in HIV compartment  HIV-negative and Female</v>
      </c>
      <c r="B123" s="8" t="s">
        <v>239</v>
      </c>
      <c r="C123" s="8">
        <v>8</v>
      </c>
      <c r="D123" s="9">
        <v>2</v>
      </c>
      <c r="E123" s="9">
        <v>1</v>
      </c>
      <c r="F123" s="9">
        <v>2</v>
      </c>
      <c r="G123" s="39" t="str">
        <f t="shared" si="11"/>
        <v>N,8,2,1,2</v>
      </c>
      <c r="H123" s="9">
        <v>0</v>
      </c>
      <c r="I123" s="9">
        <f>IF(D123=1,1-indirect_model_parameters!$G$55,indirect_model_parameters!$G$55)</f>
        <v>3.6999999999999998E-2</v>
      </c>
      <c r="J123" s="9">
        <f>IF(E123=1,indirect_model_parameters!$G$16,indirect_model_parameters!$G$17)*IF(E123=2,indirect_model_parameters!$G$10,IF(E123=3,indirect_model_parameters!$G$12,IF(E123=4,indirect_model_parameters!$G$14,1)))</f>
        <v>0.7</v>
      </c>
      <c r="L123" s="9">
        <f t="shared" si="12"/>
        <v>0</v>
      </c>
      <c r="M123" s="9">
        <v>0</v>
      </c>
      <c r="N123" s="37">
        <f>M123*indirect_model_parameters!$G$9</f>
        <v>0</v>
      </c>
    </row>
    <row r="124" spans="1:14" ht="48" x14ac:dyDescent="0.2">
      <c r="A124" s="1" t="str">
        <f t="shared" si="10"/>
        <v>Population in TB compartment  LTBI, after IPT with Drug-susceptible (DS) in HIV compartment  PLHIV not on ART, CD4&gt;200 and Female</v>
      </c>
      <c r="B124" s="8" t="s">
        <v>239</v>
      </c>
      <c r="C124" s="8">
        <v>8</v>
      </c>
      <c r="D124" s="9">
        <v>1</v>
      </c>
      <c r="E124" s="9">
        <v>2</v>
      </c>
      <c r="F124" s="9">
        <v>2</v>
      </c>
      <c r="G124" s="39" t="str">
        <f t="shared" si="11"/>
        <v>N,8,1,2,2</v>
      </c>
      <c r="H124" s="9">
        <v>0</v>
      </c>
      <c r="I124" s="9">
        <f>IF(D124=1,1-indirect_model_parameters!$G$55,indirect_model_parameters!$G$55)</f>
        <v>0.96299999999999997</v>
      </c>
      <c r="J124" s="9">
        <f>IF(E124=1,indirect_model_parameters!$G$16,indirect_model_parameters!$G$17)*IF(E124=2,indirect_model_parameters!$G$10,IF(E124=3,indirect_model_parameters!$G$12,IF(E124=4,indirect_model_parameters!$G$14,1)))</f>
        <v>0.13499999999999998</v>
      </c>
      <c r="L124" s="9">
        <f t="shared" si="12"/>
        <v>0</v>
      </c>
      <c r="M124" s="9">
        <v>0</v>
      </c>
      <c r="N124" s="37">
        <f>M124*indirect_model_parameters!$G$9</f>
        <v>0</v>
      </c>
    </row>
    <row r="125" spans="1:14" ht="48" x14ac:dyDescent="0.2">
      <c r="A125" s="1" t="str">
        <f t="shared" si="10"/>
        <v>Population in TB compartment  LTBI, after IPT with  Multidrug-resistant (MDR-TB) in HIV compartment  PLHIV not on ART, CD4&gt;200 and Female</v>
      </c>
      <c r="B125" s="8" t="s">
        <v>239</v>
      </c>
      <c r="C125" s="8">
        <v>8</v>
      </c>
      <c r="D125" s="9">
        <v>2</v>
      </c>
      <c r="E125" s="9">
        <v>2</v>
      </c>
      <c r="F125" s="9">
        <v>2</v>
      </c>
      <c r="G125" s="39" t="str">
        <f t="shared" si="11"/>
        <v>N,8,2,2,2</v>
      </c>
      <c r="H125" s="9">
        <v>0</v>
      </c>
      <c r="I125" s="9">
        <f>IF(D125=1,1-indirect_model_parameters!$G$55,indirect_model_parameters!$G$55)</f>
        <v>3.6999999999999998E-2</v>
      </c>
      <c r="J125" s="9">
        <f>IF(E125=1,indirect_model_parameters!$G$16,indirect_model_parameters!$G$17)*IF(E125=2,indirect_model_parameters!$G$10,IF(E125=3,indirect_model_parameters!$G$12,IF(E125=4,indirect_model_parameters!$G$14,1)))</f>
        <v>0.13499999999999998</v>
      </c>
      <c r="L125" s="9">
        <f t="shared" si="12"/>
        <v>0</v>
      </c>
      <c r="M125" s="9">
        <v>0</v>
      </c>
      <c r="N125" s="37">
        <f>M125*indirect_model_parameters!$G$9</f>
        <v>0</v>
      </c>
    </row>
    <row r="126" spans="1:14" ht="48" x14ac:dyDescent="0.2">
      <c r="A126" s="1" t="str">
        <f t="shared" si="10"/>
        <v>Population in TB compartment  LTBI, after IPT with Drug-susceptible (DS) in HIV compartment  PLHIV not on ART, CD4≤200 and Female</v>
      </c>
      <c r="B126" s="8" t="s">
        <v>239</v>
      </c>
      <c r="C126" s="8">
        <v>8</v>
      </c>
      <c r="D126" s="9">
        <v>1</v>
      </c>
      <c r="E126" s="9">
        <v>3</v>
      </c>
      <c r="F126" s="9">
        <v>2</v>
      </c>
      <c r="G126" s="39" t="str">
        <f t="shared" si="11"/>
        <v>N,8,1,3,2</v>
      </c>
      <c r="H126" s="9">
        <v>0</v>
      </c>
      <c r="I126" s="9">
        <f>IF(D126=1,1-indirect_model_parameters!$G$55,indirect_model_parameters!$G$55)</f>
        <v>0.96299999999999997</v>
      </c>
      <c r="J126" s="9">
        <f>IF(E126=1,indirect_model_parameters!$G$16,indirect_model_parameters!$G$17)*IF(E126=2,indirect_model_parameters!$G$10,IF(E126=3,indirect_model_parameters!$G$12,IF(E126=4,indirect_model_parameters!$G$14,1)))</f>
        <v>0.16500000000000001</v>
      </c>
      <c r="L126" s="9">
        <f t="shared" si="12"/>
        <v>0</v>
      </c>
      <c r="M126" s="9">
        <v>0</v>
      </c>
      <c r="N126" s="37">
        <f>M126*indirect_model_parameters!$G$9</f>
        <v>0</v>
      </c>
    </row>
    <row r="127" spans="1:14" ht="48" x14ac:dyDescent="0.2">
      <c r="A127" s="1" t="str">
        <f t="shared" si="10"/>
        <v>Population in TB compartment  LTBI, after IPT with  Multidrug-resistant (MDR-TB) in HIV compartment  PLHIV not on ART, CD4≤200 and Female</v>
      </c>
      <c r="B127" s="8" t="s">
        <v>239</v>
      </c>
      <c r="C127" s="8">
        <v>8</v>
      </c>
      <c r="D127" s="9">
        <v>2</v>
      </c>
      <c r="E127" s="9">
        <v>3</v>
      </c>
      <c r="F127" s="9">
        <v>2</v>
      </c>
      <c r="G127" s="39" t="str">
        <f t="shared" si="11"/>
        <v>N,8,2,3,2</v>
      </c>
      <c r="H127" s="9">
        <v>0</v>
      </c>
      <c r="I127" s="9">
        <f>IF(D127=1,1-indirect_model_parameters!$G$55,indirect_model_parameters!$G$55)</f>
        <v>3.6999999999999998E-2</v>
      </c>
      <c r="J127" s="9">
        <f>IF(E127=1,indirect_model_parameters!$G$16,indirect_model_parameters!$G$17)*IF(E127=2,indirect_model_parameters!$G$10,IF(E127=3,indirect_model_parameters!$G$12,IF(E127=4,indirect_model_parameters!$G$14,1)))</f>
        <v>0.16500000000000001</v>
      </c>
      <c r="L127" s="9">
        <f t="shared" si="12"/>
        <v>0</v>
      </c>
      <c r="M127" s="9">
        <v>0</v>
      </c>
      <c r="N127" s="37">
        <f>M127*indirect_model_parameters!$G$9</f>
        <v>0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v>0</v>
      </c>
      <c r="I128" s="9">
        <f>IF(D128=1,1-indirect_model_parameters!$G$55,indirect_model_parameters!$G$55)</f>
        <v>0.96299999999999997</v>
      </c>
      <c r="J128" s="9">
        <f>IF(E128=1,indirect_model_parameters!$G$16,indirect_model_parameters!$G$17)*IF(E128=2,indirect_model_parameters!$G$10,IF(E128=3,indirect_model_parameters!$G$12,IF(E128=4,indirect_model_parameters!$G$14,1)))</f>
        <v>0</v>
      </c>
      <c r="L128" s="9">
        <f t="shared" si="12"/>
        <v>0</v>
      </c>
      <c r="M128" s="9">
        <v>0</v>
      </c>
      <c r="N128" s="37">
        <f>M128*indirect_model_parameters!$G$9</f>
        <v>0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v>0</v>
      </c>
      <c r="I129" s="9">
        <f>IF(D129=1,1-indirect_model_parameters!$G$55,indirect_model_parameters!$G$55)</f>
        <v>3.6999999999999998E-2</v>
      </c>
      <c r="J129" s="9">
        <f>IF(E129=1,indirect_model_parameters!$G$16,indirect_model_parameters!$G$17)*IF(E129=2,indirect_model_parameters!$G$10,IF(E129=3,indirect_model_parameters!$G$12,IF(E129=4,indirect_model_parameters!$G$14,1)))</f>
        <v>0</v>
      </c>
      <c r="L129" s="9">
        <f t="shared" si="12"/>
        <v>0</v>
      </c>
      <c r="M129" s="9">
        <v>0</v>
      </c>
      <c r="N129" s="37">
        <f>M129*indirect_model_parameters!$G$9</f>
        <v>0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xmlns:xlrd2="http://schemas.microsoft.com/office/spreadsheetml/2017/richdata2" ref="A2:Q129">
    <sortCondition ref="C2:C129"/>
    <sortCondition ref="F2:F129"/>
    <sortCondition ref="E2:E12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B8" sqref="B8"/>
    </sheetView>
  </sheetViews>
  <sheetFormatPr baseColWidth="10" defaultColWidth="10.6640625" defaultRowHeight="15" x14ac:dyDescent="0.2"/>
  <cols>
    <col min="1" max="1" width="15" bestFit="1" customWidth="1"/>
    <col min="2" max="2" width="15.6640625" bestFit="1" customWidth="1"/>
    <col min="3" max="3" width="14.1640625" customWidth="1"/>
    <col min="4" max="4" width="14.33203125" customWidth="1"/>
    <col min="5" max="5" width="14" customWidth="1"/>
    <col min="6" max="6" width="13.5" customWidth="1"/>
    <col min="7" max="7" width="13.33203125" customWidth="1"/>
    <col min="8" max="8" width="11.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 x14ac:dyDescent="0.2">
      <c r="A1" s="41" t="s">
        <v>4</v>
      </c>
      <c r="B1" t="s">
        <v>326</v>
      </c>
    </row>
    <row r="2" spans="1:10" x14ac:dyDescent="0.2">
      <c r="A2" s="41" t="s">
        <v>6</v>
      </c>
      <c r="B2" t="s">
        <v>326</v>
      </c>
    </row>
    <row r="3" spans="1:10" x14ac:dyDescent="0.2">
      <c r="A3" s="41" t="s">
        <v>7</v>
      </c>
      <c r="B3" t="s">
        <v>324</v>
      </c>
    </row>
    <row r="5" spans="1:10" s="1" customFormat="1" ht="51" x14ac:dyDescent="0.2">
      <c r="A5" s="62" t="s">
        <v>412</v>
      </c>
      <c r="B5" s="62" t="s">
        <v>415</v>
      </c>
      <c r="C5" s="62" t="s">
        <v>352</v>
      </c>
      <c r="D5" s="62" t="s">
        <v>354</v>
      </c>
      <c r="E5" s="62" t="s">
        <v>353</v>
      </c>
      <c r="F5" s="62" t="s">
        <v>355</v>
      </c>
      <c r="G5" s="62" t="s">
        <v>356</v>
      </c>
      <c r="H5" s="62" t="s">
        <v>351</v>
      </c>
      <c r="J5" s="49"/>
    </row>
    <row r="6" spans="1:10" x14ac:dyDescent="0.2">
      <c r="A6" s="42" t="s">
        <v>327</v>
      </c>
      <c r="B6" s="43">
        <v>0.17325000000000002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0.23227648165884884</v>
      </c>
      <c r="J6" s="44"/>
    </row>
    <row r="7" spans="1:10" x14ac:dyDescent="0.2">
      <c r="A7" s="42" t="s">
        <v>328</v>
      </c>
      <c r="B7" s="43">
        <v>0.17325000000000002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0.23227648165884884</v>
      </c>
      <c r="J7" s="44"/>
    </row>
    <row r="8" spans="1:10" x14ac:dyDescent="0.2">
      <c r="A8" s="42" t="s">
        <v>329</v>
      </c>
      <c r="B8" s="43">
        <v>1.3364999999999998E-2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1.7918471442254048E-2</v>
      </c>
      <c r="J8" s="44"/>
    </row>
    <row r="9" spans="1:10" x14ac:dyDescent="0.2">
      <c r="A9" s="42" t="s">
        <v>330</v>
      </c>
      <c r="B9" s="43">
        <v>1.3364999999999998E-2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1.7918471442254048E-2</v>
      </c>
      <c r="J9" s="44"/>
    </row>
    <row r="10" spans="1:10" x14ac:dyDescent="0.2">
      <c r="A10" s="42" t="s">
        <v>331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 x14ac:dyDescent="0.2">
      <c r="A11" s="42" t="s">
        <v>332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 x14ac:dyDescent="0.2">
      <c r="A12" s="42" t="s">
        <v>333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 x14ac:dyDescent="0.2">
      <c r="A13" s="42" t="s">
        <v>334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 x14ac:dyDescent="0.2">
      <c r="A14" s="42" t="s">
        <v>335</v>
      </c>
      <c r="B14" s="43">
        <v>8.0203870168483703E-3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1.0752942440495525E-2</v>
      </c>
      <c r="J14" s="44"/>
    </row>
    <row r="15" spans="1:10" x14ac:dyDescent="0.2">
      <c r="A15" s="42" t="s">
        <v>336</v>
      </c>
      <c r="B15" s="43">
        <v>8.0203870168483703E-3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1.0752942440495525E-2</v>
      </c>
      <c r="J15" s="44"/>
    </row>
    <row r="16" spans="1:10" x14ac:dyDescent="0.2">
      <c r="A16" s="42" t="s">
        <v>337</v>
      </c>
      <c r="B16" s="43">
        <v>6.1871556987115985E-4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8.2951270255251174E-4</v>
      </c>
      <c r="J16" s="44"/>
    </row>
    <row r="17" spans="1:10" x14ac:dyDescent="0.2">
      <c r="A17" s="42" t="s">
        <v>338</v>
      </c>
      <c r="B17" s="43">
        <v>6.1871556987115985E-4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8.2951270255251174E-4</v>
      </c>
      <c r="J17" s="44"/>
    </row>
    <row r="18" spans="1:10" x14ac:dyDescent="0.2">
      <c r="A18" s="42" t="s">
        <v>339</v>
      </c>
      <c r="B18" s="43">
        <v>3.0815609514370679E-4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4.1314524433887261E-4</v>
      </c>
      <c r="J18" s="44"/>
    </row>
    <row r="19" spans="1:10" x14ac:dyDescent="0.2">
      <c r="A19" s="42" t="s">
        <v>340</v>
      </c>
      <c r="B19" s="43">
        <v>3.0815609514370679E-4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4.1314524433887261E-4</v>
      </c>
      <c r="J19" s="44"/>
    </row>
    <row r="20" spans="1:10" x14ac:dyDescent="0.2">
      <c r="A20" s="42" t="s">
        <v>341</v>
      </c>
      <c r="B20" s="43">
        <v>2.3772041625371663E-5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3.187120456328445E-5</v>
      </c>
      <c r="J20" s="44"/>
    </row>
    <row r="21" spans="1:10" x14ac:dyDescent="0.2">
      <c r="A21" s="42" t="s">
        <v>342</v>
      </c>
      <c r="B21" s="43">
        <v>2.3772041625371663E-5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3.187120456328445E-5</v>
      </c>
      <c r="J21" s="44"/>
    </row>
    <row r="22" spans="1:10" x14ac:dyDescent="0.2">
      <c r="A22" s="42" t="s">
        <v>343</v>
      </c>
      <c r="B22" s="43">
        <v>0.1554972993062439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0.20847541466266831</v>
      </c>
      <c r="J22" s="44"/>
    </row>
    <row r="23" spans="1:10" x14ac:dyDescent="0.2">
      <c r="A23" s="42" t="s">
        <v>344</v>
      </c>
      <c r="B23" s="43">
        <v>0.1554972993062439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0.20847541466266831</v>
      </c>
      <c r="J23" s="44"/>
    </row>
    <row r="24" spans="1:10" x14ac:dyDescent="0.2">
      <c r="A24" s="42" t="s">
        <v>345</v>
      </c>
      <c r="B24" s="43">
        <v>1.1995505946481669E-2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1.6082389131120124E-2</v>
      </c>
      <c r="J24" s="44"/>
    </row>
    <row r="25" spans="1:10" x14ac:dyDescent="0.2">
      <c r="A25" s="42" t="s">
        <v>346</v>
      </c>
      <c r="B25" s="43">
        <v>1.1995505946481669E-2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1.6082389131120124E-2</v>
      </c>
      <c r="J25" s="44"/>
    </row>
    <row r="26" spans="1:10" x14ac:dyDescent="0.2">
      <c r="A26" s="42" t="s">
        <v>347</v>
      </c>
      <c r="B26" s="43">
        <v>5.9744549058473768E-3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8.0099588188148781E-3</v>
      </c>
      <c r="J26" s="44"/>
    </row>
    <row r="27" spans="1:10" x14ac:dyDescent="0.2">
      <c r="A27" s="42" t="s">
        <v>348</v>
      </c>
      <c r="B27" s="43">
        <v>5.9744549058473768E-3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8.0099588188148781E-3</v>
      </c>
      <c r="J27" s="44"/>
    </row>
    <row r="28" spans="1:10" x14ac:dyDescent="0.2">
      <c r="A28" s="42" t="s">
        <v>349</v>
      </c>
      <c r="B28" s="43">
        <v>4.6088652130822606E-4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6.1791110888000458E-4</v>
      </c>
      <c r="J28" s="44"/>
    </row>
    <row r="29" spans="1:10" x14ac:dyDescent="0.2">
      <c r="A29" s="42" t="s">
        <v>350</v>
      </c>
      <c r="B29" s="43">
        <v>4.6088652130822606E-4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6.1791110888000458E-4</v>
      </c>
      <c r="J29" s="44"/>
    </row>
    <row r="30" spans="1:10" x14ac:dyDescent="0.2">
      <c r="A30" s="42" t="s">
        <v>357</v>
      </c>
      <c r="B30" s="43">
        <v>1.926E-3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2.5821904974022672E-3</v>
      </c>
      <c r="J30" s="44"/>
    </row>
    <row r="31" spans="1:10" x14ac:dyDescent="0.2">
      <c r="A31" s="42" t="s">
        <v>358</v>
      </c>
      <c r="B31" s="43">
        <v>9.6299999999999966E-4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1.2910952487011332E-3</v>
      </c>
      <c r="J31" s="44"/>
    </row>
    <row r="32" spans="1:10" x14ac:dyDescent="0.2">
      <c r="A32" s="42" t="s">
        <v>359</v>
      </c>
      <c r="B32" s="43">
        <v>1.5889500000000002E-3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2.1303071603568707E-3</v>
      </c>
      <c r="J32" s="44"/>
    </row>
    <row r="33" spans="1:10" x14ac:dyDescent="0.2">
      <c r="A33" s="42" t="s">
        <v>360</v>
      </c>
      <c r="B33" s="43">
        <v>2.1186000000000004E-3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2.8404095471424948E-3</v>
      </c>
      <c r="J33" s="44"/>
    </row>
    <row r="34" spans="1:10" x14ac:dyDescent="0.2">
      <c r="A34" s="42" t="s">
        <v>361</v>
      </c>
      <c r="B34" s="43">
        <v>7.400000000000001E-5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9.9211888269869059E-5</v>
      </c>
      <c r="J34" s="44"/>
    </row>
    <row r="35" spans="1:10" x14ac:dyDescent="0.2">
      <c r="A35" s="42" t="s">
        <v>362</v>
      </c>
      <c r="B35" s="43">
        <v>3.6999999999999991E-5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4.9605944134934509E-5</v>
      </c>
      <c r="J35" s="44"/>
    </row>
    <row r="36" spans="1:10" x14ac:dyDescent="0.2">
      <c r="A36" s="42" t="s">
        <v>363</v>
      </c>
      <c r="B36" s="43">
        <v>6.1050000000000007E-5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8.1849807822641972E-5</v>
      </c>
      <c r="J36" s="44"/>
    </row>
    <row r="37" spans="1:10" x14ac:dyDescent="0.2">
      <c r="A37" s="42" t="s">
        <v>364</v>
      </c>
      <c r="B37" s="43">
        <v>8.1400000000000013E-5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1.0913307709685597E-4</v>
      </c>
      <c r="J37" s="44"/>
    </row>
    <row r="38" spans="1:10" x14ac:dyDescent="0.2">
      <c r="A38" s="42" t="s">
        <v>325</v>
      </c>
      <c r="B38" s="43">
        <v>0.7458783548067397</v>
      </c>
    </row>
    <row r="51" spans="12:13" x14ac:dyDescent="0.2">
      <c r="L51" s="46"/>
      <c r="M51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214</v>
      </c>
    </row>
    <row r="2" spans="1:2" x14ac:dyDescent="0.2">
      <c r="A2">
        <v>1</v>
      </c>
      <c r="B2" t="s">
        <v>215</v>
      </c>
    </row>
    <row r="3" spans="1:2" x14ac:dyDescent="0.2">
      <c r="A3">
        <v>2</v>
      </c>
      <c r="B3" t="s">
        <v>216</v>
      </c>
    </row>
    <row r="4" spans="1:2" x14ac:dyDescent="0.2">
      <c r="A4">
        <v>3</v>
      </c>
      <c r="B4" t="s">
        <v>217</v>
      </c>
    </row>
    <row r="5" spans="1:2" x14ac:dyDescent="0.2">
      <c r="A5">
        <v>4</v>
      </c>
      <c r="B5" t="s">
        <v>218</v>
      </c>
    </row>
    <row r="6" spans="1:2" x14ac:dyDescent="0.2">
      <c r="A6">
        <v>5</v>
      </c>
      <c r="B6" t="s">
        <v>219</v>
      </c>
    </row>
    <row r="7" spans="1:2" x14ac:dyDescent="0.2">
      <c r="A7">
        <v>6</v>
      </c>
      <c r="B7" t="s">
        <v>220</v>
      </c>
    </row>
    <row r="8" spans="1:2" x14ac:dyDescent="0.2">
      <c r="A8">
        <v>7</v>
      </c>
      <c r="B8" t="s">
        <v>221</v>
      </c>
    </row>
    <row r="9" spans="1:2" x14ac:dyDescent="0.2">
      <c r="A9">
        <v>8</v>
      </c>
      <c r="B9" t="s">
        <v>222</v>
      </c>
    </row>
    <row r="11" spans="1:2" x14ac:dyDescent="0.2">
      <c r="A11" t="s">
        <v>223</v>
      </c>
    </row>
    <row r="12" spans="1:2" x14ac:dyDescent="0.2">
      <c r="A12">
        <v>1</v>
      </c>
      <c r="B12" t="s">
        <v>224</v>
      </c>
    </row>
    <row r="13" spans="1:2" x14ac:dyDescent="0.2">
      <c r="A13">
        <v>2</v>
      </c>
      <c r="B13" t="s">
        <v>225</v>
      </c>
    </row>
    <row r="15" spans="1:2" x14ac:dyDescent="0.2">
      <c r="A15" t="s">
        <v>226</v>
      </c>
    </row>
    <row r="16" spans="1:2" x14ac:dyDescent="0.2">
      <c r="A16">
        <v>1</v>
      </c>
      <c r="B16" t="s">
        <v>227</v>
      </c>
    </row>
    <row r="17" spans="1:2" x14ac:dyDescent="0.2">
      <c r="A17">
        <v>2</v>
      </c>
      <c r="B17" t="s">
        <v>228</v>
      </c>
    </row>
    <row r="18" spans="1:2" x14ac:dyDescent="0.2">
      <c r="A18">
        <v>3</v>
      </c>
      <c r="B18" t="s">
        <v>229</v>
      </c>
    </row>
    <row r="19" spans="1:2" x14ac:dyDescent="0.2">
      <c r="A19">
        <v>4</v>
      </c>
      <c r="B19" t="s">
        <v>230</v>
      </c>
    </row>
    <row r="21" spans="1:2" x14ac:dyDescent="0.2">
      <c r="A21" t="s">
        <v>231</v>
      </c>
    </row>
    <row r="22" spans="1:2" x14ac:dyDescent="0.2">
      <c r="A22">
        <v>1</v>
      </c>
      <c r="B22" t="s">
        <v>232</v>
      </c>
    </row>
    <row r="23" spans="1:2" x14ac:dyDescent="0.2">
      <c r="A23">
        <v>2</v>
      </c>
      <c r="B23" t="s">
        <v>233</v>
      </c>
    </row>
    <row r="25" spans="1:2" x14ac:dyDescent="0.2">
      <c r="A25" t="s">
        <v>234</v>
      </c>
    </row>
    <row r="26" spans="1:2" x14ac:dyDescent="0.2">
      <c r="A26">
        <v>1</v>
      </c>
      <c r="B26" t="s">
        <v>235</v>
      </c>
    </row>
    <row r="27" spans="1:2" x14ac:dyDescent="0.2">
      <c r="A27">
        <v>2</v>
      </c>
      <c r="B27" t="s">
        <v>236</v>
      </c>
    </row>
    <row r="28" spans="1:2" x14ac:dyDescent="0.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model_matched_parameters</vt:lpstr>
      <vt:lpstr>indirect_model_parameters</vt:lpstr>
      <vt:lpstr>Sheet3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2021-02-05T16:58:17Z</dcterms:modified>
  <cp:category/>
  <cp:contentStatus/>
</cp:coreProperties>
</file>