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E552D877-19D9-6D44-99C4-6233BBCB27D0}" xr6:coauthVersionLast="36" xr6:coauthVersionMax="36" xr10:uidLastSave="{00000000-0000-0000-0000-000000000000}"/>
  <bookViews>
    <workbookView xWindow="15560" yWindow="1060" windowWidth="12080" windowHeight="15500" activeTab="1" xr2:uid="{23E87AAA-F98F-6E44-8E92-6D3127C9E120}"/>
  </bookViews>
  <sheets>
    <sheet name="raw data" sheetId="1" r:id="rId1"/>
    <sheet name="linearize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I4" i="1" l="1"/>
  <c r="I5" i="1"/>
  <c r="I6" i="1"/>
  <c r="I7" i="1"/>
  <c r="I8" i="1"/>
  <c r="I9" i="1"/>
  <c r="I10" i="1"/>
  <c r="I3" i="1"/>
  <c r="H5" i="1"/>
  <c r="H6" i="1"/>
  <c r="H7" i="1"/>
  <c r="H8" i="1"/>
  <c r="H9" i="1"/>
  <c r="H10" i="1"/>
  <c r="G3" i="1" l="1"/>
  <c r="G4" i="1"/>
  <c r="G5" i="1"/>
  <c r="G6" i="1"/>
  <c r="G7" i="1"/>
  <c r="G8" i="1"/>
  <c r="G9" i="1"/>
  <c r="G10" i="1"/>
  <c r="G13" i="1"/>
  <c r="H13" i="1"/>
  <c r="I13" i="1"/>
  <c r="K13" i="1"/>
  <c r="L13" i="1"/>
  <c r="N13" i="1"/>
  <c r="F15" i="1"/>
  <c r="F16" i="1"/>
  <c r="F17" i="1"/>
  <c r="F18" i="1"/>
  <c r="F19" i="1"/>
  <c r="F20" i="1"/>
  <c r="F21" i="1"/>
  <c r="F22" i="1"/>
  <c r="I20" i="1" l="1"/>
  <c r="H20" i="1"/>
  <c r="G20" i="1" s="1"/>
  <c r="I16" i="1"/>
  <c r="H16" i="1"/>
  <c r="G16" i="1" s="1"/>
  <c r="I19" i="1"/>
  <c r="H19" i="1"/>
  <c r="G19" i="1" s="1"/>
  <c r="I15" i="1"/>
  <c r="H15" i="1"/>
  <c r="G15" i="1" s="1"/>
  <c r="I22" i="1"/>
  <c r="H22" i="1"/>
  <c r="G22" i="1" s="1"/>
  <c r="I18" i="1"/>
  <c r="H18" i="1"/>
  <c r="G18" i="1" s="1"/>
  <c r="I21" i="1"/>
  <c r="H21" i="1"/>
  <c r="G21" i="1" s="1"/>
  <c r="I17" i="1"/>
  <c r="H17" i="1"/>
  <c r="G17" i="1" s="1"/>
  <c r="K15" i="1" l="1"/>
  <c r="L15" i="1" s="1"/>
  <c r="K17" i="1"/>
  <c r="L17" i="1" s="1"/>
  <c r="K5" i="1"/>
  <c r="J5" i="1" s="1"/>
  <c r="K16" i="1"/>
  <c r="K4" i="1"/>
  <c r="J4" i="1" s="1"/>
  <c r="K3" i="1"/>
  <c r="J3" i="1" s="1"/>
  <c r="J16" i="1" l="1"/>
  <c r="L16" i="1"/>
  <c r="M16" i="1" s="1"/>
  <c r="J17" i="1"/>
  <c r="M17" i="1"/>
  <c r="M15" i="1"/>
  <c r="J15" i="1"/>
  <c r="L3" i="1"/>
  <c r="L5" i="1"/>
  <c r="M5" i="1" s="1"/>
  <c r="L4" i="1"/>
  <c r="K6" i="1"/>
  <c r="J6" i="1" s="1"/>
  <c r="K18" i="1"/>
  <c r="N17" i="1" l="1"/>
  <c r="C15" i="3" s="1"/>
  <c r="J18" i="1"/>
  <c r="L18" i="1"/>
  <c r="N18" i="1" s="1"/>
  <c r="C16" i="3" s="1"/>
  <c r="N16" i="1"/>
  <c r="C14" i="3" s="1"/>
  <c r="M4" i="1"/>
  <c r="N5" i="1" s="1"/>
  <c r="C3" i="3" s="1"/>
  <c r="M3" i="1"/>
  <c r="N4" i="1" s="1"/>
  <c r="C2" i="3" s="1"/>
  <c r="L6" i="1"/>
  <c r="N6" i="1" s="1"/>
  <c r="C4" i="3" s="1"/>
  <c r="K19" i="1"/>
  <c r="K7" i="1"/>
  <c r="J7" i="1" s="1"/>
  <c r="M19" i="1" l="1"/>
  <c r="J19" i="1"/>
  <c r="L19" i="1"/>
  <c r="M18" i="1"/>
  <c r="M6" i="1"/>
  <c r="L7" i="1"/>
  <c r="K20" i="1"/>
  <c r="K8" i="1"/>
  <c r="J8" i="1" s="1"/>
  <c r="J20" i="1" l="1"/>
  <c r="L20" i="1"/>
  <c r="N20" i="1" s="1"/>
  <c r="C18" i="3" s="1"/>
  <c r="N19" i="1"/>
  <c r="C17" i="3" s="1"/>
  <c r="N7" i="1"/>
  <c r="C5" i="3" s="1"/>
  <c r="L8" i="1"/>
  <c r="M8" i="1" s="1"/>
  <c r="M7" i="1"/>
  <c r="K9" i="1"/>
  <c r="J9" i="1" s="1"/>
  <c r="K21" i="1"/>
  <c r="J21" i="1" l="1"/>
  <c r="L21" i="1"/>
  <c r="M21" i="1" s="1"/>
  <c r="M20" i="1"/>
  <c r="N8" i="1"/>
  <c r="C6" i="3" s="1"/>
  <c r="L9" i="1"/>
  <c r="N9" i="1" s="1"/>
  <c r="C7" i="3" s="1"/>
  <c r="K10" i="1"/>
  <c r="J10" i="1" s="1"/>
  <c r="K22" i="1"/>
  <c r="J22" i="1" l="1"/>
  <c r="L22" i="1"/>
  <c r="N22" i="1" s="1"/>
  <c r="N21" i="1"/>
  <c r="M9" i="1"/>
  <c r="L10" i="1"/>
  <c r="N10" i="1" s="1"/>
  <c r="O10" i="1" s="1"/>
  <c r="O22" i="1" l="1"/>
  <c r="C19" i="3"/>
  <c r="M22" i="1"/>
  <c r="M10" i="1"/>
  <c r="C9" i="3"/>
  <c r="C13" i="3"/>
  <c r="C10" i="3"/>
  <c r="C8" i="3"/>
  <c r="C11" i="3"/>
  <c r="C12" i="3"/>
  <c r="C23" i="3" l="1"/>
  <c r="C21" i="3"/>
  <c r="C22" i="3"/>
  <c r="C20" i="3"/>
  <c r="C25" i="3"/>
  <c r="C24" i="3"/>
</calcChain>
</file>

<file path=xl/sharedStrings.xml><?xml version="1.0" encoding="utf-8"?>
<sst xmlns="http://schemas.openxmlformats.org/spreadsheetml/2006/main" count="80" uniqueCount="26">
  <si>
    <r>
      <t>ART coverage over time by gender</t>
    </r>
    <r>
      <rPr>
        <sz val="12"/>
        <color rgb="FF000000"/>
        <rFont val="Helvetica"/>
        <family val="2"/>
      </rPr>
      <t> </t>
    </r>
  </si>
  <si>
    <t>Year </t>
  </si>
  <si>
    <t>Males </t>
  </si>
  <si>
    <t>Females </t>
  </si>
  <si>
    <t>HIV -</t>
  </si>
  <si>
    <t>ART</t>
  </si>
  <si>
    <t xml:space="preserve">Number of population (HIV +) </t>
  </si>
  <si>
    <t xml:space="preserve">Number of population (ART) </t>
  </si>
  <si>
    <t>ART rate initiation (eta_3,4)</t>
  </si>
  <si>
    <t>FEMALES</t>
  </si>
  <si>
    <t>MALES</t>
  </si>
  <si>
    <t>HIV Prevalence</t>
  </si>
  <si>
    <t>Total Female pop</t>
  </si>
  <si>
    <t>Total Male pop</t>
  </si>
  <si>
    <r>
      <t>prevalence over time by gender</t>
    </r>
    <r>
      <rPr>
        <sz val="12"/>
        <color rgb="FF000000"/>
        <rFont val="Helvetica"/>
        <family val="2"/>
      </rPr>
      <t> </t>
    </r>
  </si>
  <si>
    <t>Year</t>
  </si>
  <si>
    <t>Gender</t>
  </si>
  <si>
    <t>Male</t>
  </si>
  <si>
    <t>Female</t>
  </si>
  <si>
    <t>Population eligible but not on ART</t>
  </si>
  <si>
    <t>per year (linearlized)</t>
  </si>
  <si>
    <t>ART initiation rate</t>
  </si>
  <si>
    <t xml:space="preserve">Number of population (HIV -) </t>
  </si>
  <si>
    <t>Proportion from 2 in HIV</t>
  </si>
  <si>
    <t>Proportion from 3 in HIV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</si>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</sst>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_);_(* \(#,##0\);_(* &quot;-&quot;????_);_(@_)"/>
    <numFmt numFmtId="167" formatCode="0.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3" fontId="0" fillId="0" borderId="0" xfId="0" applyNumberFormat="1"/>
    <xf numFmtId="0" fontId="5" fillId="0" borderId="0" xfId="2"/>
    <xf numFmtId="0" fontId="7" fillId="0" borderId="0" xfId="0" applyFont="1"/>
    <xf numFmtId="0" fontId="8" fillId="0" borderId="0" xfId="0" applyFont="1"/>
    <xf numFmtId="0" fontId="6" fillId="0" borderId="0" xfId="0" applyFont="1"/>
    <xf numFmtId="9" fontId="0" fillId="0" borderId="0" xfId="3" applyFont="1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 applyFill="1"/>
    <xf numFmtId="0" fontId="9" fillId="0" borderId="0" xfId="0" applyFont="1"/>
    <xf numFmtId="0" fontId="0" fillId="2" borderId="0" xfId="0" applyFill="1"/>
    <xf numFmtId="0" fontId="9" fillId="2" borderId="0" xfId="0" applyFont="1" applyFill="1"/>
    <xf numFmtId="167" fontId="7" fillId="0" borderId="0" xfId="0" applyNumberFormat="1" applyFont="1"/>
    <xf numFmtId="167" fontId="7" fillId="2" borderId="0" xfId="0" applyNumberFormat="1" applyFont="1" applyFill="1"/>
    <xf numFmtId="167" fontId="0" fillId="0" borderId="0" xfId="0" applyNumberFormat="1"/>
    <xf numFmtId="165" fontId="0" fillId="0" borderId="0" xfId="0" applyNumberFormat="1" applyFill="1" applyAlignment="1">
      <alignment wrapText="1"/>
    </xf>
    <xf numFmtId="165" fontId="0" fillId="0" borderId="0" xfId="1" applyNumberFormat="1" applyFont="1" applyFill="1"/>
    <xf numFmtId="0" fontId="7" fillId="2" borderId="0" xfId="0" applyFont="1" applyFill="1"/>
    <xf numFmtId="1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C5C0-7259-F74C-B74F-4B62E66F4BA2}">
  <dimension ref="A1:P46"/>
  <sheetViews>
    <sheetView topLeftCell="K1" zoomScale="110" zoomScaleNormal="110" workbookViewId="0">
      <selection activeCell="N7" sqref="N7"/>
    </sheetView>
  </sheetViews>
  <sheetFormatPr baseColWidth="10" defaultRowHeight="16"/>
  <cols>
    <col min="11" max="11" width="15.83203125" customWidth="1"/>
    <col min="12" max="13" width="17.5" customWidth="1"/>
    <col min="14" max="14" width="11.5" bestFit="1" customWidth="1"/>
    <col min="16" max="16" width="12.5" bestFit="1" customWidth="1"/>
  </cols>
  <sheetData>
    <row r="1" spans="1:16" ht="51">
      <c r="A1" s="1" t="s">
        <v>0</v>
      </c>
      <c r="F1" t="s">
        <v>10</v>
      </c>
      <c r="G1" t="s">
        <v>4</v>
      </c>
      <c r="H1" s="5" t="s">
        <v>11</v>
      </c>
      <c r="I1" t="s">
        <v>5</v>
      </c>
      <c r="J1" s="5" t="s">
        <v>22</v>
      </c>
      <c r="K1" s="5" t="s">
        <v>6</v>
      </c>
      <c r="L1" s="5" t="s">
        <v>7</v>
      </c>
      <c r="M1" s="5" t="s">
        <v>19</v>
      </c>
      <c r="N1" s="5" t="s">
        <v>8</v>
      </c>
      <c r="P1" s="5" t="s">
        <v>13</v>
      </c>
    </row>
    <row r="2" spans="1:16">
      <c r="A2" s="1" t="s">
        <v>1</v>
      </c>
      <c r="B2" s="1" t="s">
        <v>2</v>
      </c>
      <c r="C2" s="1" t="s">
        <v>3</v>
      </c>
      <c r="P2" s="6">
        <v>100000</v>
      </c>
    </row>
    <row r="3" spans="1:16">
      <c r="A3" s="2">
        <v>2004</v>
      </c>
      <c r="B3">
        <v>0</v>
      </c>
      <c r="C3">
        <v>0</v>
      </c>
      <c r="F3" s="1">
        <v>2005</v>
      </c>
      <c r="G3" s="14">
        <f t="shared" ref="G3:G10" si="0">1-H3</f>
        <v>0.86170000000000002</v>
      </c>
      <c r="H3" s="14">
        <f>VLOOKUP(F3,$A$16:$B$28,2)*0.01</f>
        <v>0.13830000000000001</v>
      </c>
      <c r="I3" s="4">
        <f>VLOOKUP(F3,$A$3:$C$11,2)</f>
        <v>5.7000000000000002E-3</v>
      </c>
      <c r="J3" s="27">
        <f>$P$2-K3</f>
        <v>86170</v>
      </c>
      <c r="K3" s="7">
        <f t="shared" ref="K3:K10" si="1">$P$2*H3</f>
        <v>13830</v>
      </c>
      <c r="L3" s="25">
        <f>I3*K3</f>
        <v>78.831000000000003</v>
      </c>
      <c r="M3" s="25">
        <f>K3-L3</f>
        <v>13751.169</v>
      </c>
      <c r="N3" s="8"/>
    </row>
    <row r="4" spans="1:16">
      <c r="A4" s="1">
        <v>2005</v>
      </c>
      <c r="B4">
        <v>5.7000000000000002E-3</v>
      </c>
      <c r="C4">
        <v>7.7000000000000002E-3</v>
      </c>
      <c r="F4" s="2">
        <v>2006</v>
      </c>
      <c r="G4" s="14">
        <f t="shared" si="0"/>
        <v>0.86699999999999999</v>
      </c>
      <c r="H4" s="14">
        <f>VLOOKUP(F4,$A$16:$B$28,2)*0.01</f>
        <v>0.13300000000000001</v>
      </c>
      <c r="I4" s="4">
        <f t="shared" ref="I4:I10" si="2">VLOOKUP(F4,$A$3:$C$11,2)</f>
        <v>2.18E-2</v>
      </c>
      <c r="J4" s="27">
        <f t="shared" ref="J4:J10" si="3">$P$2-K4</f>
        <v>86700</v>
      </c>
      <c r="K4" s="7">
        <f t="shared" si="1"/>
        <v>13300</v>
      </c>
      <c r="L4" s="25">
        <f t="shared" ref="L4:L10" si="4">I4*K4</f>
        <v>289.94</v>
      </c>
      <c r="M4" s="25">
        <f t="shared" ref="M4:M10" si="5">K4-L4</f>
        <v>13010.06</v>
      </c>
      <c r="N4" s="8">
        <f>(L4-L3)/M3</f>
        <v>1.5352076612541085E-2</v>
      </c>
    </row>
    <row r="5" spans="1:16">
      <c r="A5" s="2">
        <v>2006</v>
      </c>
      <c r="B5">
        <v>2.18E-2</v>
      </c>
      <c r="C5">
        <v>2.9399999999999999E-2</v>
      </c>
      <c r="F5" s="1">
        <v>2007</v>
      </c>
      <c r="G5" s="14">
        <f t="shared" si="0"/>
        <v>0.85220000000000007</v>
      </c>
      <c r="H5" s="14">
        <f t="shared" ref="H5:H10" si="6">VLOOKUP(F5,$A$16:$B$28,2)*0.01</f>
        <v>0.14779999999999999</v>
      </c>
      <c r="I5" s="4">
        <f t="shared" si="2"/>
        <v>4.7600000000000003E-2</v>
      </c>
      <c r="J5" s="27">
        <f t="shared" si="3"/>
        <v>85220</v>
      </c>
      <c r="K5" s="7">
        <f t="shared" si="1"/>
        <v>14779.999999999998</v>
      </c>
      <c r="L5" s="25">
        <f t="shared" si="4"/>
        <v>703.52800000000002</v>
      </c>
      <c r="M5" s="25">
        <f t="shared" si="5"/>
        <v>14076.471999999998</v>
      </c>
      <c r="N5" s="8">
        <f t="shared" ref="N5:N10" si="7">(L5-L4)/M4</f>
        <v>3.1789861076736009E-2</v>
      </c>
    </row>
    <row r="6" spans="1:16">
      <c r="A6" s="1">
        <v>2007</v>
      </c>
      <c r="B6" s="3">
        <v>4.7600000000000003E-2</v>
      </c>
      <c r="C6">
        <v>6.4299999999999996E-2</v>
      </c>
      <c r="F6" s="2">
        <v>2008</v>
      </c>
      <c r="G6" s="14">
        <f t="shared" si="0"/>
        <v>0.8548</v>
      </c>
      <c r="H6" s="14">
        <f t="shared" si="6"/>
        <v>0.1452</v>
      </c>
      <c r="I6" s="4">
        <f t="shared" si="2"/>
        <v>8.2000000000000003E-2</v>
      </c>
      <c r="J6" s="27">
        <f t="shared" si="3"/>
        <v>85480</v>
      </c>
      <c r="K6" s="7">
        <f t="shared" si="1"/>
        <v>14520</v>
      </c>
      <c r="L6" s="25">
        <f t="shared" si="4"/>
        <v>1190.6400000000001</v>
      </c>
      <c r="M6" s="25">
        <f t="shared" si="5"/>
        <v>13329.36</v>
      </c>
      <c r="N6" s="8">
        <f t="shared" si="7"/>
        <v>3.4604693562421046E-2</v>
      </c>
    </row>
    <row r="7" spans="1:16">
      <c r="A7" s="2">
        <v>2008</v>
      </c>
      <c r="B7">
        <v>8.2000000000000003E-2</v>
      </c>
      <c r="C7">
        <v>0.1108</v>
      </c>
      <c r="F7" s="1">
        <v>2009</v>
      </c>
      <c r="G7" s="14">
        <f t="shared" si="0"/>
        <v>0.82699999999999996</v>
      </c>
      <c r="H7" s="14">
        <f t="shared" si="6"/>
        <v>0.17300000000000001</v>
      </c>
      <c r="I7" s="4">
        <f t="shared" si="2"/>
        <v>0.1152</v>
      </c>
      <c r="J7" s="27">
        <f t="shared" si="3"/>
        <v>82700</v>
      </c>
      <c r="K7" s="7">
        <f t="shared" si="1"/>
        <v>17300</v>
      </c>
      <c r="L7" s="25">
        <f t="shared" si="4"/>
        <v>1992.96</v>
      </c>
      <c r="M7" s="25">
        <f t="shared" si="5"/>
        <v>15307.04</v>
      </c>
      <c r="N7" s="8">
        <f t="shared" si="7"/>
        <v>6.0191937197284787E-2</v>
      </c>
    </row>
    <row r="8" spans="1:16">
      <c r="A8" s="1">
        <v>2009</v>
      </c>
      <c r="B8">
        <v>0.1152</v>
      </c>
      <c r="C8">
        <v>0.15570000000000001</v>
      </c>
      <c r="F8" s="2">
        <v>2010</v>
      </c>
      <c r="G8" s="14">
        <f t="shared" si="0"/>
        <v>0.83389999999999997</v>
      </c>
      <c r="H8" s="14">
        <f t="shared" si="6"/>
        <v>0.1661</v>
      </c>
      <c r="I8" s="4">
        <f t="shared" si="2"/>
        <v>0.1416</v>
      </c>
      <c r="J8" s="27">
        <f t="shared" si="3"/>
        <v>83390</v>
      </c>
      <c r="K8" s="7">
        <f t="shared" si="1"/>
        <v>16610</v>
      </c>
      <c r="L8" s="25">
        <f>I8*K8</f>
        <v>2351.9760000000001</v>
      </c>
      <c r="M8" s="25">
        <f t="shared" si="5"/>
        <v>14258.023999999999</v>
      </c>
      <c r="N8" s="8">
        <f t="shared" si="7"/>
        <v>2.345430599253677E-2</v>
      </c>
    </row>
    <row r="9" spans="1:16" ht="51">
      <c r="A9" s="2">
        <v>2010</v>
      </c>
      <c r="B9">
        <v>0.1416</v>
      </c>
      <c r="C9">
        <v>0.1913</v>
      </c>
      <c r="F9" s="1">
        <v>2011</v>
      </c>
      <c r="G9" s="14">
        <f t="shared" si="0"/>
        <v>0.83129999999999993</v>
      </c>
      <c r="H9" s="14">
        <f t="shared" si="6"/>
        <v>0.16870000000000002</v>
      </c>
      <c r="I9" s="4">
        <f t="shared" si="2"/>
        <v>0.17599999999999999</v>
      </c>
      <c r="J9" s="27">
        <f t="shared" si="3"/>
        <v>83130</v>
      </c>
      <c r="K9" s="7">
        <f t="shared" si="1"/>
        <v>16870</v>
      </c>
      <c r="L9" s="25">
        <f t="shared" si="4"/>
        <v>2969.12</v>
      </c>
      <c r="M9" s="25">
        <f t="shared" si="5"/>
        <v>13900.880000000001</v>
      </c>
      <c r="N9" s="8">
        <f t="shared" si="7"/>
        <v>4.3283978200625822E-2</v>
      </c>
      <c r="O9" s="5" t="s">
        <v>20</v>
      </c>
    </row>
    <row r="10" spans="1:16">
      <c r="A10" s="1">
        <v>2011</v>
      </c>
      <c r="B10">
        <v>0.17599999999999999</v>
      </c>
      <c r="C10">
        <v>0.23780000000000001</v>
      </c>
      <c r="F10" s="2">
        <v>2017</v>
      </c>
      <c r="G10" s="14">
        <f t="shared" si="0"/>
        <v>0.79830000000000001</v>
      </c>
      <c r="H10" s="14">
        <f t="shared" si="6"/>
        <v>0.20170000000000002</v>
      </c>
      <c r="I10" s="4">
        <f t="shared" si="2"/>
        <v>0.44209999999999999</v>
      </c>
      <c r="J10" s="27">
        <f t="shared" si="3"/>
        <v>79830</v>
      </c>
      <c r="K10" s="7">
        <f t="shared" si="1"/>
        <v>20170</v>
      </c>
      <c r="L10" s="25">
        <f t="shared" si="4"/>
        <v>8917.1569999999992</v>
      </c>
      <c r="M10" s="25">
        <f t="shared" si="5"/>
        <v>11252.843000000001</v>
      </c>
      <c r="N10" s="8">
        <f t="shared" si="7"/>
        <v>0.42788924154442015</v>
      </c>
      <c r="O10" s="8">
        <f>(N10-N9)/(F10-F9)</f>
        <v>6.4100877223965722E-2</v>
      </c>
    </row>
    <row r="11" spans="1:16">
      <c r="A11" s="2">
        <v>2017</v>
      </c>
      <c r="B11">
        <v>0.44209999999999999</v>
      </c>
      <c r="C11">
        <v>0.59750000000000003</v>
      </c>
      <c r="G11" s="15"/>
      <c r="H11" s="15"/>
    </row>
    <row r="12" spans="1:16">
      <c r="P12" t="s">
        <v>12</v>
      </c>
    </row>
    <row r="13" spans="1:16" ht="51">
      <c r="F13" t="s">
        <v>9</v>
      </c>
      <c r="G13" t="str">
        <f t="shared" ref="G13:N13" si="8">G1</f>
        <v>HIV -</v>
      </c>
      <c r="H13" t="str">
        <f t="shared" si="8"/>
        <v>HIV Prevalence</v>
      </c>
      <c r="I13" t="str">
        <f t="shared" si="8"/>
        <v>ART</v>
      </c>
      <c r="J13" s="5" t="s">
        <v>22</v>
      </c>
      <c r="K13" s="5" t="str">
        <f t="shared" si="8"/>
        <v xml:space="preserve">Number of population (HIV +) </v>
      </c>
      <c r="L13" s="5" t="str">
        <f t="shared" si="8"/>
        <v xml:space="preserve">Number of population (ART) </v>
      </c>
      <c r="M13" s="5"/>
      <c r="N13" s="5" t="str">
        <f t="shared" si="8"/>
        <v>ART rate initiation (eta_3,4)</v>
      </c>
      <c r="P13" s="9">
        <v>100000</v>
      </c>
    </row>
    <row r="14" spans="1:16">
      <c r="A14" s="1" t="s">
        <v>14</v>
      </c>
    </row>
    <row r="15" spans="1:16">
      <c r="A15" s="1" t="s">
        <v>1</v>
      </c>
      <c r="B15" s="1" t="s">
        <v>2</v>
      </c>
      <c r="C15" s="1" t="s">
        <v>3</v>
      </c>
      <c r="F15" s="13">
        <f t="shared" ref="F15:F22" si="9">F3</f>
        <v>2005</v>
      </c>
      <c r="G15" s="14">
        <f t="shared" ref="G15:G21" si="10">1-H15</f>
        <v>0.74509999999999998</v>
      </c>
      <c r="H15" s="14">
        <f>VLOOKUP(F15,$A$15:$C$28,3)*0.01</f>
        <v>0.25490000000000002</v>
      </c>
      <c r="I15" s="16">
        <f>VLOOKUP(F15,$A$3:$C$11,3)</f>
        <v>7.7000000000000002E-3</v>
      </c>
      <c r="J15" s="27">
        <f>$P$13-K15</f>
        <v>74510</v>
      </c>
      <c r="K15" s="17">
        <f t="shared" ref="K15:K21" si="11">$P$13*H15</f>
        <v>25490</v>
      </c>
      <c r="L15" s="24">
        <f>I15*K15</f>
        <v>196.273</v>
      </c>
      <c r="M15" s="25">
        <f>K15-L15</f>
        <v>25293.726999999999</v>
      </c>
      <c r="N15" s="8"/>
    </row>
    <row r="16" spans="1:16">
      <c r="A16" s="2">
        <v>2005</v>
      </c>
      <c r="B16">
        <v>13.83</v>
      </c>
      <c r="C16">
        <v>25.49</v>
      </c>
      <c r="D16" s="10"/>
      <c r="F16" s="13">
        <f t="shared" si="9"/>
        <v>2006</v>
      </c>
      <c r="G16" s="14">
        <f t="shared" si="10"/>
        <v>0.74790000000000001</v>
      </c>
      <c r="H16" s="14">
        <f t="shared" ref="H16:H22" si="12">VLOOKUP(F16,$A$15:$C$28,3)*0.01</f>
        <v>0.25209999999999999</v>
      </c>
      <c r="I16" s="16">
        <f t="shared" ref="I16:I22" si="13">VLOOKUP(F16,$A$3:$C$11,3)</f>
        <v>2.9399999999999999E-2</v>
      </c>
      <c r="J16" s="27">
        <f t="shared" ref="J16:J22" si="14">$P$13-K16</f>
        <v>74790</v>
      </c>
      <c r="K16" s="17">
        <f t="shared" si="11"/>
        <v>25210</v>
      </c>
      <c r="L16" s="24">
        <f t="shared" ref="L16:L22" si="15">I16*K16</f>
        <v>741.17399999999998</v>
      </c>
      <c r="M16" s="25">
        <f t="shared" ref="M16:M22" si="16">K16-L16</f>
        <v>24468.826000000001</v>
      </c>
      <c r="N16" s="8">
        <f>(L16-L15)/M15</f>
        <v>2.1542930387443496E-2</v>
      </c>
    </row>
    <row r="17" spans="1:15">
      <c r="A17" s="2">
        <v>2006</v>
      </c>
      <c r="B17">
        <v>13.3</v>
      </c>
      <c r="C17">
        <v>25.21</v>
      </c>
      <c r="D17" s="10"/>
      <c r="F17" s="13">
        <f t="shared" si="9"/>
        <v>2007</v>
      </c>
      <c r="G17" s="14">
        <f t="shared" si="10"/>
        <v>0.72589999999999999</v>
      </c>
      <c r="H17" s="14">
        <f t="shared" si="12"/>
        <v>0.27410000000000001</v>
      </c>
      <c r="I17" s="16">
        <f t="shared" si="13"/>
        <v>6.4299999999999996E-2</v>
      </c>
      <c r="J17" s="27">
        <f t="shared" si="14"/>
        <v>72590</v>
      </c>
      <c r="K17" s="17">
        <f t="shared" si="11"/>
        <v>27410</v>
      </c>
      <c r="L17" s="24">
        <f t="shared" si="15"/>
        <v>1762.463</v>
      </c>
      <c r="M17" s="25">
        <f t="shared" si="16"/>
        <v>25647.537</v>
      </c>
      <c r="N17" s="8">
        <f>(L17-L16)/M16</f>
        <v>4.173837355335315E-2</v>
      </c>
    </row>
    <row r="18" spans="1:15">
      <c r="A18" s="2">
        <v>2007</v>
      </c>
      <c r="B18">
        <v>14.78</v>
      </c>
      <c r="C18">
        <v>27.41</v>
      </c>
      <c r="F18" s="13">
        <f t="shared" si="9"/>
        <v>2008</v>
      </c>
      <c r="G18" s="14">
        <f t="shared" si="10"/>
        <v>0.71100000000000008</v>
      </c>
      <c r="H18" s="14">
        <f t="shared" si="12"/>
        <v>0.28899999999999998</v>
      </c>
      <c r="I18" s="16">
        <f t="shared" si="13"/>
        <v>0.1108</v>
      </c>
      <c r="J18" s="27">
        <f t="shared" si="14"/>
        <v>71100</v>
      </c>
      <c r="K18" s="17">
        <f t="shared" si="11"/>
        <v>28899.999999999996</v>
      </c>
      <c r="L18" s="24">
        <f t="shared" si="15"/>
        <v>3202.1199999999994</v>
      </c>
      <c r="M18" s="25">
        <f t="shared" si="16"/>
        <v>25697.879999999997</v>
      </c>
      <c r="N18" s="8">
        <f t="shared" ref="N18:N21" si="17">(L18-L17)/M17</f>
        <v>5.6132368577926195E-2</v>
      </c>
    </row>
    <row r="19" spans="1:15">
      <c r="A19" s="2">
        <v>2008</v>
      </c>
      <c r="B19">
        <v>14.52</v>
      </c>
      <c r="C19">
        <v>28.9</v>
      </c>
      <c r="F19" s="13">
        <f t="shared" si="9"/>
        <v>2009</v>
      </c>
      <c r="G19" s="14">
        <f t="shared" si="10"/>
        <v>0.68280000000000007</v>
      </c>
      <c r="H19" s="14">
        <f t="shared" si="12"/>
        <v>0.31719999999999998</v>
      </c>
      <c r="I19" s="16">
        <f t="shared" si="13"/>
        <v>0.15570000000000001</v>
      </c>
      <c r="J19" s="27">
        <f t="shared" si="14"/>
        <v>68280</v>
      </c>
      <c r="K19" s="17">
        <f t="shared" si="11"/>
        <v>31720</v>
      </c>
      <c r="L19" s="24">
        <f t="shared" si="15"/>
        <v>4938.8040000000001</v>
      </c>
      <c r="M19" s="25">
        <f t="shared" si="16"/>
        <v>26781.196</v>
      </c>
      <c r="N19" s="8">
        <f t="shared" si="17"/>
        <v>6.7580827679170452E-2</v>
      </c>
    </row>
    <row r="20" spans="1:15">
      <c r="A20" s="2">
        <v>2009</v>
      </c>
      <c r="B20">
        <v>17.3</v>
      </c>
      <c r="C20">
        <v>31.72</v>
      </c>
      <c r="D20" s="10"/>
      <c r="F20" s="13">
        <f t="shared" si="9"/>
        <v>2010</v>
      </c>
      <c r="G20" s="14">
        <f t="shared" si="10"/>
        <v>0.65290000000000004</v>
      </c>
      <c r="H20" s="14">
        <f t="shared" si="12"/>
        <v>0.34710000000000002</v>
      </c>
      <c r="I20" s="16">
        <f t="shared" si="13"/>
        <v>0.1913</v>
      </c>
      <c r="J20" s="27">
        <f t="shared" si="14"/>
        <v>65290</v>
      </c>
      <c r="K20" s="17">
        <f t="shared" si="11"/>
        <v>34710</v>
      </c>
      <c r="L20" s="24">
        <f t="shared" si="15"/>
        <v>6640.0230000000001</v>
      </c>
      <c r="M20" s="25">
        <f t="shared" si="16"/>
        <v>28069.976999999999</v>
      </c>
      <c r="N20" s="8">
        <f t="shared" si="17"/>
        <v>6.3522891210683802E-2</v>
      </c>
    </row>
    <row r="21" spans="1:15" ht="51">
      <c r="A21" s="2">
        <v>2010</v>
      </c>
      <c r="B21">
        <v>16.61</v>
      </c>
      <c r="C21">
        <v>34.71</v>
      </c>
      <c r="F21" s="13">
        <f t="shared" si="9"/>
        <v>2011</v>
      </c>
      <c r="G21" s="14">
        <f t="shared" si="10"/>
        <v>0.64860000000000007</v>
      </c>
      <c r="H21" s="14">
        <f t="shared" si="12"/>
        <v>0.35139999999999999</v>
      </c>
      <c r="I21" s="16">
        <f t="shared" si="13"/>
        <v>0.23780000000000001</v>
      </c>
      <c r="J21" s="27">
        <f t="shared" si="14"/>
        <v>64860</v>
      </c>
      <c r="K21" s="17">
        <f t="shared" si="11"/>
        <v>35140</v>
      </c>
      <c r="L21" s="24">
        <f t="shared" si="15"/>
        <v>8356.2920000000013</v>
      </c>
      <c r="M21" s="25">
        <f t="shared" si="16"/>
        <v>26783.707999999999</v>
      </c>
      <c r="N21" s="8">
        <f t="shared" si="17"/>
        <v>6.1142515364369598E-2</v>
      </c>
      <c r="O21" s="5" t="s">
        <v>20</v>
      </c>
    </row>
    <row r="22" spans="1:15">
      <c r="A22" s="2">
        <v>2011</v>
      </c>
      <c r="B22">
        <v>16.87</v>
      </c>
      <c r="C22">
        <v>35.14</v>
      </c>
      <c r="F22" s="13">
        <f t="shared" si="9"/>
        <v>2017</v>
      </c>
      <c r="G22" s="14">
        <f>1-H22</f>
        <v>0.59549999999999992</v>
      </c>
      <c r="H22" s="14">
        <f t="shared" si="12"/>
        <v>0.40450000000000003</v>
      </c>
      <c r="I22" s="16">
        <f t="shared" si="13"/>
        <v>0.59750000000000003</v>
      </c>
      <c r="J22" s="27">
        <f t="shared" si="14"/>
        <v>59550</v>
      </c>
      <c r="K22" s="17">
        <f>$P$13*H22</f>
        <v>40450</v>
      </c>
      <c r="L22" s="24">
        <f t="shared" si="15"/>
        <v>24168.875</v>
      </c>
      <c r="M22" s="25">
        <f t="shared" si="16"/>
        <v>16281.125</v>
      </c>
      <c r="N22" s="8">
        <f>(L22-L21)/M21</f>
        <v>0.59038065229803127</v>
      </c>
      <c r="O22" s="8">
        <f>(N22-N21)/(F22-F21)</f>
        <v>8.8206356155610274E-2</v>
      </c>
    </row>
    <row r="23" spans="1:15">
      <c r="A23" s="2">
        <v>2012</v>
      </c>
      <c r="B23">
        <v>17.48</v>
      </c>
      <c r="C23">
        <v>36.19</v>
      </c>
      <c r="G23" s="15"/>
      <c r="H23" s="15"/>
      <c r="I23" s="15"/>
      <c r="J23" s="15"/>
      <c r="K23" s="15"/>
      <c r="L23" s="15"/>
      <c r="M23" s="15"/>
      <c r="N23" s="15"/>
    </row>
    <row r="24" spans="1:15">
      <c r="A24" s="2">
        <v>2013</v>
      </c>
      <c r="B24">
        <v>19.13</v>
      </c>
      <c r="C24">
        <v>38.119999999999997</v>
      </c>
      <c r="D24" s="10"/>
    </row>
    <row r="25" spans="1:15">
      <c r="A25" s="2">
        <v>2014</v>
      </c>
      <c r="B25">
        <v>20.87</v>
      </c>
      <c r="C25">
        <v>40.76</v>
      </c>
      <c r="D25" s="10"/>
    </row>
    <row r="26" spans="1:15">
      <c r="A26" s="2">
        <v>2015</v>
      </c>
      <c r="B26">
        <v>18.96</v>
      </c>
      <c r="C26">
        <v>41.81</v>
      </c>
    </row>
    <row r="27" spans="1:15">
      <c r="A27" s="2">
        <v>2016</v>
      </c>
      <c r="B27">
        <v>19.91</v>
      </c>
      <c r="C27">
        <v>42.06</v>
      </c>
      <c r="F27" s="1"/>
    </row>
    <row r="28" spans="1:15">
      <c r="A28" s="2">
        <v>2017</v>
      </c>
      <c r="B28">
        <v>20.170000000000002</v>
      </c>
      <c r="C28">
        <v>40.450000000000003</v>
      </c>
      <c r="F28" s="2"/>
    </row>
    <row r="29" spans="1:15">
      <c r="F29" s="1"/>
    </row>
    <row r="30" spans="1:15">
      <c r="F30" s="2"/>
    </row>
    <row r="31" spans="1:15">
      <c r="F31" s="1"/>
    </row>
    <row r="32" spans="1:15">
      <c r="F32" s="2"/>
    </row>
    <row r="33" spans="1:6">
      <c r="B33" s="11"/>
      <c r="F33" s="1"/>
    </row>
    <row r="34" spans="1:6">
      <c r="F34" s="2"/>
    </row>
    <row r="38" spans="1:6">
      <c r="A38" s="11"/>
    </row>
    <row r="39" spans="1:6">
      <c r="B39" s="12"/>
      <c r="F39" s="13"/>
    </row>
    <row r="40" spans="1:6">
      <c r="F40" s="13"/>
    </row>
    <row r="41" spans="1:6">
      <c r="F41" s="13"/>
    </row>
    <row r="42" spans="1:6">
      <c r="F42" s="13"/>
    </row>
    <row r="43" spans="1:6">
      <c r="F43" s="13"/>
    </row>
    <row r="44" spans="1:6">
      <c r="F44" s="13"/>
    </row>
    <row r="45" spans="1:6">
      <c r="F45" s="13"/>
    </row>
    <row r="46" spans="1:6">
      <c r="F4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C0AB-95B4-5043-8C83-5F226B5D5B91}">
  <dimension ref="A1:E25"/>
  <sheetViews>
    <sheetView tabSelected="1" workbookViewId="0">
      <selection activeCell="F17" sqref="F17"/>
    </sheetView>
  </sheetViews>
  <sheetFormatPr baseColWidth="10" defaultRowHeight="16"/>
  <sheetData>
    <row r="1" spans="1:5">
      <c r="A1" t="s">
        <v>15</v>
      </c>
      <c r="B1" t="s">
        <v>16</v>
      </c>
      <c r="C1" t="s">
        <v>21</v>
      </c>
      <c r="D1" t="s">
        <v>23</v>
      </c>
      <c r="E1" t="s">
        <v>24</v>
      </c>
    </row>
    <row r="2" spans="1:5">
      <c r="A2" s="11">
        <v>2006</v>
      </c>
      <c r="B2" t="s">
        <v>17</v>
      </c>
      <c r="C2" s="21">
        <f>VLOOKUP(A2,'raw data'!$F$3:$N$10,9)</f>
        <v>1.5352076612541085E-2</v>
      </c>
      <c r="D2">
        <v>0</v>
      </c>
      <c r="E2">
        <v>0</v>
      </c>
    </row>
    <row r="3" spans="1:5">
      <c r="A3" s="18">
        <v>2007</v>
      </c>
      <c r="B3" t="s">
        <v>17</v>
      </c>
      <c r="C3" s="21">
        <f>VLOOKUP(A3,'raw data'!$F$3:$N$10,9)</f>
        <v>3.1789861076736009E-2</v>
      </c>
      <c r="D3">
        <v>0</v>
      </c>
      <c r="E3">
        <v>0</v>
      </c>
    </row>
    <row r="4" spans="1:5">
      <c r="A4" s="11">
        <v>2008</v>
      </c>
      <c r="B4" t="s">
        <v>17</v>
      </c>
      <c r="C4" s="21">
        <f>VLOOKUP(A4,'raw data'!$F$3:$N$10,9)</f>
        <v>3.4604693562421046E-2</v>
      </c>
      <c r="D4">
        <v>0</v>
      </c>
      <c r="E4">
        <v>0</v>
      </c>
    </row>
    <row r="5" spans="1:5">
      <c r="A5" s="18">
        <v>2009</v>
      </c>
      <c r="B5" t="s">
        <v>17</v>
      </c>
      <c r="C5" s="21">
        <f>VLOOKUP(A5,'raw data'!$F$3:$N$10,9)</f>
        <v>6.0191937197284787E-2</v>
      </c>
      <c r="D5">
        <v>0</v>
      </c>
      <c r="E5">
        <v>0</v>
      </c>
    </row>
    <row r="6" spans="1:5">
      <c r="A6" s="11">
        <v>2010</v>
      </c>
      <c r="B6" t="s">
        <v>17</v>
      </c>
      <c r="C6" s="21">
        <f>VLOOKUP(A6,'raw data'!$F$3:$N$10,9)</f>
        <v>2.345430599253677E-2</v>
      </c>
      <c r="D6">
        <v>0</v>
      </c>
      <c r="E6">
        <v>0</v>
      </c>
    </row>
    <row r="7" spans="1:5">
      <c r="A7" s="18">
        <v>2011</v>
      </c>
      <c r="B7" t="s">
        <v>17</v>
      </c>
      <c r="C7" s="21">
        <f>VLOOKUP(A7,'raw data'!$F$3:$N$10,9)</f>
        <v>4.3283978200625822E-2</v>
      </c>
      <c r="D7" t="s">
        <v>25</v>
      </c>
      <c r="E7" t="s">
        <v>25</v>
      </c>
    </row>
    <row r="8" spans="1:5">
      <c r="A8" s="20">
        <v>2012</v>
      </c>
      <c r="B8" s="19" t="s">
        <v>17</v>
      </c>
      <c r="C8" s="22">
        <f>'raw data'!$O$10</f>
        <v>6.4100877223965722E-2</v>
      </c>
      <c r="D8" t="s">
        <v>25</v>
      </c>
      <c r="E8" t="s">
        <v>25</v>
      </c>
    </row>
    <row r="9" spans="1:5">
      <c r="A9" s="20">
        <v>2013</v>
      </c>
      <c r="B9" s="19" t="s">
        <v>17</v>
      </c>
      <c r="C9" s="22">
        <f>'raw data'!$O$10</f>
        <v>6.4100877223965722E-2</v>
      </c>
      <c r="D9" t="s">
        <v>25</v>
      </c>
      <c r="E9" t="s">
        <v>25</v>
      </c>
    </row>
    <row r="10" spans="1:5">
      <c r="A10" s="20">
        <v>2014</v>
      </c>
      <c r="B10" s="19" t="s">
        <v>17</v>
      </c>
      <c r="C10" s="22">
        <f>'raw data'!$O$10</f>
        <v>6.4100877223965722E-2</v>
      </c>
      <c r="D10" t="s">
        <v>25</v>
      </c>
      <c r="E10" t="s">
        <v>25</v>
      </c>
    </row>
    <row r="11" spans="1:5">
      <c r="A11" s="20">
        <v>2015</v>
      </c>
      <c r="B11" s="19" t="s">
        <v>17</v>
      </c>
      <c r="C11" s="22">
        <f>'raw data'!$O$10</f>
        <v>6.4100877223965722E-2</v>
      </c>
      <c r="D11" t="s">
        <v>25</v>
      </c>
      <c r="E11" t="s">
        <v>25</v>
      </c>
    </row>
    <row r="12" spans="1:5">
      <c r="A12" s="20">
        <v>2016</v>
      </c>
      <c r="B12" s="19" t="s">
        <v>17</v>
      </c>
      <c r="C12" s="22">
        <f>'raw data'!$O$10</f>
        <v>6.4100877223965722E-2</v>
      </c>
      <c r="D12" t="s">
        <v>25</v>
      </c>
      <c r="E12" t="s">
        <v>25</v>
      </c>
    </row>
    <row r="13" spans="1:5">
      <c r="A13" s="26">
        <v>2017</v>
      </c>
      <c r="B13" s="19" t="s">
        <v>17</v>
      </c>
      <c r="C13" s="22">
        <f>'raw data'!$O$10</f>
        <v>6.4100877223965722E-2</v>
      </c>
      <c r="D13" t="s">
        <v>25</v>
      </c>
      <c r="E13" t="s">
        <v>25</v>
      </c>
    </row>
    <row r="14" spans="1:5">
      <c r="A14" s="11">
        <v>2006</v>
      </c>
      <c r="B14" t="s">
        <v>18</v>
      </c>
      <c r="C14" s="23">
        <f>VLOOKUP(A14,'raw data'!$F$13:$N$22,9)</f>
        <v>2.1542930387443496E-2</v>
      </c>
      <c r="D14">
        <v>0</v>
      </c>
      <c r="E14">
        <v>0</v>
      </c>
    </row>
    <row r="15" spans="1:5">
      <c r="A15" s="18">
        <v>2007</v>
      </c>
      <c r="B15" t="s">
        <v>18</v>
      </c>
      <c r="C15" s="23">
        <f>VLOOKUP(A15,'raw data'!$F$13:$N$22,9)</f>
        <v>4.173837355335315E-2</v>
      </c>
      <c r="D15">
        <v>0</v>
      </c>
      <c r="E15">
        <v>0</v>
      </c>
    </row>
    <row r="16" spans="1:5">
      <c r="A16" s="11">
        <v>2008</v>
      </c>
      <c r="B16" t="s">
        <v>18</v>
      </c>
      <c r="C16" s="23">
        <f>VLOOKUP(A16,'raw data'!$F$13:$N$22,9)</f>
        <v>5.6132368577926195E-2</v>
      </c>
      <c r="D16">
        <v>0</v>
      </c>
      <c r="E16">
        <v>0</v>
      </c>
    </row>
    <row r="17" spans="1:5">
      <c r="A17" s="18">
        <v>2009</v>
      </c>
      <c r="B17" t="s">
        <v>18</v>
      </c>
      <c r="C17" s="23">
        <f>VLOOKUP(A17,'raw data'!$F$13:$N$22,9)</f>
        <v>6.7580827679170452E-2</v>
      </c>
      <c r="D17">
        <v>0</v>
      </c>
      <c r="E17">
        <v>0</v>
      </c>
    </row>
    <row r="18" spans="1:5">
      <c r="A18" s="11">
        <v>2010</v>
      </c>
      <c r="B18" t="s">
        <v>18</v>
      </c>
      <c r="C18" s="23">
        <f>VLOOKUP(A18,'raw data'!$F$13:$N$22,9)</f>
        <v>6.3522891210683802E-2</v>
      </c>
      <c r="D18">
        <v>0</v>
      </c>
      <c r="E18">
        <v>0</v>
      </c>
    </row>
    <row r="19" spans="1:5">
      <c r="A19" s="18">
        <v>2011</v>
      </c>
      <c r="B19" t="s">
        <v>18</v>
      </c>
      <c r="C19" s="23">
        <f>VLOOKUP(A19,'raw data'!$F$13:$N$22,9)</f>
        <v>6.1142515364369598E-2</v>
      </c>
      <c r="D19" t="s">
        <v>25</v>
      </c>
      <c r="E19" t="s">
        <v>25</v>
      </c>
    </row>
    <row r="20" spans="1:5">
      <c r="A20" s="20">
        <v>2012</v>
      </c>
      <c r="B20" s="19" t="s">
        <v>18</v>
      </c>
      <c r="C20" s="22">
        <f>'raw data'!$O$22</f>
        <v>8.8206356155610274E-2</v>
      </c>
      <c r="D20" t="s">
        <v>25</v>
      </c>
      <c r="E20" t="s">
        <v>25</v>
      </c>
    </row>
    <row r="21" spans="1:5">
      <c r="A21" s="20">
        <v>2013</v>
      </c>
      <c r="B21" s="19" t="s">
        <v>18</v>
      </c>
      <c r="C21" s="22">
        <f>'raw data'!$O$22</f>
        <v>8.8206356155610274E-2</v>
      </c>
      <c r="D21" t="s">
        <v>25</v>
      </c>
      <c r="E21" t="s">
        <v>25</v>
      </c>
    </row>
    <row r="22" spans="1:5">
      <c r="A22" s="20">
        <v>2014</v>
      </c>
      <c r="B22" s="19" t="s">
        <v>18</v>
      </c>
      <c r="C22" s="22">
        <f>'raw data'!$O$22</f>
        <v>8.8206356155610274E-2</v>
      </c>
      <c r="D22" t="s">
        <v>25</v>
      </c>
      <c r="E22" t="s">
        <v>25</v>
      </c>
    </row>
    <row r="23" spans="1:5">
      <c r="A23" s="20">
        <v>2015</v>
      </c>
      <c r="B23" s="19" t="s">
        <v>18</v>
      </c>
      <c r="C23" s="22">
        <f>'raw data'!$O$22</f>
        <v>8.8206356155610274E-2</v>
      </c>
      <c r="D23" t="s">
        <v>25</v>
      </c>
      <c r="E23" t="s">
        <v>25</v>
      </c>
    </row>
    <row r="24" spans="1:5">
      <c r="A24" s="20">
        <v>2016</v>
      </c>
      <c r="B24" s="19" t="s">
        <v>18</v>
      </c>
      <c r="C24" s="22">
        <f>'raw data'!$O$22</f>
        <v>8.8206356155610274E-2</v>
      </c>
      <c r="D24" t="s">
        <v>25</v>
      </c>
      <c r="E24" t="s">
        <v>25</v>
      </c>
    </row>
    <row r="25" spans="1:5">
      <c r="A25" s="26">
        <v>2017</v>
      </c>
      <c r="B25" s="19" t="s">
        <v>18</v>
      </c>
      <c r="C25" s="22">
        <f>'raw data'!$O$22</f>
        <v>8.8206356155610274E-2</v>
      </c>
      <c r="D25" t="s">
        <v>25</v>
      </c>
      <c r="E2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linearized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Chelsea Greene</cp:lastModifiedBy>
  <dcterms:created xsi:type="dcterms:W3CDTF">2020-08-13T16:19:25Z</dcterms:created>
  <dcterms:modified xsi:type="dcterms:W3CDTF">2020-08-31T22:10:12Z</dcterms:modified>
</cp:coreProperties>
</file>