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pivotTables/pivotTable1.xml" ContentType="application/vnd.openxmlformats-officedocument.spreadsheetml.pivot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/>
  <mc:AlternateContent xmlns:mc="http://schemas.openxmlformats.org/markup-compatibility/2006">
    <mc:Choice Requires="x15">
      <x15ac:absPath xmlns:x15ac="http://schemas.microsoft.com/office/spreadsheetml/2010/11/ac" url="/Users/chelseagreene/github/epi_model_HIV_TB/param_files/"/>
    </mc:Choice>
  </mc:AlternateContent>
  <xr:revisionPtr revIDLastSave="0" documentId="13_ncr:1_{98CC03BF-B354-7345-9B3C-CC5AE19D6787}" xr6:coauthVersionLast="46" xr6:coauthVersionMax="46" xr10:uidLastSave="{00000000-0000-0000-0000-000000000000}"/>
  <bookViews>
    <workbookView xWindow="0" yWindow="500" windowWidth="35840" windowHeight="20300" activeTab="1" xr2:uid="{00000000-000D-0000-FFFF-FFFF00000000}"/>
  </bookViews>
  <sheets>
    <sheet name="model_matched_parameters" sheetId="1" r:id="rId1"/>
    <sheet name="indirect_model_parameters" sheetId="4" r:id="rId2"/>
    <sheet name="pop_init" sheetId="6" r:id="rId3"/>
    <sheet name="aging_in" sheetId="7" r:id="rId4"/>
    <sheet name="Set Ref" sheetId="5" r:id="rId5"/>
  </sheets>
  <definedNames>
    <definedName name="_xlnm._FilterDatabase" localSheetId="1" hidden="1">indirect_model_parameters!$A$1:$M$54</definedName>
    <definedName name="_xlnm._FilterDatabase" localSheetId="0" hidden="1">model_matched_parameters!$A$1:$Q$224</definedName>
    <definedName name="_xlnm._FilterDatabase" localSheetId="2" hidden="1">pop_init!$A$1:$Q$129</definedName>
    <definedName name="Epidemiological_data_point__description">model_matched_parameters!$A$1:$Q$224</definedName>
    <definedName name="G_SET">'Set Ref'!$A$21:$B$23</definedName>
    <definedName name="HIV_SET">'Set Ref'!$A$15:$B$19</definedName>
    <definedName name="indirect_model_parameters">indirect_model_parameters!$F$1:$G$7</definedName>
    <definedName name="indirect_model_params">indirect_model_parameters!$F$1:$G$5</definedName>
    <definedName name="model_matched_parameters">model_matched_parameters!$J$1:$L$224</definedName>
    <definedName name="P_SET">'Set Ref'!$A$25:$B$34</definedName>
    <definedName name="R_SET">'Set Ref'!$A$11:$B$13</definedName>
    <definedName name="TB_SET">'Set Ref'!$A$1:$B$9</definedName>
  </definedNames>
  <calcPr calcId="191029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83" i="6" l="1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82" i="6"/>
  <c r="M32" i="6"/>
  <c r="M33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" i="6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2" i="6"/>
  <c r="L2" i="6"/>
  <c r="J91" i="6"/>
  <c r="J92" i="6"/>
  <c r="J93" i="6"/>
  <c r="J94" i="6"/>
  <c r="J95" i="6"/>
  <c r="J96" i="6"/>
  <c r="J97" i="6"/>
  <c r="J90" i="6"/>
  <c r="J83" i="6"/>
  <c r="J84" i="6"/>
  <c r="J85" i="6"/>
  <c r="J86" i="6"/>
  <c r="J87" i="6"/>
  <c r="J88" i="6"/>
  <c r="J89" i="6"/>
  <c r="J82" i="6"/>
  <c r="J3" i="6"/>
  <c r="J10" i="6"/>
  <c r="J11" i="6"/>
  <c r="J4" i="6"/>
  <c r="J5" i="6"/>
  <c r="J12" i="6"/>
  <c r="J13" i="6"/>
  <c r="J6" i="6"/>
  <c r="J7" i="6"/>
  <c r="J14" i="6"/>
  <c r="J15" i="6"/>
  <c r="J8" i="6"/>
  <c r="J9" i="6"/>
  <c r="J16" i="6"/>
  <c r="J17" i="6"/>
  <c r="J18" i="6"/>
  <c r="J19" i="6"/>
  <c r="J26" i="6"/>
  <c r="J27" i="6"/>
  <c r="J20" i="6"/>
  <c r="J21" i="6"/>
  <c r="J28" i="6"/>
  <c r="J29" i="6"/>
  <c r="J22" i="6"/>
  <c r="J23" i="6"/>
  <c r="J30" i="6"/>
  <c r="J31" i="6"/>
  <c r="J24" i="6"/>
  <c r="J25" i="6"/>
  <c r="J32" i="6"/>
  <c r="J33" i="6"/>
  <c r="J34" i="6"/>
  <c r="J35" i="6"/>
  <c r="J42" i="6"/>
  <c r="J43" i="6"/>
  <c r="J36" i="6"/>
  <c r="J37" i="6"/>
  <c r="J44" i="6"/>
  <c r="J45" i="6"/>
  <c r="J38" i="6"/>
  <c r="J39" i="6"/>
  <c r="J46" i="6"/>
  <c r="J47" i="6"/>
  <c r="J40" i="6"/>
  <c r="J41" i="6"/>
  <c r="J48" i="6"/>
  <c r="J49" i="6"/>
  <c r="J50" i="6"/>
  <c r="J51" i="6"/>
  <c r="J58" i="6"/>
  <c r="J59" i="6"/>
  <c r="J52" i="6"/>
  <c r="J53" i="6"/>
  <c r="J60" i="6"/>
  <c r="J61" i="6"/>
  <c r="J54" i="6"/>
  <c r="J55" i="6"/>
  <c r="J62" i="6"/>
  <c r="J63" i="6"/>
  <c r="J56" i="6"/>
  <c r="J57" i="6"/>
  <c r="J64" i="6"/>
  <c r="J65" i="6"/>
  <c r="J66" i="6"/>
  <c r="J67" i="6"/>
  <c r="J74" i="6"/>
  <c r="J75" i="6"/>
  <c r="J68" i="6"/>
  <c r="J69" i="6"/>
  <c r="J76" i="6"/>
  <c r="J77" i="6"/>
  <c r="J70" i="6"/>
  <c r="J71" i="6"/>
  <c r="J78" i="6"/>
  <c r="J79" i="6"/>
  <c r="J72" i="6"/>
  <c r="J73" i="6"/>
  <c r="J80" i="6"/>
  <c r="J81" i="6"/>
  <c r="J98" i="6"/>
  <c r="J99" i="6"/>
  <c r="J106" i="6"/>
  <c r="J107" i="6"/>
  <c r="J100" i="6"/>
  <c r="J101" i="6"/>
  <c r="J108" i="6"/>
  <c r="J109" i="6"/>
  <c r="J102" i="6"/>
  <c r="J103" i="6"/>
  <c r="J110" i="6"/>
  <c r="J111" i="6"/>
  <c r="J104" i="6"/>
  <c r="J105" i="6"/>
  <c r="J112" i="6"/>
  <c r="J113" i="6"/>
  <c r="J114" i="6"/>
  <c r="J115" i="6"/>
  <c r="J122" i="6"/>
  <c r="J123" i="6"/>
  <c r="J116" i="6"/>
  <c r="J117" i="6"/>
  <c r="J124" i="6"/>
  <c r="J125" i="6"/>
  <c r="J118" i="6"/>
  <c r="J119" i="6"/>
  <c r="J126" i="6"/>
  <c r="J127" i="6"/>
  <c r="J120" i="6"/>
  <c r="J121" i="6"/>
  <c r="J128" i="6"/>
  <c r="J129" i="6"/>
  <c r="J2" i="6"/>
  <c r="I116" i="6"/>
  <c r="I117" i="6"/>
  <c r="I124" i="6"/>
  <c r="I125" i="6"/>
  <c r="I129" i="6"/>
  <c r="I35" i="6"/>
  <c r="I49" i="6"/>
  <c r="I50" i="6"/>
  <c r="I58" i="6"/>
  <c r="I54" i="6"/>
  <c r="I55" i="6"/>
  <c r="I62" i="6"/>
  <c r="I77" i="6"/>
  <c r="I70" i="6"/>
  <c r="I78" i="6"/>
  <c r="I82" i="6"/>
  <c r="I83" i="6"/>
  <c r="I90" i="6"/>
  <c r="I97" i="6"/>
  <c r="I34" i="6"/>
  <c r="I3" i="6"/>
  <c r="I10" i="6"/>
  <c r="I11" i="6"/>
  <c r="I4" i="6"/>
  <c r="I5" i="6"/>
  <c r="I12" i="6"/>
  <c r="I13" i="6"/>
  <c r="I6" i="6"/>
  <c r="I7" i="6"/>
  <c r="I14" i="6"/>
  <c r="I15" i="6"/>
  <c r="I8" i="6"/>
  <c r="I9" i="6"/>
  <c r="I16" i="6"/>
  <c r="I17" i="6"/>
  <c r="I18" i="6"/>
  <c r="I19" i="6"/>
  <c r="I26" i="6"/>
  <c r="I27" i="6"/>
  <c r="I20" i="6"/>
  <c r="I21" i="6"/>
  <c r="I28" i="6"/>
  <c r="I29" i="6"/>
  <c r="I22" i="6"/>
  <c r="I23" i="6"/>
  <c r="I30" i="6"/>
  <c r="I31" i="6"/>
  <c r="I24" i="6"/>
  <c r="I25" i="6"/>
  <c r="I32" i="6"/>
  <c r="I33" i="6"/>
  <c r="I2" i="6"/>
  <c r="H19" i="6"/>
  <c r="H26" i="6"/>
  <c r="H27" i="6"/>
  <c r="H20" i="6"/>
  <c r="H21" i="6"/>
  <c r="H28" i="6"/>
  <c r="H29" i="6"/>
  <c r="H22" i="6"/>
  <c r="H23" i="6"/>
  <c r="H30" i="6"/>
  <c r="H31" i="6"/>
  <c r="H24" i="6"/>
  <c r="H25" i="6"/>
  <c r="H32" i="6"/>
  <c r="H33" i="6"/>
  <c r="H11" i="6"/>
  <c r="H4" i="6"/>
  <c r="H5" i="6"/>
  <c r="H12" i="6"/>
  <c r="H13" i="6"/>
  <c r="H6" i="6"/>
  <c r="H7" i="6"/>
  <c r="H14" i="6"/>
  <c r="H15" i="6"/>
  <c r="H8" i="6"/>
  <c r="H9" i="6"/>
  <c r="H16" i="6"/>
  <c r="H17" i="6"/>
  <c r="H18" i="6"/>
  <c r="H3" i="6"/>
  <c r="H10" i="6"/>
  <c r="H2" i="6"/>
  <c r="H67" i="6"/>
  <c r="H74" i="6"/>
  <c r="H75" i="6"/>
  <c r="H68" i="6"/>
  <c r="H69" i="6"/>
  <c r="H76" i="6"/>
  <c r="H77" i="6"/>
  <c r="H70" i="6"/>
  <c r="H71" i="6"/>
  <c r="H78" i="6"/>
  <c r="H79" i="6"/>
  <c r="H72" i="6"/>
  <c r="H73" i="6"/>
  <c r="H80" i="6"/>
  <c r="H81" i="6"/>
  <c r="H66" i="6"/>
  <c r="H51" i="6"/>
  <c r="H58" i="6"/>
  <c r="H59" i="6"/>
  <c r="H52" i="6"/>
  <c r="H53" i="6"/>
  <c r="H60" i="6"/>
  <c r="H61" i="6"/>
  <c r="H54" i="6"/>
  <c r="H55" i="6"/>
  <c r="H62" i="6"/>
  <c r="H63" i="6"/>
  <c r="H56" i="6"/>
  <c r="H57" i="6"/>
  <c r="H64" i="6"/>
  <c r="H65" i="6"/>
  <c r="H50" i="6"/>
  <c r="H35" i="6"/>
  <c r="H42" i="6"/>
  <c r="H43" i="6"/>
  <c r="H36" i="6"/>
  <c r="H37" i="6"/>
  <c r="H44" i="6"/>
  <c r="H45" i="6"/>
  <c r="H38" i="6"/>
  <c r="H39" i="6"/>
  <c r="H46" i="6"/>
  <c r="H47" i="6"/>
  <c r="H40" i="6"/>
  <c r="H41" i="6"/>
  <c r="H48" i="6"/>
  <c r="H49" i="6"/>
  <c r="H34" i="6"/>
  <c r="G56" i="4"/>
  <c r="G55" i="4"/>
  <c r="I98" i="6" s="1"/>
  <c r="G29" i="4"/>
  <c r="G28" i="4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L108" i="1"/>
  <c r="L109" i="1"/>
  <c r="L107" i="1"/>
  <c r="I96" i="6" l="1"/>
  <c r="I76" i="6"/>
  <c r="I48" i="6"/>
  <c r="I123" i="6"/>
  <c r="I89" i="6"/>
  <c r="I69" i="6"/>
  <c r="I41" i="6"/>
  <c r="I111" i="6"/>
  <c r="I88" i="6"/>
  <c r="I68" i="6"/>
  <c r="I40" i="6"/>
  <c r="I110" i="6"/>
  <c r="I92" i="6"/>
  <c r="I64" i="6"/>
  <c r="I36" i="6"/>
  <c r="I103" i="6"/>
  <c r="I84" i="6"/>
  <c r="I56" i="6"/>
  <c r="I43" i="6"/>
  <c r="I102" i="6"/>
  <c r="I91" i="6"/>
  <c r="I63" i="6"/>
  <c r="I42" i="6"/>
  <c r="I109" i="6"/>
  <c r="I75" i="6"/>
  <c r="I47" i="6"/>
  <c r="I128" i="6"/>
  <c r="I122" i="6"/>
  <c r="I108" i="6"/>
  <c r="I94" i="6"/>
  <c r="I80" i="6"/>
  <c r="I74" i="6"/>
  <c r="I60" i="6"/>
  <c r="I46" i="6"/>
  <c r="I121" i="6"/>
  <c r="I115" i="6"/>
  <c r="I101" i="6"/>
  <c r="I81" i="6"/>
  <c r="I87" i="6"/>
  <c r="I73" i="6"/>
  <c r="I67" i="6"/>
  <c r="I53" i="6"/>
  <c r="I39" i="6"/>
  <c r="I120" i="6"/>
  <c r="I114" i="6"/>
  <c r="I100" i="6"/>
  <c r="I95" i="6"/>
  <c r="I61" i="6"/>
  <c r="I86" i="6"/>
  <c r="I72" i="6"/>
  <c r="I66" i="6"/>
  <c r="I52" i="6"/>
  <c r="I38" i="6"/>
  <c r="I127" i="6"/>
  <c r="I113" i="6"/>
  <c r="I107" i="6"/>
  <c r="I93" i="6"/>
  <c r="I79" i="6"/>
  <c r="I65" i="6"/>
  <c r="I59" i="6"/>
  <c r="I45" i="6"/>
  <c r="I126" i="6"/>
  <c r="I112" i="6"/>
  <c r="I106" i="6"/>
  <c r="I44" i="6"/>
  <c r="I119" i="6"/>
  <c r="I105" i="6"/>
  <c r="I99" i="6"/>
  <c r="I85" i="6"/>
  <c r="I71" i="6"/>
  <c r="I57" i="6"/>
  <c r="I51" i="6"/>
  <c r="I37" i="6"/>
  <c r="I118" i="6"/>
  <c r="L118" i="6" s="1"/>
  <c r="I104" i="6"/>
  <c r="L224" i="1"/>
  <c r="J6" i="1" l="1"/>
  <c r="H6" i="7"/>
  <c r="B159" i="1" l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28" i="1"/>
  <c r="L127" i="1"/>
  <c r="L126" i="1"/>
  <c r="L124" i="1"/>
  <c r="L123" i="1"/>
  <c r="L115" i="1"/>
  <c r="L114" i="1"/>
  <c r="B105" i="1" l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04" i="1"/>
  <c r="J103" i="1"/>
  <c r="J102" i="1"/>
  <c r="J101" i="1"/>
  <c r="B103" i="1"/>
  <c r="B102" i="1"/>
  <c r="B101" i="1"/>
  <c r="B99" i="1"/>
  <c r="B100" i="1"/>
  <c r="B98" i="1"/>
  <c r="F7" i="7" l="1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6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C6" i="7"/>
  <c r="C7" i="7"/>
  <c r="C8" i="7"/>
  <c r="G8" i="7" s="1"/>
  <c r="C9" i="7"/>
  <c r="C10" i="7"/>
  <c r="C11" i="7"/>
  <c r="C12" i="7"/>
  <c r="C13" i="7"/>
  <c r="C14" i="7"/>
  <c r="C15" i="7"/>
  <c r="C16" i="7"/>
  <c r="G16" i="7" s="1"/>
  <c r="C17" i="7"/>
  <c r="C18" i="7"/>
  <c r="C19" i="7"/>
  <c r="C20" i="7"/>
  <c r="C21" i="7"/>
  <c r="C22" i="7"/>
  <c r="C23" i="7"/>
  <c r="C24" i="7"/>
  <c r="G24" i="7" s="1"/>
  <c r="C25" i="7"/>
  <c r="C26" i="7"/>
  <c r="C27" i="7"/>
  <c r="C28" i="7"/>
  <c r="C29" i="7"/>
  <c r="C30" i="7"/>
  <c r="C31" i="7"/>
  <c r="C32" i="7"/>
  <c r="G32" i="7" s="1"/>
  <c r="C33" i="7"/>
  <c r="C34" i="7"/>
  <c r="C35" i="7"/>
  <c r="C36" i="7"/>
  <c r="C37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G36" i="7" l="1"/>
  <c r="G28" i="7"/>
  <c r="G20" i="7"/>
  <c r="G12" i="7"/>
  <c r="G34" i="7"/>
  <c r="G30" i="7"/>
  <c r="G26" i="7"/>
  <c r="G22" i="7"/>
  <c r="G18" i="7"/>
  <c r="G10" i="7"/>
  <c r="G6" i="7"/>
  <c r="G35" i="7"/>
  <c r="G31" i="7"/>
  <c r="G27" i="7"/>
  <c r="G23" i="7"/>
  <c r="G19" i="7"/>
  <c r="G15" i="7"/>
  <c r="G11" i="7"/>
  <c r="G7" i="7"/>
  <c r="G14" i="7"/>
  <c r="G37" i="7"/>
  <c r="G33" i="7"/>
  <c r="G29" i="7"/>
  <c r="G25" i="7"/>
  <c r="G21" i="7"/>
  <c r="G17" i="7"/>
  <c r="G13" i="7"/>
  <c r="G9" i="7"/>
  <c r="L162" i="1"/>
  <c r="L161" i="1"/>
  <c r="L176" i="1"/>
  <c r="L136" i="1" l="1"/>
  <c r="L144" i="1"/>
  <c r="L131" i="1"/>
  <c r="L138" i="1"/>
  <c r="L151" i="1"/>
  <c r="L143" i="1"/>
  <c r="L156" i="1"/>
  <c r="L155" i="1"/>
  <c r="L147" i="1"/>
  <c r="L139" i="1"/>
  <c r="L135" i="1"/>
  <c r="L158" i="1"/>
  <c r="L152" i="1"/>
  <c r="L130" i="1"/>
  <c r="L149" i="1"/>
  <c r="L150" i="1"/>
  <c r="L157" i="1"/>
  <c r="L134" i="1"/>
  <c r="L154" i="1"/>
  <c r="L132" i="1"/>
  <c r="L159" i="1"/>
  <c r="L153" i="1"/>
  <c r="L137" i="1"/>
  <c r="L133" i="1"/>
  <c r="L142" i="1"/>
  <c r="L140" i="1"/>
  <c r="L141" i="1"/>
  <c r="L145" i="1"/>
  <c r="L148" i="1"/>
  <c r="L129" i="1"/>
  <c r="L146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99" i="1" l="1"/>
  <c r="J100" i="1"/>
  <c r="J98" i="1" l="1"/>
  <c r="L82" i="6" l="1"/>
  <c r="L129" i="6" l="1"/>
  <c r="L120" i="6"/>
  <c r="L104" i="6"/>
  <c r="L128" i="6"/>
  <c r="L113" i="6"/>
  <c r="L112" i="6"/>
  <c r="L105" i="6"/>
  <c r="L121" i="6"/>
  <c r="G21" i="4"/>
  <c r="L48" i="6" l="1"/>
  <c r="L49" i="6"/>
  <c r="G20" i="4"/>
  <c r="G11" i="4"/>
  <c r="L41" i="6" l="1"/>
  <c r="L40" i="6"/>
  <c r="L30" i="6"/>
  <c r="L46" i="6"/>
  <c r="L94" i="6"/>
  <c r="L110" i="6"/>
  <c r="L126" i="6"/>
  <c r="L47" i="6"/>
  <c r="L95" i="6"/>
  <c r="L111" i="6"/>
  <c r="L127" i="6"/>
  <c r="L97" i="6"/>
  <c r="L88" i="6"/>
  <c r="L96" i="6"/>
  <c r="L89" i="6"/>
  <c r="L44" i="6"/>
  <c r="L108" i="6"/>
  <c r="L92" i="6"/>
  <c r="L25" i="6"/>
  <c r="L93" i="6"/>
  <c r="L45" i="6"/>
  <c r="L109" i="6"/>
  <c r="L124" i="6"/>
  <c r="L125" i="6"/>
  <c r="L122" i="6"/>
  <c r="G10" i="4"/>
  <c r="L216" i="1"/>
  <c r="L208" i="1"/>
  <c r="L206" i="1"/>
  <c r="L204" i="1"/>
  <c r="L200" i="1"/>
  <c r="L202" i="1"/>
  <c r="L192" i="1"/>
  <c r="L184" i="1"/>
  <c r="L164" i="1"/>
  <c r="L180" i="1" s="1"/>
  <c r="L168" i="1"/>
  <c r="L166" i="1"/>
  <c r="L222" i="1" s="1"/>
  <c r="L218" i="1"/>
  <c r="L23" i="6" l="1"/>
  <c r="L39" i="6"/>
  <c r="L87" i="6"/>
  <c r="L103" i="6"/>
  <c r="L119" i="6"/>
  <c r="L102" i="6"/>
  <c r="L86" i="6"/>
  <c r="L6" i="6"/>
  <c r="L22" i="6"/>
  <c r="L38" i="6"/>
  <c r="L165" i="1"/>
  <c r="L189" i="1" s="1"/>
  <c r="L217" i="1"/>
  <c r="L207" i="1"/>
  <c r="L170" i="1"/>
  <c r="L178" i="1"/>
  <c r="L193" i="1"/>
  <c r="L28" i="6"/>
  <c r="L21" i="6"/>
  <c r="L12" i="6"/>
  <c r="L29" i="6"/>
  <c r="L33" i="6"/>
  <c r="L24" i="6"/>
  <c r="L32" i="6"/>
  <c r="L16" i="6"/>
  <c r="L26" i="6"/>
  <c r="L106" i="6"/>
  <c r="L58" i="6"/>
  <c r="L90" i="6"/>
  <c r="L123" i="6"/>
  <c r="L42" i="6"/>
  <c r="L107" i="6"/>
  <c r="L91" i="6"/>
  <c r="L43" i="6"/>
  <c r="L36" i="6"/>
  <c r="L100" i="6"/>
  <c r="L20" i="6"/>
  <c r="L84" i="6"/>
  <c r="L8" i="6"/>
  <c r="L85" i="6"/>
  <c r="L37" i="6"/>
  <c r="L101" i="6"/>
  <c r="L116" i="6"/>
  <c r="L117" i="6"/>
  <c r="L7" i="6"/>
  <c r="L177" i="1"/>
  <c r="L188" i="1"/>
  <c r="L209" i="1"/>
  <c r="L167" i="1"/>
  <c r="L203" i="1"/>
  <c r="L185" i="1"/>
  <c r="L169" i="1"/>
  <c r="L186" i="1"/>
  <c r="L194" i="1"/>
  <c r="L201" i="1"/>
  <c r="L210" i="1"/>
  <c r="L220" i="1"/>
  <c r="L190" i="1"/>
  <c r="L196" i="1"/>
  <c r="L212" i="1"/>
  <c r="L163" i="1"/>
  <c r="L174" i="1"/>
  <c r="L205" i="1"/>
  <c r="L182" i="1"/>
  <c r="L198" i="1"/>
  <c r="L214" i="1"/>
  <c r="L172" i="1"/>
  <c r="L197" i="1" l="1"/>
  <c r="L213" i="1"/>
  <c r="L173" i="1"/>
  <c r="L221" i="1"/>
  <c r="L181" i="1"/>
  <c r="L4" i="6"/>
  <c r="L9" i="6"/>
  <c r="L17" i="6"/>
  <c r="L13" i="6"/>
  <c r="L27" i="6"/>
  <c r="L15" i="6"/>
  <c r="L10" i="6"/>
  <c r="L14" i="6"/>
  <c r="L31" i="6"/>
  <c r="L5" i="6"/>
  <c r="L11" i="6"/>
  <c r="L34" i="6"/>
  <c r="L98" i="6"/>
  <c r="L83" i="6"/>
  <c r="L3" i="6"/>
  <c r="L35" i="6"/>
  <c r="L99" i="6"/>
  <c r="L19" i="6"/>
  <c r="L115" i="6"/>
  <c r="L18" i="6"/>
  <c r="L50" i="6"/>
  <c r="L114" i="6"/>
  <c r="L51" i="6"/>
  <c r="L175" i="1"/>
  <c r="L223" i="1"/>
  <c r="L183" i="1"/>
  <c r="L215" i="1"/>
  <c r="L199" i="1"/>
  <c r="L191" i="1"/>
  <c r="L211" i="1"/>
  <c r="L195" i="1"/>
  <c r="L187" i="1"/>
  <c r="L171" i="1"/>
  <c r="L219" i="1"/>
  <c r="L179" i="1"/>
  <c r="A18" i="6"/>
  <c r="A34" i="6"/>
  <c r="A50" i="6"/>
  <c r="A66" i="6"/>
  <c r="A82" i="6"/>
  <c r="A98" i="6"/>
  <c r="A114" i="6"/>
  <c r="A3" i="6"/>
  <c r="A19" i="6"/>
  <c r="A35" i="6"/>
  <c r="A51" i="6"/>
  <c r="A67" i="6"/>
  <c r="A83" i="6"/>
  <c r="A99" i="6"/>
  <c r="A115" i="6"/>
  <c r="A5" i="6"/>
  <c r="A20" i="6"/>
  <c r="A36" i="6"/>
  <c r="A52" i="6"/>
  <c r="A68" i="6"/>
  <c r="A84" i="6"/>
  <c r="A100" i="6"/>
  <c r="A116" i="6"/>
  <c r="A4" i="6"/>
  <c r="A21" i="6"/>
  <c r="A37" i="6"/>
  <c r="A53" i="6"/>
  <c r="A69" i="6"/>
  <c r="A85" i="6"/>
  <c r="A101" i="6"/>
  <c r="A117" i="6"/>
  <c r="A7" i="6"/>
  <c r="A22" i="6"/>
  <c r="A38" i="6"/>
  <c r="A54" i="6"/>
  <c r="A70" i="6"/>
  <c r="A86" i="6"/>
  <c r="A102" i="6"/>
  <c r="A118" i="6"/>
  <c r="A6" i="6"/>
  <c r="A23" i="6"/>
  <c r="A39" i="6"/>
  <c r="A55" i="6"/>
  <c r="A71" i="6"/>
  <c r="A87" i="6"/>
  <c r="A103" i="6"/>
  <c r="A119" i="6"/>
  <c r="A9" i="6"/>
  <c r="A24" i="6"/>
  <c r="A40" i="6"/>
  <c r="A56" i="6"/>
  <c r="A72" i="6"/>
  <c r="A88" i="6"/>
  <c r="A104" i="6"/>
  <c r="A120" i="6"/>
  <c r="A8" i="6"/>
  <c r="A25" i="6"/>
  <c r="A41" i="6"/>
  <c r="A57" i="6"/>
  <c r="A73" i="6"/>
  <c r="A89" i="6"/>
  <c r="A105" i="6"/>
  <c r="A121" i="6"/>
  <c r="A11" i="6"/>
  <c r="A26" i="6"/>
  <c r="A42" i="6"/>
  <c r="A58" i="6"/>
  <c r="A74" i="6"/>
  <c r="A90" i="6"/>
  <c r="A106" i="6"/>
  <c r="A122" i="6"/>
  <c r="A10" i="6"/>
  <c r="A27" i="6"/>
  <c r="A43" i="6"/>
  <c r="A59" i="6"/>
  <c r="A75" i="6"/>
  <c r="A91" i="6"/>
  <c r="A107" i="6"/>
  <c r="A123" i="6"/>
  <c r="A13" i="6"/>
  <c r="A28" i="6"/>
  <c r="A44" i="6"/>
  <c r="A60" i="6"/>
  <c r="A76" i="6"/>
  <c r="A92" i="6"/>
  <c r="A108" i="6"/>
  <c r="A124" i="6"/>
  <c r="A12" i="6"/>
  <c r="A29" i="6"/>
  <c r="A45" i="6"/>
  <c r="A61" i="6"/>
  <c r="A77" i="6"/>
  <c r="A93" i="6"/>
  <c r="A109" i="6"/>
  <c r="A125" i="6"/>
  <c r="A15" i="6"/>
  <c r="A30" i="6"/>
  <c r="A46" i="6"/>
  <c r="A62" i="6"/>
  <c r="A78" i="6"/>
  <c r="A94" i="6"/>
  <c r="A110" i="6"/>
  <c r="A126" i="6"/>
  <c r="A14" i="6"/>
  <c r="A31" i="6"/>
  <c r="A47" i="6"/>
  <c r="A63" i="6"/>
  <c r="A79" i="6"/>
  <c r="A95" i="6"/>
  <c r="A111" i="6"/>
  <c r="A127" i="6"/>
  <c r="A17" i="6"/>
  <c r="A32" i="6"/>
  <c r="A48" i="6"/>
  <c r="A64" i="6"/>
  <c r="A80" i="6"/>
  <c r="A96" i="6"/>
  <c r="A112" i="6"/>
  <c r="A128" i="6"/>
  <c r="A16" i="6"/>
  <c r="A33" i="6"/>
  <c r="A49" i="6"/>
  <c r="A65" i="6"/>
  <c r="A81" i="6"/>
  <c r="A97" i="6"/>
  <c r="A113" i="6"/>
  <c r="A129" i="6"/>
  <c r="A2" i="6"/>
  <c r="B21" i="1"/>
  <c r="G18" i="6"/>
  <c r="G34" i="6"/>
  <c r="G50" i="6"/>
  <c r="G66" i="6"/>
  <c r="G82" i="6"/>
  <c r="G98" i="6"/>
  <c r="G114" i="6"/>
  <c r="G3" i="6"/>
  <c r="G19" i="6"/>
  <c r="G35" i="6"/>
  <c r="G51" i="6"/>
  <c r="G67" i="6"/>
  <c r="G83" i="6"/>
  <c r="G99" i="6"/>
  <c r="G115" i="6"/>
  <c r="G5" i="6"/>
  <c r="G20" i="6"/>
  <c r="G36" i="6"/>
  <c r="G52" i="6"/>
  <c r="G68" i="6"/>
  <c r="G84" i="6"/>
  <c r="G100" i="6"/>
  <c r="G116" i="6"/>
  <c r="G4" i="6"/>
  <c r="G21" i="6"/>
  <c r="G37" i="6"/>
  <c r="G53" i="6"/>
  <c r="G69" i="6"/>
  <c r="G85" i="6"/>
  <c r="G101" i="6"/>
  <c r="G117" i="6"/>
  <c r="G7" i="6"/>
  <c r="G22" i="6"/>
  <c r="G38" i="6"/>
  <c r="G54" i="6"/>
  <c r="G70" i="6"/>
  <c r="G86" i="6"/>
  <c r="G102" i="6"/>
  <c r="G118" i="6"/>
  <c r="G6" i="6"/>
  <c r="G23" i="6"/>
  <c r="G39" i="6"/>
  <c r="G55" i="6"/>
  <c r="G71" i="6"/>
  <c r="G87" i="6"/>
  <c r="G103" i="6"/>
  <c r="G119" i="6"/>
  <c r="G9" i="6"/>
  <c r="G24" i="6"/>
  <c r="G40" i="6"/>
  <c r="G56" i="6"/>
  <c r="G72" i="6"/>
  <c r="G88" i="6"/>
  <c r="G104" i="6"/>
  <c r="G120" i="6"/>
  <c r="G8" i="6"/>
  <c r="G25" i="6"/>
  <c r="G41" i="6"/>
  <c r="G57" i="6"/>
  <c r="G73" i="6"/>
  <c r="G89" i="6"/>
  <c r="G105" i="6"/>
  <c r="G121" i="6"/>
  <c r="G11" i="6"/>
  <c r="G26" i="6"/>
  <c r="G42" i="6"/>
  <c r="G58" i="6"/>
  <c r="G74" i="6"/>
  <c r="G90" i="6"/>
  <c r="G106" i="6"/>
  <c r="G122" i="6"/>
  <c r="G10" i="6"/>
  <c r="G27" i="6"/>
  <c r="G43" i="6"/>
  <c r="G59" i="6"/>
  <c r="G75" i="6"/>
  <c r="G91" i="6"/>
  <c r="G107" i="6"/>
  <c r="G123" i="6"/>
  <c r="G13" i="6"/>
  <c r="G28" i="6"/>
  <c r="G44" i="6"/>
  <c r="G60" i="6"/>
  <c r="G76" i="6"/>
  <c r="G92" i="6"/>
  <c r="G108" i="6"/>
  <c r="G124" i="6"/>
  <c r="G12" i="6"/>
  <c r="G29" i="6"/>
  <c r="G45" i="6"/>
  <c r="G61" i="6"/>
  <c r="G77" i="6"/>
  <c r="G93" i="6"/>
  <c r="G109" i="6"/>
  <c r="G125" i="6"/>
  <c r="G15" i="6"/>
  <c r="G30" i="6"/>
  <c r="G46" i="6"/>
  <c r="G62" i="6"/>
  <c r="G78" i="6"/>
  <c r="G94" i="6"/>
  <c r="G110" i="6"/>
  <c r="G126" i="6"/>
  <c r="G14" i="6"/>
  <c r="G31" i="6"/>
  <c r="G47" i="6"/>
  <c r="G63" i="6"/>
  <c r="G79" i="6"/>
  <c r="G95" i="6"/>
  <c r="G111" i="6"/>
  <c r="G127" i="6"/>
  <c r="G17" i="6"/>
  <c r="G32" i="6"/>
  <c r="G48" i="6"/>
  <c r="G64" i="6"/>
  <c r="G80" i="6"/>
  <c r="G96" i="6"/>
  <c r="G112" i="6"/>
  <c r="G128" i="6"/>
  <c r="G16" i="6"/>
  <c r="G33" i="6"/>
  <c r="G49" i="6"/>
  <c r="G65" i="6"/>
  <c r="G81" i="6"/>
  <c r="G97" i="6"/>
  <c r="G113" i="6"/>
  <c r="G129" i="6"/>
  <c r="G2" i="6"/>
  <c r="L59" i="6" l="1"/>
  <c r="J93" i="1"/>
  <c r="L52" i="6" l="1"/>
  <c r="B161" i="1"/>
  <c r="B168" i="1"/>
  <c r="B169" i="1"/>
  <c r="B176" i="1"/>
  <c r="B177" i="1"/>
  <c r="B184" i="1"/>
  <c r="B185" i="1"/>
  <c r="B192" i="1"/>
  <c r="B193" i="1"/>
  <c r="B200" i="1"/>
  <c r="B201" i="1"/>
  <c r="B208" i="1"/>
  <c r="B209" i="1"/>
  <c r="B216" i="1"/>
  <c r="B217" i="1"/>
  <c r="B160" i="1"/>
  <c r="B95" i="1"/>
  <c r="B96" i="1"/>
  <c r="B97" i="1"/>
  <c r="B94" i="1"/>
  <c r="B17" i="1"/>
  <c r="B18" i="1"/>
  <c r="B40" i="1"/>
  <c r="B41" i="1"/>
  <c r="B42" i="1"/>
  <c r="B64" i="1"/>
  <c r="B65" i="1"/>
  <c r="B66" i="1"/>
  <c r="B16" i="1"/>
  <c r="B219" i="1"/>
  <c r="B211" i="1"/>
  <c r="B207" i="1"/>
  <c r="B202" i="1"/>
  <c r="B199" i="1"/>
  <c r="B194" i="1"/>
  <c r="B191" i="1"/>
  <c r="B186" i="1"/>
  <c r="B183" i="1"/>
  <c r="B175" i="1"/>
  <c r="B170" i="1"/>
  <c r="J163" i="1"/>
  <c r="B162" i="1"/>
  <c r="B69" i="1"/>
  <c r="B68" i="1"/>
  <c r="B67" i="1"/>
  <c r="B45" i="1"/>
  <c r="B44" i="1"/>
  <c r="B43" i="1"/>
  <c r="B20" i="1"/>
  <c r="B19" i="1"/>
  <c r="J88" i="1"/>
  <c r="J89" i="1"/>
  <c r="J90" i="1"/>
  <c r="J91" i="1"/>
  <c r="J92" i="1"/>
  <c r="J94" i="1"/>
  <c r="J95" i="1"/>
  <c r="J96" i="1"/>
  <c r="J97" i="1"/>
  <c r="J14" i="1"/>
  <c r="J15" i="1"/>
  <c r="J104" i="1"/>
  <c r="J107" i="1"/>
  <c r="J110" i="1"/>
  <c r="J113" i="1"/>
  <c r="J128" i="1"/>
  <c r="L128" i="1" s="1"/>
  <c r="J160" i="1"/>
  <c r="J161" i="1"/>
  <c r="B70" i="1"/>
  <c r="L53" i="6" l="1"/>
  <c r="J111" i="1"/>
  <c r="B206" i="1"/>
  <c r="B198" i="1"/>
  <c r="J166" i="1"/>
  <c r="B174" i="1"/>
  <c r="B223" i="1"/>
  <c r="J108" i="1"/>
  <c r="J162" i="1"/>
  <c r="B215" i="1"/>
  <c r="B222" i="1"/>
  <c r="B220" i="1"/>
  <c r="B214" i="1"/>
  <c r="B212" i="1"/>
  <c r="B61" i="1"/>
  <c r="J32" i="1"/>
  <c r="B34" i="1"/>
  <c r="B22" i="1"/>
  <c r="B182" i="1"/>
  <c r="B180" i="1"/>
  <c r="B204" i="1"/>
  <c r="B203" i="1"/>
  <c r="B195" i="1"/>
  <c r="B187" i="1"/>
  <c r="B179" i="1"/>
  <c r="B171" i="1"/>
  <c r="B163" i="1"/>
  <c r="B79" i="1"/>
  <c r="B218" i="1"/>
  <c r="B210" i="1"/>
  <c r="B178" i="1"/>
  <c r="B76" i="1"/>
  <c r="J105" i="1"/>
  <c r="B165" i="1"/>
  <c r="B205" i="1"/>
  <c r="B197" i="1"/>
  <c r="B189" i="1"/>
  <c r="B181" i="1"/>
  <c r="B173" i="1"/>
  <c r="J115" i="1"/>
  <c r="J52" i="1"/>
  <c r="B46" i="1"/>
  <c r="B72" i="1"/>
  <c r="J80" i="1"/>
  <c r="B74" i="1"/>
  <c r="J114" i="1"/>
  <c r="J106" i="1"/>
  <c r="J31" i="1"/>
  <c r="B25" i="1"/>
  <c r="B75" i="1"/>
  <c r="B55" i="1"/>
  <c r="J164" i="1"/>
  <c r="B73" i="1"/>
  <c r="B71" i="1"/>
  <c r="B49" i="1"/>
  <c r="J168" i="1"/>
  <c r="J4" i="1"/>
  <c r="J5" i="1"/>
  <c r="J10" i="1"/>
  <c r="J13" i="1"/>
  <c r="J16" i="1"/>
  <c r="J17" i="1"/>
  <c r="J18" i="1"/>
  <c r="J19" i="1"/>
  <c r="J20" i="1"/>
  <c r="J21" i="1"/>
  <c r="J22" i="1"/>
  <c r="J25" i="1"/>
  <c r="J40" i="1"/>
  <c r="J41" i="1"/>
  <c r="J42" i="1"/>
  <c r="J43" i="1"/>
  <c r="J44" i="1"/>
  <c r="J45" i="1"/>
  <c r="J46" i="1"/>
  <c r="J49" i="1"/>
  <c r="J55" i="1"/>
  <c r="J61" i="1"/>
  <c r="J64" i="1"/>
  <c r="J65" i="1"/>
  <c r="J66" i="1"/>
  <c r="J67" i="1"/>
  <c r="J68" i="1"/>
  <c r="J69" i="1"/>
  <c r="J70" i="1"/>
  <c r="J71" i="1"/>
  <c r="J72" i="1"/>
  <c r="J73" i="1"/>
  <c r="J74" i="1"/>
  <c r="J75" i="1"/>
  <c r="J11" i="1"/>
  <c r="J12" i="1"/>
  <c r="J7" i="1"/>
  <c r="J8" i="1"/>
  <c r="J9" i="1"/>
  <c r="J3" i="1"/>
  <c r="J2" i="1"/>
  <c r="L60" i="6" l="1"/>
  <c r="L9" i="1"/>
  <c r="L8" i="1"/>
  <c r="L7" i="1"/>
  <c r="B172" i="1"/>
  <c r="B166" i="1"/>
  <c r="J112" i="1"/>
  <c r="J26" i="1"/>
  <c r="J28" i="1"/>
  <c r="B28" i="1"/>
  <c r="J34" i="1"/>
  <c r="B221" i="1"/>
  <c r="B50" i="1"/>
  <c r="B26" i="1"/>
  <c r="B196" i="1"/>
  <c r="J76" i="1"/>
  <c r="B213" i="1"/>
  <c r="B164" i="1"/>
  <c r="B47" i="1"/>
  <c r="B167" i="1"/>
  <c r="J79" i="1"/>
  <c r="J109" i="1"/>
  <c r="J165" i="1"/>
  <c r="B190" i="1"/>
  <c r="B188" i="1"/>
  <c r="B32" i="1"/>
  <c r="B80" i="1"/>
  <c r="J85" i="1"/>
  <c r="B31" i="1"/>
  <c r="J29" i="1"/>
  <c r="B52" i="1"/>
  <c r="J170" i="1"/>
  <c r="J169" i="1"/>
  <c r="L61" i="6" l="1"/>
  <c r="B85" i="1"/>
  <c r="J167" i="1"/>
  <c r="J50" i="1"/>
  <c r="B82" i="1"/>
  <c r="B29" i="1"/>
  <c r="J82" i="1"/>
  <c r="J47" i="1"/>
  <c r="B30" i="1"/>
  <c r="J30" i="1"/>
  <c r="J35" i="1"/>
  <c r="B23" i="1"/>
  <c r="J23" i="1"/>
  <c r="B51" i="1"/>
  <c r="J51" i="1"/>
  <c r="B24" i="1"/>
  <c r="J24" i="1"/>
  <c r="B38" i="1"/>
  <c r="J38" i="1"/>
  <c r="B58" i="1"/>
  <c r="J58" i="1"/>
  <c r="B35" i="1"/>
  <c r="B37" i="1"/>
  <c r="J37" i="1"/>
  <c r="J86" i="1"/>
  <c r="B86" i="1"/>
  <c r="J171" i="1"/>
  <c r="J172" i="1"/>
  <c r="L54" i="6" l="1"/>
  <c r="J56" i="1"/>
  <c r="B56" i="1"/>
  <c r="B53" i="1"/>
  <c r="J53" i="1"/>
  <c r="J84" i="1"/>
  <c r="J83" i="1"/>
  <c r="B83" i="1"/>
  <c r="B36" i="1"/>
  <c r="J36" i="1"/>
  <c r="B84" i="1"/>
  <c r="B27" i="1"/>
  <c r="J27" i="1"/>
  <c r="J78" i="1"/>
  <c r="B78" i="1"/>
  <c r="B57" i="1"/>
  <c r="J57" i="1"/>
  <c r="B77" i="1"/>
  <c r="J77" i="1"/>
  <c r="J174" i="1"/>
  <c r="J173" i="1"/>
  <c r="L55" i="6" l="1"/>
  <c r="J62" i="1"/>
  <c r="B62" i="1"/>
  <c r="J59" i="1"/>
  <c r="B59" i="1"/>
  <c r="B48" i="1"/>
  <c r="J48" i="1"/>
  <c r="B63" i="1"/>
  <c r="J63" i="1"/>
  <c r="J81" i="1"/>
  <c r="B81" i="1"/>
  <c r="B33" i="1"/>
  <c r="J33" i="1"/>
  <c r="J175" i="1"/>
  <c r="J176" i="1"/>
  <c r="L62" i="6" l="1"/>
  <c r="B54" i="1"/>
  <c r="J54" i="1"/>
  <c r="B39" i="1"/>
  <c r="J39" i="1"/>
  <c r="B87" i="1"/>
  <c r="J87" i="1"/>
  <c r="J177" i="1"/>
  <c r="J178" i="1"/>
  <c r="L63" i="6" l="1"/>
  <c r="J60" i="1"/>
  <c r="B60" i="1"/>
  <c r="J180" i="1"/>
  <c r="J179" i="1"/>
  <c r="L56" i="6" l="1"/>
  <c r="J181" i="1"/>
  <c r="J182" i="1"/>
  <c r="L57" i="6" l="1"/>
  <c r="J184" i="1"/>
  <c r="J183" i="1"/>
  <c r="L64" i="6" l="1"/>
  <c r="J186" i="1"/>
  <c r="J185" i="1"/>
  <c r="L65" i="6" l="1"/>
  <c r="J187" i="1"/>
  <c r="J188" i="1"/>
  <c r="M65" i="6" l="1"/>
  <c r="M59" i="6"/>
  <c r="M58" i="6"/>
  <c r="M70" i="6"/>
  <c r="M47" i="6"/>
  <c r="M51" i="6"/>
  <c r="M40" i="6"/>
  <c r="M49" i="6"/>
  <c r="M43" i="6"/>
  <c r="M69" i="6"/>
  <c r="M34" i="6"/>
  <c r="M66" i="6"/>
  <c r="M41" i="6"/>
  <c r="M53" i="6"/>
  <c r="M44" i="6"/>
  <c r="M60" i="6"/>
  <c r="M48" i="6"/>
  <c r="M38" i="6"/>
  <c r="M52" i="6"/>
  <c r="M74" i="6"/>
  <c r="M73" i="6"/>
  <c r="M67" i="6"/>
  <c r="M36" i="6"/>
  <c r="M45" i="6"/>
  <c r="M42" i="6"/>
  <c r="M46" i="6"/>
  <c r="M78" i="6"/>
  <c r="M39" i="6"/>
  <c r="M35" i="6"/>
  <c r="M75" i="6"/>
  <c r="M61" i="6"/>
  <c r="M79" i="6"/>
  <c r="M37" i="6"/>
  <c r="M68" i="6"/>
  <c r="M76" i="6"/>
  <c r="M50" i="6"/>
  <c r="M77" i="6"/>
  <c r="M72" i="6"/>
  <c r="M81" i="6"/>
  <c r="M54" i="6"/>
  <c r="M63" i="6"/>
  <c r="M57" i="6"/>
  <c r="M80" i="6"/>
  <c r="M56" i="6"/>
  <c r="M62" i="6"/>
  <c r="M55" i="6"/>
  <c r="M71" i="6"/>
  <c r="M64" i="6"/>
  <c r="L66" i="6"/>
  <c r="J190" i="1"/>
  <c r="J189" i="1"/>
  <c r="L67" i="6" l="1"/>
  <c r="J192" i="1"/>
  <c r="J191" i="1"/>
  <c r="L74" i="6" l="1"/>
  <c r="J194" i="1"/>
  <c r="J193" i="1"/>
  <c r="L75" i="6" l="1"/>
  <c r="J195" i="1"/>
  <c r="J196" i="1"/>
  <c r="L68" i="6" l="1"/>
  <c r="J198" i="1"/>
  <c r="J197" i="1"/>
  <c r="L69" i="6" l="1"/>
  <c r="J199" i="1"/>
  <c r="J200" i="1"/>
  <c r="L76" i="6" l="1"/>
  <c r="J202" i="1"/>
  <c r="J201" i="1"/>
  <c r="L77" i="6" l="1"/>
  <c r="J203" i="1"/>
  <c r="J204" i="1"/>
  <c r="L70" i="6" l="1"/>
  <c r="J205" i="1"/>
  <c r="J206" i="1"/>
  <c r="L71" i="6" l="1"/>
  <c r="J208" i="1"/>
  <c r="J207" i="1"/>
  <c r="L78" i="6" l="1"/>
  <c r="J209" i="1"/>
  <c r="J210" i="1"/>
  <c r="L79" i="6" l="1"/>
  <c r="J212" i="1"/>
  <c r="J211" i="1"/>
  <c r="L72" i="6" l="1"/>
  <c r="J213" i="1"/>
  <c r="J214" i="1"/>
  <c r="L73" i="6" l="1"/>
  <c r="J216" i="1"/>
  <c r="J215" i="1"/>
  <c r="L80" i="6" l="1"/>
  <c r="L81" i="6"/>
  <c r="J217" i="1"/>
  <c r="J218" i="1"/>
  <c r="N79" i="6" l="1"/>
  <c r="N70" i="6"/>
  <c r="N71" i="6"/>
  <c r="N81" i="6"/>
  <c r="N21" i="6"/>
  <c r="N106" i="6"/>
  <c r="N6" i="6"/>
  <c r="N117" i="6"/>
  <c r="N31" i="6"/>
  <c r="N29" i="6"/>
  <c r="N110" i="6"/>
  <c r="N59" i="6"/>
  <c r="N39" i="6"/>
  <c r="N35" i="6"/>
  <c r="N82" i="6"/>
  <c r="N10" i="6"/>
  <c r="N13" i="6"/>
  <c r="N16" i="6"/>
  <c r="N53" i="6"/>
  <c r="N89" i="6"/>
  <c r="N49" i="6"/>
  <c r="N50" i="6"/>
  <c r="N52" i="6"/>
  <c r="N97" i="6"/>
  <c r="N17" i="6"/>
  <c r="N111" i="6"/>
  <c r="N14" i="6"/>
  <c r="N40" i="6"/>
  <c r="N41" i="6"/>
  <c r="N23" i="6"/>
  <c r="N84" i="6"/>
  <c r="N32" i="6"/>
  <c r="N4" i="6"/>
  <c r="N47" i="6"/>
  <c r="N34" i="6"/>
  <c r="N83" i="6"/>
  <c r="N104" i="6"/>
  <c r="N12" i="6"/>
  <c r="N15" i="6"/>
  <c r="N46" i="6"/>
  <c r="N25" i="6"/>
  <c r="N118" i="6"/>
  <c r="N86" i="6"/>
  <c r="N42" i="6"/>
  <c r="N58" i="6"/>
  <c r="N128" i="6"/>
  <c r="N120" i="6"/>
  <c r="N19" i="6"/>
  <c r="N113" i="6"/>
  <c r="N5" i="6"/>
  <c r="N107" i="6"/>
  <c r="N129" i="6"/>
  <c r="N127" i="6"/>
  <c r="N116" i="6"/>
  <c r="N112" i="6"/>
  <c r="N99" i="6"/>
  <c r="N88" i="6"/>
  <c r="N122" i="6"/>
  <c r="N119" i="6"/>
  <c r="N33" i="6"/>
  <c r="N115" i="6"/>
  <c r="N26" i="6"/>
  <c r="N123" i="6"/>
  <c r="N109" i="6"/>
  <c r="N48" i="6"/>
  <c r="N102" i="6"/>
  <c r="N114" i="6"/>
  <c r="N8" i="6"/>
  <c r="N94" i="6"/>
  <c r="N28" i="6"/>
  <c r="N124" i="6"/>
  <c r="N101" i="6"/>
  <c r="N24" i="6"/>
  <c r="N37" i="6"/>
  <c r="N9" i="6"/>
  <c r="N126" i="6"/>
  <c r="N121" i="6"/>
  <c r="N38" i="6"/>
  <c r="N92" i="6"/>
  <c r="N85" i="6"/>
  <c r="N93" i="6"/>
  <c r="N45" i="6"/>
  <c r="N2" i="6"/>
  <c r="N36" i="6"/>
  <c r="N30" i="6"/>
  <c r="N11" i="6"/>
  <c r="N3" i="6"/>
  <c r="N91" i="6"/>
  <c r="N103" i="6"/>
  <c r="N20" i="6"/>
  <c r="N27" i="6"/>
  <c r="N87" i="6"/>
  <c r="N96" i="6"/>
  <c r="N105" i="6"/>
  <c r="N98" i="6"/>
  <c r="N51" i="6"/>
  <c r="N125" i="6"/>
  <c r="N7" i="6"/>
  <c r="N18" i="6"/>
  <c r="N100" i="6"/>
  <c r="N22" i="6"/>
  <c r="N108" i="6"/>
  <c r="N44" i="6"/>
  <c r="N90" i="6"/>
  <c r="N60" i="6"/>
  <c r="N95" i="6"/>
  <c r="N43" i="6"/>
  <c r="N54" i="6"/>
  <c r="N61" i="6"/>
  <c r="N55" i="6"/>
  <c r="N62" i="6"/>
  <c r="N63" i="6"/>
  <c r="N64" i="6"/>
  <c r="N56" i="6"/>
  <c r="N66" i="6"/>
  <c r="N57" i="6"/>
  <c r="N65" i="6"/>
  <c r="N74" i="6"/>
  <c r="N67" i="6"/>
  <c r="N75" i="6"/>
  <c r="N69" i="6"/>
  <c r="N68" i="6"/>
  <c r="N76" i="6"/>
  <c r="N73" i="6"/>
  <c r="N80" i="6"/>
  <c r="N72" i="6"/>
  <c r="N77" i="6"/>
  <c r="N78" i="6"/>
  <c r="J219" i="1"/>
  <c r="J222" i="1"/>
  <c r="J220" i="1"/>
  <c r="J223" i="1" l="1"/>
  <c r="J221" i="1"/>
  <c r="L97" i="1" l="1"/>
  <c r="L111" i="1"/>
  <c r="L11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Chelsea Greene</author>
  </authors>
  <commentList>
    <comment ref="O11" authorId="0" shapeId="0" xr:uid="{2AE91C5D-4E50-3649-95DD-B364DE6E01F5}">
      <text>
        <r>
          <rPr>
            <b/>
            <sz val="10"/>
            <color rgb="FF000000"/>
            <rFont val="Tahoma"/>
            <family val="2"/>
          </rPr>
          <t>Chelsea Greene: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L93" authorId="0" shapeId="0" xr:uid="{5617B9C8-6F2B-B047-9D8B-5EA3D45F5C33}">
      <text>
        <r>
          <rPr>
            <b/>
            <sz val="10"/>
            <color rgb="FF000000"/>
            <rFont val="Tahoma"/>
            <family val="2"/>
          </rPr>
          <t>Chelsea Greene: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made up - assume people stay in active for an average of 6 months</t>
        </r>
      </text>
    </comment>
    <comment ref="L98" authorId="0" shapeId="0" xr:uid="{E41FFF7D-6323-DF46-BDEE-1787BC884E37}">
      <text>
        <r>
          <rPr>
            <b/>
            <sz val="10"/>
            <color rgb="FF000000"/>
            <rFont val="Tahoma"/>
            <family val="2"/>
          </rPr>
          <t>Chelsea Greene: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I made these up</t>
        </r>
      </text>
    </comment>
    <comment ref="L101" authorId="0" shapeId="0" xr:uid="{366C8D92-6836-5947-98E1-A12E7473EC53}">
      <text>
        <r>
          <rPr>
            <b/>
            <sz val="10"/>
            <color rgb="FF000000"/>
            <rFont val="Tahoma"/>
            <family val="2"/>
          </rPr>
          <t>Chelsea Greene: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I made these up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tc={CCDD4C5E-DC02-8141-9A97-0BDBCF5D6029}</author>
  </authors>
  <commentList>
    <comment ref="K1" authorId="0" shapeId="0" xr:uid="{CCDD4C5E-DC02-8141-9A97-0BDBCF5D6029}">
      <text>
        <t>[Threaded comment]
Your version of Excel allows you to read this threaded comment; however, any edits to it will get removed if the file is opened in a newer version of Excel. Learn more: https://go.microsoft.com/fwlink/?linkid=870924
Comment:
    HIV ADJ currently not differentiated on Gender</t>
      </text>
    </comment>
  </commentList>
</comments>
</file>

<file path=xl/sharedStrings.xml><?xml version="1.0" encoding="utf-8"?>
<sst xmlns="http://schemas.openxmlformats.org/spreadsheetml/2006/main" count="1796" uniqueCount="668">
  <si>
    <t>Epidemiological data point (description)</t>
  </si>
  <si>
    <t>Epidemiological data point (description) - auto generated</t>
  </si>
  <si>
    <t>notation</t>
  </si>
  <si>
    <t>SORT TYPE</t>
  </si>
  <si>
    <t>TB compartment</t>
  </si>
  <si>
    <t>DR compartment</t>
  </si>
  <si>
    <t>HIV compartment</t>
  </si>
  <si>
    <t>G compartment</t>
  </si>
  <si>
    <t>P compartment</t>
  </si>
  <si>
    <t>Matched Model Parameter</t>
  </si>
  <si>
    <t>Reference-expected value</t>
  </si>
  <si>
    <t>Reference-low</t>
  </si>
  <si>
    <t>Reference-high</t>
  </si>
  <si>
    <t>Reference/Literature/Case Study</t>
  </si>
  <si>
    <t>Notes</t>
  </si>
  <si>
    <t>Number of effective contacts per infectious year - male</t>
  </si>
  <si>
    <t>beta</t>
  </si>
  <si>
    <t>1 FOI</t>
  </si>
  <si>
    <t>TB Mac</t>
  </si>
  <si>
    <t>Number of effective contacts per infectious year - female</t>
  </si>
  <si>
    <t>Fraction of new TB infections that are MDR-TB - male</t>
  </si>
  <si>
    <t>varepsilon</t>
  </si>
  <si>
    <t>WHO: TB country profile for SA</t>
  </si>
  <si>
    <t>Fraction of new TB infections that are MDR-TB - female</t>
  </si>
  <si>
    <t>Indiator for whether infection with given TB strain can occur while on IPT for populations with DS</t>
  </si>
  <si>
    <t>iota</t>
  </si>
  <si>
    <t>Indiator for whether infection with given TB strain can occur while on IPT for populations with MDR</t>
  </si>
  <si>
    <t>Relative transmisibility of TB for HIV -</t>
  </si>
  <si>
    <t>phi</t>
  </si>
  <si>
    <t>PUB MED ID: 20974976</t>
  </si>
  <si>
    <t>Relative transmisibility of TB for HIV + not on ART, CD4 &gt; 200</t>
  </si>
  <si>
    <t>Relative transmisibility of TB for HIV + not on ART, CD4 &lt;= 200</t>
  </si>
  <si>
    <t>Relative transmisibility of TB for HIV + on ART</t>
  </si>
  <si>
    <t>Indicator for diminished force of infection due to partially-protective effects of IPT after moving off of IPT for populations with LTBI</t>
  </si>
  <si>
    <t>upsilon</t>
  </si>
  <si>
    <t>Ask David's/Ruanne thoughts</t>
  </si>
  <si>
    <t xml:space="preserve">1. THIBELA trial - gold mining, 2. PUB MED ID: 26193126, 3. </t>
  </si>
  <si>
    <t>Indicator that diminishes force of infection due to the partially protective effect of LTBI infection and acquiring a new TB infection</t>
  </si>
  <si>
    <t>zeta</t>
  </si>
  <si>
    <t>Rate of IPT initiation from TB compartment  Uninfected, not on IPT and HIV compartment  HIV-negative for gender Male under policy Community ART + IPT</t>
  </si>
  <si>
    <t>kappa</t>
  </si>
  <si>
    <t>2 TB prog</t>
  </si>
  <si>
    <t>Jen modified 6-16. No IPT initiation for people who are HIV negative</t>
  </si>
  <si>
    <t>Rate of IPT initiation from TB compartment  Uninfected, not on IPT and HIV compartment  HIV-negative for gender Female under policy Community ART + IPT</t>
  </si>
  <si>
    <t>Rate of IPT initiation from TB compartment  Uninfected, not on IPT and HIV compartment  PLHIV not on ART, CD4&gt;200 for gender Male under policy Community ART + IPT</t>
  </si>
  <si>
    <t>DO ART - IPT Shapiro</t>
  </si>
  <si>
    <t>0.91 (but all in one year?)</t>
  </si>
  <si>
    <t>Rate of IPT initiation from TB compartment  Uninfected, not on IPT and HIV compartment  PLHIV not on ART, CD4&gt;200 for gender Female under policy Community ART + IPT</t>
  </si>
  <si>
    <t>Rate of IPT initiation from TB compartment  Uninfected, not on IPT and HIV compartment  PLHIV not on ART, CD4≤200 for gender Male under policy Community ART + IPT</t>
  </si>
  <si>
    <t>Rate of IPT initiation from TB compartment  Uninfected, not on IPT and HIV compartment  PLHIV not on ART, CD4≤200 for gender Female under policy Community ART + IPT</t>
  </si>
  <si>
    <t>Rate of IPT initiation from TB compartment  Uninfected, not on IPT and HIV compartment  PLHIV and on ART for gender Male under policy Community ART + IPT</t>
  </si>
  <si>
    <t>Rate of IPT initiation from TB compartment  Uninfected, not on IPT and HIV compartment  PLHIV and on ART for gender Female under policy Community ART + IPT</t>
  </si>
  <si>
    <t>Rate of IPT initiation from TB compartment  LTBI, infected recently (at risk for rapid progression) and HIV compartment  HIV-negative for gender Male under policy Community ART + IPT</t>
  </si>
  <si>
    <t>Rate of IPT initiation from TB compartment  LTBI, infected recently (at risk for rapid progression) and HIV compartment  HIV-negative for gender Female under policy Community ART + IPT</t>
  </si>
  <si>
    <t>Rate of IPT initiation from TB compartment  LTBI, infected recently (at risk for rapid progression) and HIV compartment  PLHIV not on ART, CD4&gt;200 for gender Male under policy Community ART + IPT</t>
  </si>
  <si>
    <t>Jen agrees, but question for timing. Does this all happen in one year?</t>
  </si>
  <si>
    <t>Rate of IPT initiation from TB compartment  LTBI, infected recently (at risk for rapid progression) and HIV compartment  PLHIV not on ART, CD4&gt;200 for gender Female under policy Community ART + IPT</t>
  </si>
  <si>
    <t>Rate of IPT initiation from TB compartment  LTBI, infected recently (at risk for rapid progression) and HIV compartment  PLHIV not on ART, CD4≤200 for gender Male under policy Community ART + IPT</t>
  </si>
  <si>
    <t>Rate of IPT initiation from TB compartment  LTBI, infected recently (at risk for rapid progression) and HIV compartment  PLHIV not on ART, CD4≤200 for gender Female under policy Community ART + IPT</t>
  </si>
  <si>
    <t>Rate of IPT initiation from TB compartment  LTBI, infected recently (at risk for rapid progression) and HIV compartment  PLHIV and on ART for gender Male under policy Community ART + IPT</t>
  </si>
  <si>
    <t>Rate of IPT initiation from TB compartment  LTBI, infected recently (at risk for rapid progression) and HIV compartment  PLHIV and on ART for gender Female under policy Community ART + IPT</t>
  </si>
  <si>
    <t>Rate of IPT initiation from TB compartment  LTBI, infected remotely and HIV compartment  HIV-negative for gender Male under policy Community ART + IPT</t>
  </si>
  <si>
    <t>Rate of IPT initiation from TB compartment  LTBI, infected remotely and HIV compartment  HIV-negative for gender Female under policy Community ART + IPT</t>
  </si>
  <si>
    <t>Rate of IPT initiation from TB compartment  LTBI, infected remotely and HIV compartment  PLHIV not on ART, CD4&gt;200 for gender Male under policy Community ART + IPT</t>
  </si>
  <si>
    <t>Rate of IPT initiation from TB compartment  LTBI, infected remotely and HIV compartment  PLHIV not on ART, CD4&gt;200 for gender Female under policy Community ART + IPT</t>
  </si>
  <si>
    <t>Rate of IPT initiation from TB compartment  LTBI, infected remotely and HIV compartment  PLHIV not on ART, CD4≤200 for gender Male under policy Community ART + IPT</t>
  </si>
  <si>
    <t>Rate of IPT initiation from TB compartment  LTBI, infected remotely and HIV compartment  PLHIV not on ART, CD4≤200 for gender Female under policy Community ART + IPT</t>
  </si>
  <si>
    <t>Rate of IPT initiation from TB compartment  LTBI, infected remotely and HIV compartment  PLHIV and on ART for gender Male under policy Community ART + IPT</t>
  </si>
  <si>
    <t>Rate of IPT initiation from TB compartment  LTBI, infected remotely and HIV compartment  PLHIV and on ART for gender Female under policy Community ART + IPT</t>
  </si>
  <si>
    <t>Rate of IPT initiation from TB compartment  Uninfected, not on IPT and HIV compartment  HIV-negative for gender Male under policy Community ART</t>
  </si>
  <si>
    <t>Updated 6-16-20. No IPT initiation for people who are HIV-negative.</t>
  </si>
  <si>
    <t>Rate of IPT initiation from TB compartment  Uninfected, not on IPT and HIV compartment  HIV-negative for gender Female under policy Community ART</t>
  </si>
  <si>
    <t>Rate of IPT initiation from TB compartment  Uninfected, not on IPT and HIV compartment  PLHIV not on ART, CD4&gt;200 for gender Male under policy Community ART</t>
  </si>
  <si>
    <t>If Adrienne has more granular data, then consider making the blended rate across this compartments 6% and weighting to more closely match the trial data. I suspect that people on ART have a higher rate, for instance.</t>
  </si>
  <si>
    <t>Rate of IPT initiation from TB compartment  Uninfected, not on IPT and HIV compartment  PLHIV not on ART, CD4&gt;200 for gender Female under policy Community ART</t>
  </si>
  <si>
    <t>Rate of IPT initiation from TB compartment  Uninfected, not on IPT and HIV compartment  PLHIV not on ART, CD4≤200 for gender Male under policy Community ART</t>
  </si>
  <si>
    <t>Rate of IPT initiation from TB compartment  Uninfected, not on IPT and HIV compartment  PLHIV not on ART, CD4≤200 for gender Female under policy Community ART</t>
  </si>
  <si>
    <t>Rate of IPT initiation from TB compartment  Uninfected, not on IPT and HIV compartment  PLHIV and on ART for gender Male under policy Community ART</t>
  </si>
  <si>
    <t>Rate of IPT initiation from TB compartment  Uninfected, not on IPT and HIV compartment  PLHIV and on ART for gender Female under policy Community ART</t>
  </si>
  <si>
    <t>Rate of IPT initiation from TB compartment  LTBI, infected recently (at risk for rapid progression) and HIV compartment  HIV-negative for gender Male under policy Community ART</t>
  </si>
  <si>
    <t>Rate of IPT initiation from TB compartment  LTBI, infected recently (at risk for rapid progression) and HIV compartment  HIV-negative for gender Female under policy Community ART</t>
  </si>
  <si>
    <t>Rate of IPT initiation from TB compartment  LTBI, infected recently (at risk for rapid progression) and HIV compartment  PLHIV not on ART, CD4&gt;200 for gender Male under policy Community ART</t>
  </si>
  <si>
    <t>Rate of IPT initiation from TB compartment  LTBI, infected recently (at risk for rapid progression) and HIV compartment  PLHIV not on ART, CD4&gt;200 for gender Female under policy Community ART</t>
  </si>
  <si>
    <t>Rate of IPT initiation from TB compartment  LTBI, infected recently (at risk for rapid progression) and HIV compartment  PLHIV not on ART, CD4≤200 for gender Male under policy Community ART</t>
  </si>
  <si>
    <t>Rate of IPT initiation from TB compartment  LTBI, infected recently (at risk for rapid progression) and HIV compartment  PLHIV not on ART, CD4≤200 for gender Female under policy Community ART</t>
  </si>
  <si>
    <t>Rate of IPT initiation from TB compartment  LTBI, infected recently (at risk for rapid progression) and HIV compartment  PLHIV and on ART for gender Male under policy Community ART</t>
  </si>
  <si>
    <t>Rate of IPT initiation from TB compartment  LTBI, infected recently (at risk for rapid progression) and HIV compartment  PLHIV and on ART for gender Female under policy Community ART</t>
  </si>
  <si>
    <t>Rate of IPT initiation from TB compartment  LTBI, infected remotely and HIV compartment  HIV-negative for gender Male under policy Community ART</t>
  </si>
  <si>
    <t>No IPT for people who are HIV-negative.</t>
  </si>
  <si>
    <t>Rate of IPT initiation from TB compartment  LTBI, infected remotely and HIV compartment  HIV-negative for gender Female under policy Community ART</t>
  </si>
  <si>
    <t>Rate of IPT initiation from TB compartment  LTBI, infected remotely and HIV compartment  PLHIV not on ART, CD4&gt;200 for gender Male under policy Community ART</t>
  </si>
  <si>
    <t>Rate of IPT initiation from TB compartment  LTBI, infected remotely and HIV compartment  PLHIV not on ART, CD4&gt;200 for gender Female under policy Community ART</t>
  </si>
  <si>
    <t>Rate of IPT initiation from TB compartment  LTBI, infected remotely and HIV compartment  PLHIV not on ART, CD4≤200 for gender Male under policy Community ART</t>
  </si>
  <si>
    <t>Rate of IPT initiation from TB compartment  LTBI, infected remotely and HIV compartment  PLHIV not on ART, CD4≤200 for gender Female under policy Community ART</t>
  </si>
  <si>
    <t>Rate of IPT initiation from TB compartment  LTBI, infected remotely and HIV compartment  PLHIV and on ART for gender Male under policy Community ART</t>
  </si>
  <si>
    <t>Rate of IPT initiation from TB compartment  LTBI, infected remotely and HIV compartment  PLHIV and on ART for gender Female under policy Community ART</t>
  </si>
  <si>
    <t>Rate of IPT initiation from TB compartment  Uninfected, not on IPT and HIV compartment  HIV-negative for gender Male under policy Standard (baseline)</t>
  </si>
  <si>
    <t>Rate of IPT initiation from TB compartment  Uninfected, not on IPT and HIV compartment  HIV-negative for gender Female under policy Standard (baseline)</t>
  </si>
  <si>
    <t>Rate of IPT initiation from TB compartment  Uninfected, not on IPT and HIV compartment  PLHIV not on ART, CD4&gt;200 for gender Male under policy Standard (baseline)</t>
  </si>
  <si>
    <t>Rate of IPT initiation from TB compartment  Uninfected, not on IPT and HIV compartment  PLHIV not on ART, CD4&gt;200 for gender Female under policy Standard (baseline)</t>
  </si>
  <si>
    <t>Rate of IPT initiation from TB compartment  Uninfected, not on IPT and HIV compartment  PLHIV not on ART, CD4≤200 for gender Male under policy Standard (baseline)</t>
  </si>
  <si>
    <t>Rate of IPT initiation from TB compartment  Uninfected, not on IPT and HIV compartment  PLHIV not on ART, CD4≤200 for gender Female under policy Standard (baseline)</t>
  </si>
  <si>
    <t>Rate of IPT initiation from TB compartment  Uninfected, not on IPT and HIV compartment  PLHIV and on ART for gender Male under policy Standard (baseline)</t>
  </si>
  <si>
    <t>Rate of IPT initiation from TB compartment  Uninfected, not on IPT and HIV compartment  PLHIV and on ART for gender Female under policy Standard (baseline)</t>
  </si>
  <si>
    <t>Rate of IPT initiation from TB compartment  LTBI, infected recently (at risk for rapid progression) and HIV compartment  HIV-negative for gender Male under policy Standard (baseline)</t>
  </si>
  <si>
    <t>Rate of IPT initiation from TB compartment  LTBI, infected recently (at risk for rapid progression) and HIV compartment  HIV-negative for gender Female under policy Standard (baseline)</t>
  </si>
  <si>
    <t>Rate of IPT initiation from TB compartment  LTBI, infected recently (at risk for rapid progression) and HIV compartment  PLHIV not on ART, CD4&gt;200 for gender Male under policy Standard (baseline)</t>
  </si>
  <si>
    <t>Rate of IPT initiation from TB compartment  LTBI, infected recently (at risk for rapid progression) and HIV compartment  PLHIV not on ART, CD4&gt;200 for gender Female under policy Standard (baseline)</t>
  </si>
  <si>
    <t>Rate of IPT initiation from TB compartment  LTBI, infected recently (at risk for rapid progression) and HIV compartment  PLHIV not on ART, CD4≤200 for gender Male under policy Standard (baseline)</t>
  </si>
  <si>
    <t>Rate of IPT initiation from TB compartment  LTBI, infected recently (at risk for rapid progression) and HIV compartment  PLHIV not on ART, CD4≤200 for gender Female under policy Standard (baseline)</t>
  </si>
  <si>
    <t>Rate of IPT initiation from TB compartment  LTBI, infected recently (at risk for rapid progression) and HIV compartment  PLHIV and on ART for gender Male under policy Standard (baseline)</t>
  </si>
  <si>
    <t>Rate of IPT initiation from TB compartment  LTBI, infected recently (at risk for rapid progression) and HIV compartment  PLHIV and on ART for gender Female under policy Standard (baseline)</t>
  </si>
  <si>
    <t>Rate of IPT initiation from TB compartment  LTBI, infected remotely and HIV compartment  HIV-negative for gender Male under policy Standard (baseline)</t>
  </si>
  <si>
    <t>Rate of IPT initiation from TB compartment  LTBI, infected remotely and HIV compartment  HIV-negative for gender Female under policy Standard (baseline)</t>
  </si>
  <si>
    <t>Rate of IPT initiation from TB compartment  LTBI, infected remotely and HIV compartment  PLHIV not on ART, CD4&gt;200 for gender Male under policy Standard (baseline)</t>
  </si>
  <si>
    <t>Rate of IPT initiation from TB compartment  LTBI, infected remotely and HIV compartment  PLHIV not on ART, CD4&gt;200 for gender Female under policy Standard (baseline)</t>
  </si>
  <si>
    <t>Rate of IPT initiation from TB compartment  LTBI, infected remotely and HIV compartment  PLHIV not on ART, CD4≤200 for gender Male under policy Standard (baseline)</t>
  </si>
  <si>
    <t>Rate of IPT initiation from TB compartment  LTBI, infected remotely and HIV compartment  PLHIV not on ART, CD4≤200 for gender Female under policy Standard (baseline)</t>
  </si>
  <si>
    <t>Rate of IPT initiation from TB compartment  LTBI, infected remotely and HIV compartment  PLHIV and on ART for gender Male under policy Standard (baseline)</t>
  </si>
  <si>
    <t>Rate of IPT initiation from TB compartment  LTBI, infected remotely and HIV compartment  PLHIV and on ART for gender Female under policy Standard (baseline)</t>
  </si>
  <si>
    <t>Indicator so that people with MDR cannot move into LTBI after IPT</t>
  </si>
  <si>
    <t>gamma</t>
  </si>
  <si>
    <t>omega</t>
  </si>
  <si>
    <t>Reflects half-year period for course of IPT (1/0.5)</t>
  </si>
  <si>
    <t>Base rates of TB progression from TB infected recently to remotely (2 years)</t>
  </si>
  <si>
    <t>Base rates of TB progression from TB infected recently to remotely</t>
  </si>
  <si>
    <t>pi</t>
  </si>
  <si>
    <t>2 year period for recent infection (1/2)(half of population leaves per year)</t>
  </si>
  <si>
    <t>Base rates of TB progression from TB infected recently to active</t>
  </si>
  <si>
    <t>Base rates of TB progression from TB infected remotely to active</t>
  </si>
  <si>
    <t>Base rates of TB progression from LTBI, on IPT to active</t>
  </si>
  <si>
    <t>Relative risk for TB progression from LTBI to active for HIV compartment  HIV-negative</t>
  </si>
  <si>
    <t>theta</t>
  </si>
  <si>
    <t>Relative risk for TB progression from LTBI to active for HIV compartment  PLHIV not on ART, CD4&gt;200</t>
  </si>
  <si>
    <t>Relative risk for TB progression from LTBI to active for HIV compartment  PLHIV not on ART, CD4≤200</t>
  </si>
  <si>
    <t>Relative risk for TB progression from LTBI to active for HIV compartment  PLHIV and on ART</t>
  </si>
  <si>
    <t>eta</t>
  </si>
  <si>
    <t>3 HIV prog</t>
  </si>
  <si>
    <t>ART initiation at high CD4</t>
  </si>
  <si>
    <t>ART initiation at low CD4</t>
  </si>
  <si>
    <t>Mortality rates from populations in TB compartment  Uninfected, not on IPT and HIV compartment  HIV-negative and gender compartment Male per year</t>
  </si>
  <si>
    <t>mu</t>
  </si>
  <si>
    <t>4 BD</t>
  </si>
  <si>
    <t>Mortality rates from populations in TB compartment  Uninfected, not on IPT and HIV compartment  HIV-negative and gender compartment Female per year</t>
  </si>
  <si>
    <t>Mortality rates from populations in TB compartment  Uninfected, not on IPT and HIV compartment  PLHIV not on ART, CD4&gt;200 and gender compartment Male per year</t>
  </si>
  <si>
    <t>Mortality rates from populations in TB compartment  Uninfected, not on IPT and HIV compartment  PLHIV not on ART, CD4&gt;200 and gender compartment Female per year</t>
  </si>
  <si>
    <t>Mortality rates from populations in TB compartment  Uninfected, not on IPT and HIV compartment  PLHIV not on ART, CD4≤200 and gender compartment Male per year</t>
  </si>
  <si>
    <t>Mortality rates from populations in TB compartment  Uninfected, not on IPT and HIV compartment  PLHIV not on ART, CD4≤200 and gender compartment Female per year</t>
  </si>
  <si>
    <t>Mortality rates from populations in TB compartment  Uninfected, not on IPT and HIV compartment  PLHIV and on ART and gender compartment Male per year</t>
  </si>
  <si>
    <t>Mortality rates from populations in TB compartment  Uninfected, not on IPT and HIV compartment  PLHIV and on ART and gender compartment Female per year</t>
  </si>
  <si>
    <t>Mortality rates from populations in TB compartment  Uninfected, on IPT and HIV compartment  HIV-negative and gender compartment Male per year</t>
  </si>
  <si>
    <t>Mortality rates from populations in TB compartment  Uninfected, on IPT and HIV compartment  HIV-negative and gender compartment Female per year</t>
  </si>
  <si>
    <t>Mortality rates from populations in TB compartment  Uninfected, on IPT and HIV compartment  PLHIV not on ART, CD4&gt;200 and gender compartment Male per year</t>
  </si>
  <si>
    <t>Mortality rates from populations in TB compartment  Uninfected, on IPT and HIV compartment  PLHIV not on ART, CD4&gt;200 and gender compartment Female per year</t>
  </si>
  <si>
    <t>Mortality rates from populations in TB compartment  Uninfected, on IPT and HIV compartment  PLHIV not on ART, CD4≤200 and gender compartment Male per year</t>
  </si>
  <si>
    <t>Mortality rates from populations in TB compartment  Uninfected, on IPT and HIV compartment  PLHIV not on ART, CD4≤200 and gender compartment Female per year</t>
  </si>
  <si>
    <t>Mortality rates from populations in TB compartment  Uninfected, on IPT and HIV compartment  PLHIV and on ART and gender compartment Male per year</t>
  </si>
  <si>
    <t>Mortality rates from populations in TB compartment  Uninfected, on IPT and HIV compartment  PLHIV and on ART and gender compartment Female per year</t>
  </si>
  <si>
    <t>Mortality rates from populations in TB compartment  LTBI, infected recently (at risk for rapid progression) and HIV compartment  HIV-negative and gender compartment Male per year</t>
  </si>
  <si>
    <t>Mortality rates from populations in TB compartment  LTBI, infected recently (at risk for rapid progression) and HIV compartment  HIV-negative and gender compartment Female per year</t>
  </si>
  <si>
    <t>Mortality rates from populations in TB compartment  LTBI, infected recently (at risk for rapid progression) and HIV compartment  PLHIV not on ART, CD4&gt;200 and gender compartment Male per year</t>
  </si>
  <si>
    <t>Mortality rates from populations in TB compartment  LTBI, infected recently (at risk for rapid progression) and HIV compartment  PLHIV not on ART, CD4&gt;200 and gender compartment Female per year</t>
  </si>
  <si>
    <t>Mortality rates from populations in TB compartment  LTBI, infected recently (at risk for rapid progression) and HIV compartment  PLHIV not on ART, CD4≤200 and gender compartment Male per year</t>
  </si>
  <si>
    <t>Mortality rates from populations in TB compartment  LTBI, infected recently (at risk for rapid progression) and HIV compartment  PLHIV not on ART, CD4≤200 and gender compartment Female per year</t>
  </si>
  <si>
    <t>Mortality rates from populations in TB compartment  LTBI, infected recently (at risk for rapid progression) and HIV compartment  PLHIV and on ART and gender compartment Male per year</t>
  </si>
  <si>
    <t>Mortality rates from populations in TB compartment  LTBI, infected recently (at risk for rapid progression) and HIV compartment  PLHIV and on ART and gender compartment Female per year</t>
  </si>
  <si>
    <t>Mortality rates from populations in TB compartment  LTBI, infected remotely and HIV compartment  HIV-negative and gender compartment Male per year</t>
  </si>
  <si>
    <t>Mortality rates from populations in TB compartment  LTBI, infected remotely and HIV compartment  HIV-negative and gender compartment Female per year</t>
  </si>
  <si>
    <t>Mortality rates from populations in TB compartment  LTBI, infected remotely and HIV compartment  PLHIV not on ART, CD4&gt;200 and gender compartment Male per year</t>
  </si>
  <si>
    <t>Mortality rates from populations in TB compartment  LTBI, infected remotely and HIV compartment  PLHIV not on ART, CD4&gt;200 and gender compartment Female per year</t>
  </si>
  <si>
    <t>Mortality rates from populations in TB compartment  LTBI, infected remotely and HIV compartment  PLHIV not on ART, CD4≤200 and gender compartment Male per year</t>
  </si>
  <si>
    <t>Mortality rates from populations in TB compartment  LTBI, infected remotely and HIV compartment  PLHIV not on ART, CD4≤200 and gender compartment Female per year</t>
  </si>
  <si>
    <t>Mortality rates from populations in TB compartment  LTBI, infected remotely and HIV compartment  PLHIV and on ART and gender compartment Male per year</t>
  </si>
  <si>
    <t>Mortality rates from populations in TB compartment  LTBI, infected remotely and HIV compartment  PLHIV and on ART and gender compartment Female per year</t>
  </si>
  <si>
    <t>Mortality rates from populations in TB compartment  LTBI, on IPT and HIV compartment  HIV-negative and gender compartment Male per year</t>
  </si>
  <si>
    <t>Mortality rates from populations in TB compartment  LTBI, on IPT and HIV compartment  HIV-negative and gender compartment Female per year</t>
  </si>
  <si>
    <t>Mortality rates from populations in TB compartment  LTBI, on IPT and HIV compartment  PLHIV not on ART, CD4&gt;200 and gender compartment Male per year</t>
  </si>
  <si>
    <t>Mortality rates from populations in TB compartment  LTBI, on IPT and HIV compartment  PLHIV not on ART, CD4&gt;200 and gender compartment Female per year</t>
  </si>
  <si>
    <t>Mortality rates from populations in TB compartment  LTBI, on IPT and HIV compartment  PLHIV not on ART, CD4≤200 and gender compartment Male per year</t>
  </si>
  <si>
    <t>Mortality rates from populations in TB compartment  LTBI, on IPT and HIV compartment  PLHIV not on ART, CD4≤200 and gender compartment Female per year</t>
  </si>
  <si>
    <t>Mortality rates from populations in TB compartment  LTBI, on IPT and HIV compartment  PLHIV and on ART and gender compartment Male per year</t>
  </si>
  <si>
    <t>Mortality rates from populations in TB compartment  LTBI, on IPT and HIV compartment  PLHIV and on ART and gender compartment Female per year</t>
  </si>
  <si>
    <t>Mortality rates from populations in TB compartment  Active and HIV compartment  HIV-negative and gender compartment Male per year</t>
  </si>
  <si>
    <t>Mortality rates from populations in TB compartment  Active and HIV compartment  HIV-negative and gender compartment Female per year</t>
  </si>
  <si>
    <t>Mortality rates from populations in TB compartment  Active and HIV compartment  PLHIV not on ART, CD4&gt;200 and gender compartment Male per year</t>
  </si>
  <si>
    <t>Mortality rates from populations in TB compartment  Active and HIV compartment  PLHIV not on ART, CD4&gt;200 and gender compartment Female per year</t>
  </si>
  <si>
    <t>Mortality rates from populations in TB compartment  Active and HIV compartment  PLHIV not on ART, CD4≤200 and gender compartment Male per year</t>
  </si>
  <si>
    <t>Mortality rates from populations in TB compartment  Active and HIV compartment  PLHIV not on ART, CD4≤200 and gender compartment Female per year</t>
  </si>
  <si>
    <t>Mortality rates from populations in TB compartment  Active and HIV compartment  PLHIV and on ART and gender compartment Male per year</t>
  </si>
  <si>
    <t>Mortality rates from populations in TB compartment  Active and HIV compartment  PLHIV and on ART and gender compartment Female per year</t>
  </si>
  <si>
    <t>Mortality rates from populations in TB compartment  Recovered/Treated and HIV compartment  HIV-negative and gender compartment Male per year</t>
  </si>
  <si>
    <t>Mortality rates from populations in TB compartment  Recovered/Treated and HIV compartment  HIV-negative and gender compartment Female per year</t>
  </si>
  <si>
    <t>Mortality rates from populations in TB compartment  Recovered/Treated and HIV compartment  PLHIV not on ART, CD4&gt;200 and gender compartment Male per year</t>
  </si>
  <si>
    <t>Mortality rates from populations in TB compartment  Recovered/Treated and HIV compartment  PLHIV not on ART, CD4&gt;200 and gender compartment Female per year</t>
  </si>
  <si>
    <t>Mortality rates from populations in TB compartment  Recovered/Treated and HIV compartment  PLHIV not on ART, CD4≤200 and gender compartment Male per year</t>
  </si>
  <si>
    <t>Mortality rates from populations in TB compartment  Recovered/Treated and HIV compartment  PLHIV not on ART, CD4≤200 and gender compartment Female per year</t>
  </si>
  <si>
    <t>Mortality rates from populations in TB compartment  Recovered/Treated and HIV compartment  PLHIV and on ART and gender compartment Male per year</t>
  </si>
  <si>
    <t>Mortality rates from populations in TB compartment  Recovered/Treated and HIV compartment  PLHIV and on ART and gender compartment Female per year</t>
  </si>
  <si>
    <t>Mortality rates from populations in TB compartment  LTBI, after IPT and HIV compartment  HIV-negative and gender compartment Male per year</t>
  </si>
  <si>
    <t>Mortality rates from populations in TB compartment  LTBI, after IPT and HIV compartment  HIV-negative and gender compartment Female per year</t>
  </si>
  <si>
    <t>Mortality rates from populations in TB compartment  LTBI, after IPT and HIV compartment  PLHIV not on ART, CD4&gt;200 and gender compartment Male per year</t>
  </si>
  <si>
    <t>Mortality rates from populations in TB compartment  LTBI, after IPT and HIV compartment  PLHIV not on ART, CD4&gt;200 and gender compartment Female per year</t>
  </si>
  <si>
    <t>Mortality rates from populations in TB compartment  LTBI, after IPT and HIV compartment  PLHIV not on ART, CD4≤200 and gender compartment Male per year</t>
  </si>
  <si>
    <t>Mortality rates from populations in TB compartment  LTBI, after IPT and HIV compartment  PLHIV not on ART, CD4≤200 and gender compartment Female per year</t>
  </si>
  <si>
    <t>Mortality rates from populations in TB compartment  LTBI, after IPT and HIV compartment  PLHIV and on ART and gender compartment Male per year</t>
  </si>
  <si>
    <t>Mortality rates from populations in TB compartment  LTBI, after IPT and HIV compartment  PLHIV and on ART and gender compartment Female per year</t>
  </si>
  <si>
    <t>Relevant Model Parameter(s)</t>
  </si>
  <si>
    <t>Reference - expected value</t>
  </si>
  <si>
    <t>Reference</t>
  </si>
  <si>
    <t>increase in ART adherence from base</t>
  </si>
  <si>
    <t>eta_2,4(2)</t>
  </si>
  <si>
    <t>eta_3,4(3)</t>
  </si>
  <si>
    <t>recently infected period (in years)</t>
  </si>
  <si>
    <t>pi_3,4</t>
  </si>
  <si>
    <t>TB_SET</t>
  </si>
  <si>
    <t xml:space="preserve"> Uninfected, not on IPT</t>
  </si>
  <si>
    <t xml:space="preserve"> Uninfected, on IPT</t>
  </si>
  <si>
    <t xml:space="preserve"> LTBI, infected recently (at risk for rapid progression)</t>
  </si>
  <si>
    <t xml:space="preserve"> LTBI, infected remotely</t>
  </si>
  <si>
    <t xml:space="preserve"> LTBI, on IPT</t>
  </si>
  <si>
    <t xml:space="preserve"> Active</t>
  </si>
  <si>
    <t xml:space="preserve"> Recovered/Treated</t>
  </si>
  <si>
    <t xml:space="preserve"> LTBI, after IPT</t>
  </si>
  <si>
    <t>R_SET</t>
  </si>
  <si>
    <t>Drug-susceptible (DS)</t>
  </si>
  <si>
    <t xml:space="preserve"> Multidrug-resistant (MDR-TB)</t>
  </si>
  <si>
    <t>HIV_SET</t>
  </si>
  <si>
    <t xml:space="preserve"> HIV-negative</t>
  </si>
  <si>
    <t xml:space="preserve"> PLHIV not on ART, CD4&gt;200</t>
  </si>
  <si>
    <t xml:space="preserve"> PLHIV not on ART, CD4≤200</t>
  </si>
  <si>
    <t xml:space="preserve"> PLHIV and on ART</t>
  </si>
  <si>
    <t>G_SET</t>
  </si>
  <si>
    <t>Male</t>
  </si>
  <si>
    <t>Female</t>
  </si>
  <si>
    <t>P_SET</t>
  </si>
  <si>
    <t>Standard (baseline)</t>
  </si>
  <si>
    <t>Community ART</t>
  </si>
  <si>
    <t>Community ART + IPT</t>
  </si>
  <si>
    <t>Base rates of TB progression from active to recovered/treated</t>
  </si>
  <si>
    <t>N</t>
  </si>
  <si>
    <t>Total population</t>
  </si>
  <si>
    <t>All-cause mortality rate per 100,000 ages 15-49 male</t>
  </si>
  <si>
    <t>GBD 2017</t>
  </si>
  <si>
    <t>cause_id 294</t>
  </si>
  <si>
    <t>location_id 196 (South Africa)</t>
  </si>
  <si>
    <t>All-cause mortality rate per 100,000 ages 15-49 female</t>
  </si>
  <si>
    <t>HIV deaths due to causes other than TB mortality rate per 100,000 ages 15-49 male</t>
  </si>
  <si>
    <t>cause_id 300</t>
  </si>
  <si>
    <t>HIV deaths due to causes other than TB mortality rate per 100,000 ages 15-49 female</t>
  </si>
  <si>
    <t>HIV/TB mortality rate per 100,000  for drug-susceptible TB age 15-49 male</t>
  </si>
  <si>
    <t>HIV/TB mortality rate per 100,000  for drug-susceptible TB age 15-49 female</t>
  </si>
  <si>
    <t>All HIV mortality rate per 100,000 ages 15-49 male</t>
  </si>
  <si>
    <t>cause_id 298</t>
  </si>
  <si>
    <t>cause_id 948</t>
  </si>
  <si>
    <t>HIV/TB mortality rate per 100,000  for MDR TB age 15-49 male</t>
  </si>
  <si>
    <t>HIV/TB mortality rate per 100,000  for MDR TB age 15-49 female</t>
  </si>
  <si>
    <t>cause_id 949</t>
  </si>
  <si>
    <t>HIV/TB mortality rate per 100,000  for XDR TB age 15-49 male</t>
  </si>
  <si>
    <t>HIV/TB mortality rate per 100,000  for XDR TB age 15-49 female</t>
  </si>
  <si>
    <t>cause_id 950</t>
  </si>
  <si>
    <t>TB mortality rate per 100,000 (not HIV) age 15-49 male</t>
  </si>
  <si>
    <t>Confirmed units for rates as per 100,000 population against GBD compare.</t>
  </si>
  <si>
    <t>Drug-susceptible TB mortality rate per 100,000 (not HIV) age 15-49 male</t>
  </si>
  <si>
    <t>MDR TB mortality rate per 100,000 (not HIV) age 15-49 male</t>
  </si>
  <si>
    <t>Drug-susceptible TB mortality rate per 100,000 (not HIV) age 15-49 female</t>
  </si>
  <si>
    <t>XDR TB mortality rate per 100,000 (not HIV) age 15-49 male</t>
  </si>
  <si>
    <t>cause_id 297</t>
  </si>
  <si>
    <t>cause_id 934</t>
  </si>
  <si>
    <t>cause_id 946</t>
  </si>
  <si>
    <t>cause_id 947</t>
  </si>
  <si>
    <t>TB mortality rate per 100,000 (not HIV) age 15-49 female</t>
  </si>
  <si>
    <t>MDR TB mortality rate per 100,000 (not HIV) age 15-49 female</t>
  </si>
  <si>
    <t>XDR TB mortality rate per 100,000 (not HIV) age 15-49 female</t>
  </si>
  <si>
    <t>Same as baseline</t>
  </si>
  <si>
    <t>Handwavy 5x baseline, establishes a ref rate for PLHIV not on ART, CD4&gt;200</t>
  </si>
  <si>
    <t>Handwavy 1.2x baseline, ref rate for PLHIV on ART</t>
  </si>
  <si>
    <t>Handwavy 10x baseline, ref rate for CD4 &lt;=200</t>
  </si>
  <si>
    <t>Same as ref rate for PLHIV, CD4 &gt;200</t>
  </si>
  <si>
    <t>Same as ref rate for PLHIV, CD4≤200</t>
  </si>
  <si>
    <t>Same as ref rate for PLHIV on ART</t>
  </si>
  <si>
    <t>Crude calculation from GBD = baseline mortality for males (no HIV or TB)</t>
  </si>
  <si>
    <t>Crude calculation from GBD = baseline mortality for females (no HIV or TB)</t>
  </si>
  <si>
    <t>TB-specific baseline</t>
  </si>
  <si>
    <t>Handwavy</t>
  </si>
  <si>
    <t>DR adj</t>
  </si>
  <si>
    <t>HIV adj</t>
  </si>
  <si>
    <t>G adj</t>
  </si>
  <si>
    <t>Factor</t>
  </si>
  <si>
    <t>Numerator = 588 virally suppressed + 66 reported current ART. Denominator = 2393 completed screening</t>
  </si>
  <si>
    <t>DO ART secondary calculation. May get revised further with a gender breakdown</t>
  </si>
  <si>
    <t>DO ART rough calculation based on published CD4 thresholds. Anticipate following up with Torin for actual data.</t>
  </si>
  <si>
    <t>2 years</t>
  </si>
  <si>
    <t>Percentage of HIV+ pop with no ART and CD4&lt;=200 male</t>
  </si>
  <si>
    <t>Percentage of HIV+ pop with no ART and CD4&lt;=200 female</t>
  </si>
  <si>
    <t>Percentage of HIV+ pop with no ART and CD4&gt;200 male</t>
  </si>
  <si>
    <t>Percentage of HIV+ pop with no ART and CD4&gt;200 female</t>
  </si>
  <si>
    <t>Percentage of HIV+ pop on ART male</t>
  </si>
  <si>
    <t>Percentage of HIV+ pop on ART female</t>
  </si>
  <si>
    <t>Percentage of pop uninfected with TB male</t>
  </si>
  <si>
    <t>Percentage of pop uninfected with TB female</t>
  </si>
  <si>
    <t>Percentage of pop active TB male</t>
  </si>
  <si>
    <t>I don't know that we'll find data sources to differentiate this parameter by gender.</t>
  </si>
  <si>
    <t>Percentage of active TB pop with HIV male</t>
  </si>
  <si>
    <t>Percentage of active TB pop with HIV female</t>
  </si>
  <si>
    <t>percentage of pop LTBI male</t>
  </si>
  <si>
    <t>We may not be able to find this from available data</t>
  </si>
  <si>
    <t>Percentage of LTBI pop with HIV male</t>
  </si>
  <si>
    <t>Percentage of LTBI pop with HIV female</t>
  </si>
  <si>
    <t>percentage of pop LTBI female</t>
  </si>
  <si>
    <t>Percentage of pop active TB female</t>
  </si>
  <si>
    <t>G</t>
  </si>
  <si>
    <t>T</t>
  </si>
  <si>
    <t>R</t>
  </si>
  <si>
    <t>HIV</t>
  </si>
  <si>
    <t>1,2</t>
  </si>
  <si>
    <t>3,4</t>
  </si>
  <si>
    <t>pop_init</t>
  </si>
  <si>
    <t>POS</t>
  </si>
  <si>
    <t xml:space="preserve">Percentage pop HIV + </t>
  </si>
  <si>
    <t>Rate of moving off of IPT</t>
  </si>
  <si>
    <t>varpi</t>
  </si>
  <si>
    <t xml:space="preserve">Percentage HIV - </t>
  </si>
  <si>
    <t>Description (Pop Init in 2017)</t>
  </si>
  <si>
    <t>Lawn 2006, AIDS PMID: 16888441</t>
  </si>
  <si>
    <t>Brian Williams ,</t>
  </si>
  <si>
    <t>(All)</t>
  </si>
  <si>
    <t>Grand Total</t>
  </si>
  <si>
    <t>(Multiple Items)</t>
  </si>
  <si>
    <t>N,1,1,1,1</t>
  </si>
  <si>
    <t>N,1,1,1,2</t>
  </si>
  <si>
    <t>N,1,1,2,1</t>
  </si>
  <si>
    <t>N,1,1,2,2</t>
  </si>
  <si>
    <t>N,1,2,1,1</t>
  </si>
  <si>
    <t>N,1,2,1,2</t>
  </si>
  <si>
    <t>N,1,2,2,1</t>
  </si>
  <si>
    <t>N,1,2,2,2</t>
  </si>
  <si>
    <t>N,3,1,1,1</t>
  </si>
  <si>
    <t>N,3,1,1,2</t>
  </si>
  <si>
    <t>N,3,1,2,1</t>
  </si>
  <si>
    <t>N,3,1,2,2</t>
  </si>
  <si>
    <t>N,3,2,1,1</t>
  </si>
  <si>
    <t>N,3,2,1,2</t>
  </si>
  <si>
    <t>N,3,2,2,1</t>
  </si>
  <si>
    <t>N,3,2,2,2</t>
  </si>
  <si>
    <t>N,4,1,1,1</t>
  </si>
  <si>
    <t>N,4,1,1,2</t>
  </si>
  <si>
    <t>N,4,1,2,1</t>
  </si>
  <si>
    <t>N,4,1,2,2</t>
  </si>
  <si>
    <t>N,4,2,1,1</t>
  </si>
  <si>
    <t>N,4,2,1,2</t>
  </si>
  <si>
    <t>N,4,2,2,1</t>
  </si>
  <si>
    <t>N,4,2,2,2</t>
  </si>
  <si>
    <t>Proportion of Births</t>
  </si>
  <si>
    <t>TB COMPARTMENT</t>
  </si>
  <si>
    <t>HIV COMPARTMENT</t>
  </si>
  <si>
    <t>DR COMPARTMENT</t>
  </si>
  <si>
    <t>G COMPARTMENT</t>
  </si>
  <si>
    <t>Model Matched Param</t>
  </si>
  <si>
    <t>N,6,1,1,1</t>
  </si>
  <si>
    <t>N,6,1,1,2</t>
  </si>
  <si>
    <t>N,6,1,2,1</t>
  </si>
  <si>
    <t>N,6,1,2,2</t>
  </si>
  <si>
    <t>N,6,2,1,1</t>
  </si>
  <si>
    <t>N,6,2,1,2</t>
  </si>
  <si>
    <t>N,6,2,2,1</t>
  </si>
  <si>
    <t>N,6,2,2,2</t>
  </si>
  <si>
    <t>Country Specific?</t>
  </si>
  <si>
    <t>Yes</t>
  </si>
  <si>
    <t>No</t>
  </si>
  <si>
    <t>IPT Adherence  under policy Standard (baseline) for gender Male</t>
  </si>
  <si>
    <t>IPT Adherence  under policy Community ART for gender Male</t>
  </si>
  <si>
    <t>IPT Adherence  under policy Community ART + IPT for gender Male</t>
  </si>
  <si>
    <t>IPT Adherence  under policy Standard (baseline) for gender Female</t>
  </si>
  <si>
    <t>IPT Adherence  under policy Community ART for gender Female</t>
  </si>
  <si>
    <t>IPT Adherence  under policy Community ART + IPT for gender Female</t>
  </si>
  <si>
    <t>Rate of populations moving from HIV compartment  HIV-negative to  PLHIV not on ART, CD4&gt;200 for gender Male per year under policy Standard (baseline)</t>
  </si>
  <si>
    <t>Rate of populations moving from HIV compartment  HIV-negative to  PLHIV not on ART, CD4&gt;200 for gender Male per year under policy Community ART</t>
  </si>
  <si>
    <t>Rate of populations moving from HIV compartment  HIV-negative to  PLHIV not on ART, CD4&gt;200 for gender Male per year under policy Community ART + IPT</t>
  </si>
  <si>
    <t>Rate of populations moving from HIV compartment  PLHIV not on ART, CD4&gt;200 to  PLHIV not on ART, CD4≤200 for gender Male per year under policy Standard (baseline)</t>
  </si>
  <si>
    <t>Rate of populations moving from HIV compartment  PLHIV not on ART, CD4&gt;200 to  PLHIV not on ART, CD4≤200 for gender Male per year under policy Community ART</t>
  </si>
  <si>
    <t>Rate of populations moving from HIV compartment  PLHIV not on ART, CD4&gt;200 to  PLHIV not on ART, CD4≤200 for gender Male per year under policy Community ART + IPT</t>
  </si>
  <si>
    <t>Rate of populations moving from HIV compartment  PLHIV not on ART, CD4&gt;200 to  PLHIV and on ART for gender Male per year under policy Standard (baseline)</t>
  </si>
  <si>
    <t>Rate of populations moving from HIV compartment  PLHIV not on ART, CD4&gt;200 to  PLHIV and on ART for gender Male per year under policy Community ART</t>
  </si>
  <si>
    <t>Rate of populations moving from HIV compartment  PLHIV not on ART, CD4&gt;200 to  PLHIV and on ART for gender Male per year under policy Community ART + IPT</t>
  </si>
  <si>
    <t>Rate of populations moving from HIV compartment  PLHIV not on ART, CD4≤200 to  PLHIV and on ART for gender Male per year under policy Standard (baseline)</t>
  </si>
  <si>
    <t>Rate of populations moving from HIV compartment  PLHIV not on ART, CD4≤200 to  PLHIV and on ART for gender Male per year under policy Community ART</t>
  </si>
  <si>
    <t>Rate of populations moving from HIV compartment  PLHIV not on ART, CD4≤200 to  PLHIV and on ART for gender Male per year under policy Community ART + IPT</t>
  </si>
  <si>
    <t>Rate of populations moving from HIV compartment  HIV-negative to  PLHIV not on ART, CD4&gt;200 for gender Female per year under policy Standard (baseline)</t>
  </si>
  <si>
    <t>Rate of populations moving from HIV compartment  HIV-negative to  PLHIV not on ART, CD4&gt;200 for gender Female per year under policy Community ART</t>
  </si>
  <si>
    <t>Rate of populations moving from HIV compartment  HIV-negative to  PLHIV not on ART, CD4&gt;200 for gender Female per year under policy Community ART + IPT</t>
  </si>
  <si>
    <t>Rate of populations moving from HIV compartment  PLHIV not on ART, CD4&gt;200 to  PLHIV not on ART, CD4≤200 for gender Female per year under policy Standard (baseline)</t>
  </si>
  <si>
    <t>Rate of populations moving from HIV compartment  PLHIV not on ART, CD4&gt;200 to  PLHIV not on ART, CD4≤200 for gender Female per year under policy Community ART</t>
  </si>
  <si>
    <t>Rate of populations moving from HIV compartment  PLHIV not on ART, CD4&gt;200 to  PLHIV not on ART, CD4≤200 for gender Female per year under policy Community ART + IPT</t>
  </si>
  <si>
    <t>Rate of populations moving from HIV compartment  PLHIV not on ART, CD4&gt;200 to  PLHIV and on ART for gender Female per year under policy Standard (baseline)</t>
  </si>
  <si>
    <t>Rate of populations moving from HIV compartment  PLHIV not on ART, CD4&gt;200 to  PLHIV and on ART for gender Female per year under policy Community ART</t>
  </si>
  <si>
    <t>Rate of populations moving from HIV compartment  PLHIV not on ART, CD4&gt;200 to  PLHIV and on ART for gender Female per year under policy Community ART + IPT</t>
  </si>
  <si>
    <t>Rate of populations moving from HIV compartment  PLHIV not on ART, CD4≤200 to  PLHIV and on ART for gender Female per year under policy Standard (baseline)</t>
  </si>
  <si>
    <t>Rate of populations moving from HIV compartment  PLHIV not on ART, CD4≤200 to  PLHIV and on ART for gender Female per year under policy Community ART</t>
  </si>
  <si>
    <t>Rate of populations moving from HIV compartment  PLHIV not on ART, CD4≤200 to  PLHIV and on ART for gender Female per year under policy Community ART + IPT</t>
  </si>
  <si>
    <t>Table 3.28: HIV incidence by age and sex, South Africa, 2017 </t>
  </si>
  <si>
    <t>South African National HIV Prevalence, Incidence, Behaviour and Communication Survey, 2017</t>
  </si>
  <si>
    <t>Represents an expected 7.72 years for males HIV to move into HIV &lt;= 200</t>
  </si>
  <si>
    <t>Represents an expected 10.25 years for females HIV to move into HIV &lt;= 200</t>
  </si>
  <si>
    <t>PMID: 29223580</t>
  </si>
  <si>
    <t>DOI: 10.1016/j.epidem.2017.12.001</t>
  </si>
  <si>
    <t>alpha^in</t>
  </si>
  <si>
    <t>Rate of entry due to aging into HIV compartment  HIV-negative and gender compartment Male, per year</t>
  </si>
  <si>
    <t>Rate of entry due to aging into HIV compartment  HIV-negative and gender compartment Female, per year</t>
  </si>
  <si>
    <t>Rate of entry due to aging into HIV compartment  PLHIV not on ART, CD4&gt;200 and gender compartment Male, per year</t>
  </si>
  <si>
    <t>Rate of entry due to aging into HIV compartment  PLHIV not on ART, CD4&gt;200 and gender compartment Female, per year</t>
  </si>
  <si>
    <t>Rate of exist from the population due to aging</t>
  </si>
  <si>
    <t>see aging_in</t>
  </si>
  <si>
    <t>alpha^out</t>
  </si>
  <si>
    <t>Compartment</t>
  </si>
  <si>
    <t>Proportion in compartment</t>
  </si>
  <si>
    <t>initialized population in compartment</t>
  </si>
  <si>
    <t>Sum of Proportion in compartment</t>
  </si>
  <si>
    <t>DO ART</t>
  </si>
  <si>
    <t>DO ART?</t>
  </si>
  <si>
    <t>beta_1</t>
  </si>
  <si>
    <t>beta_2</t>
  </si>
  <si>
    <t>iota_1,</t>
  </si>
  <si>
    <t>iota_2,</t>
  </si>
  <si>
    <t>phi_1,</t>
  </si>
  <si>
    <t>phi_2,</t>
  </si>
  <si>
    <t>phi_3,</t>
  </si>
  <si>
    <t>phi_4,</t>
  </si>
  <si>
    <t>upsilon_</t>
  </si>
  <si>
    <t>varepsilon_1</t>
  </si>
  <si>
    <t>varepsilon_2</t>
  </si>
  <si>
    <t>zeta_</t>
  </si>
  <si>
    <t>gamma_1,</t>
  </si>
  <si>
    <t>gamma_2,</t>
  </si>
  <si>
    <t>kappa_1,1,1(1)</t>
  </si>
  <si>
    <t>kappa_1,1,1(2)</t>
  </si>
  <si>
    <t>kappa_1,1,1(3)</t>
  </si>
  <si>
    <t>kappa_1,1,2(1)</t>
  </si>
  <si>
    <t>kappa_1,1,2(2)</t>
  </si>
  <si>
    <t>kappa_1,1,2(3)</t>
  </si>
  <si>
    <t>kappa_1,2,1(1)</t>
  </si>
  <si>
    <t>kappa_1,2,1(2)</t>
  </si>
  <si>
    <t>kappa_1,2,1(3)</t>
  </si>
  <si>
    <t>kappa_1,2,2(1)</t>
  </si>
  <si>
    <t>kappa_1,2,2(2)</t>
  </si>
  <si>
    <t>kappa_1,2,2(3)</t>
  </si>
  <si>
    <t>kappa_1,3,1(1)</t>
  </si>
  <si>
    <t>kappa_1,3,1(2)</t>
  </si>
  <si>
    <t>kappa_1,3,1(3)</t>
  </si>
  <si>
    <t>kappa_1,3,2(1)</t>
  </si>
  <si>
    <t>kappa_1,3,2(2)</t>
  </si>
  <si>
    <t>kappa_1,3,2(3)</t>
  </si>
  <si>
    <t>kappa_1,4,1(1)</t>
  </si>
  <si>
    <t>kappa_1,4,1(2)</t>
  </si>
  <si>
    <t>kappa_1,4,1(3)</t>
  </si>
  <si>
    <t>kappa_1,4,2(1)</t>
  </si>
  <si>
    <t>kappa_1,4,2(2)</t>
  </si>
  <si>
    <t>kappa_1,4,2(3)</t>
  </si>
  <si>
    <t>kappa_3,1,1(1)</t>
  </si>
  <si>
    <t>kappa_3,1,1(2)</t>
  </si>
  <si>
    <t>kappa_3,1,1(3)</t>
  </si>
  <si>
    <t>kappa_3,1,2(1)</t>
  </si>
  <si>
    <t>kappa_3,1,2(2)</t>
  </si>
  <si>
    <t>kappa_3,1,2(3)</t>
  </si>
  <si>
    <t>kappa_3,2,1(1)</t>
  </si>
  <si>
    <t>kappa_3,2,1(2)</t>
  </si>
  <si>
    <t>kappa_3,2,1(3)</t>
  </si>
  <si>
    <t>kappa_3,2,2(1)</t>
  </si>
  <si>
    <t>kappa_3,2,2(2)</t>
  </si>
  <si>
    <t>kappa_3,2,2(3)</t>
  </si>
  <si>
    <t>kappa_3,3,1(1)</t>
  </si>
  <si>
    <t>kappa_3,3,1(2)</t>
  </si>
  <si>
    <t>kappa_3,3,1(3)</t>
  </si>
  <si>
    <t>kappa_3,3,2(1)</t>
  </si>
  <si>
    <t>kappa_3,3,2(2)</t>
  </si>
  <si>
    <t>kappa_3,3,2(3)</t>
  </si>
  <si>
    <t>kappa_3,4,1(1)</t>
  </si>
  <si>
    <t>kappa_3,4,1(2)</t>
  </si>
  <si>
    <t>kappa_3,4,1(3)</t>
  </si>
  <si>
    <t>kappa_3,4,2(1)</t>
  </si>
  <si>
    <t>kappa_3,4,2(2)</t>
  </si>
  <si>
    <t>kappa_3,4,2(3)</t>
  </si>
  <si>
    <t>kappa_4,1,1(1)</t>
  </si>
  <si>
    <t>kappa_4,1,1(2)</t>
  </si>
  <si>
    <t>kappa_4,1,1(3)</t>
  </si>
  <si>
    <t>kappa_4,1,2(1)</t>
  </si>
  <si>
    <t>kappa_4,1,2(2)</t>
  </si>
  <si>
    <t>kappa_4,1,2(3)</t>
  </si>
  <si>
    <t>kappa_4,2,1(1)</t>
  </si>
  <si>
    <t>kappa_4,2,1(2)</t>
  </si>
  <si>
    <t>kappa_4,2,1(3)</t>
  </si>
  <si>
    <t>kappa_4,2,2(1)</t>
  </si>
  <si>
    <t>kappa_4,2,2(2)</t>
  </si>
  <si>
    <t>kappa_4,2,2(3)</t>
  </si>
  <si>
    <t>kappa_4,3,1(1)</t>
  </si>
  <si>
    <t>kappa_4,3,1(2)</t>
  </si>
  <si>
    <t>kappa_4,3,1(3)</t>
  </si>
  <si>
    <t>kappa_4,3,2(1)</t>
  </si>
  <si>
    <t>kappa_4,3,2(2)</t>
  </si>
  <si>
    <t>kappa_4,3,2(3)</t>
  </si>
  <si>
    <t>kappa_4,4,1(1)</t>
  </si>
  <si>
    <t>kappa_4,4,1(2)</t>
  </si>
  <si>
    <t>kappa_4,4,1(3)</t>
  </si>
  <si>
    <t>kappa_4,4,2(1)</t>
  </si>
  <si>
    <t>kappa_4,4,2(2)</t>
  </si>
  <si>
    <t>kappa_4,4,2(3)</t>
  </si>
  <si>
    <t>omega_</t>
  </si>
  <si>
    <t>pi_34,</t>
  </si>
  <si>
    <t>pi_36,</t>
  </si>
  <si>
    <t>pi_46,</t>
  </si>
  <si>
    <t>pi_56,</t>
  </si>
  <si>
    <t>pi_67,</t>
  </si>
  <si>
    <t>theta_1,</t>
  </si>
  <si>
    <t>theta_2,</t>
  </si>
  <si>
    <t>theta_3,</t>
  </si>
  <si>
    <t>theta_4,</t>
  </si>
  <si>
    <t>varpi_1(1)</t>
  </si>
  <si>
    <t>varpi_1(2)</t>
  </si>
  <si>
    <t>varpi_1(3)</t>
  </si>
  <si>
    <t>varpi_2(1)</t>
  </si>
  <si>
    <t>varpi_2(2)</t>
  </si>
  <si>
    <t>varpi_2(3)</t>
  </si>
  <si>
    <t>eta_12,1(1)</t>
  </si>
  <si>
    <t>eta_12,1(2)</t>
  </si>
  <si>
    <t>eta_12,1(3)</t>
  </si>
  <si>
    <t>eta_23,1(1)</t>
  </si>
  <si>
    <t>eta_23,1(2)</t>
  </si>
  <si>
    <t>eta_23,1(3)</t>
  </si>
  <si>
    <t>eta_24,1(1)</t>
  </si>
  <si>
    <t>eta_24,1(2)</t>
  </si>
  <si>
    <t>eta_24,1(3)</t>
  </si>
  <si>
    <t>eta_34,1(1)</t>
  </si>
  <si>
    <t>eta_34,1(2)</t>
  </si>
  <si>
    <t>eta_34,1(3)</t>
  </si>
  <si>
    <t>eta_12,2(1)</t>
  </si>
  <si>
    <t>eta_12,2(2)</t>
  </si>
  <si>
    <t>eta_12,2(3)</t>
  </si>
  <si>
    <t>eta_23,2(1)</t>
  </si>
  <si>
    <t>eta_23,2(2)</t>
  </si>
  <si>
    <t>eta_23,2(3)</t>
  </si>
  <si>
    <t>eta_24,2(1)</t>
  </si>
  <si>
    <t>eta_24,2(2)</t>
  </si>
  <si>
    <t>eta_24,2(3)</t>
  </si>
  <si>
    <t>eta_34,2(1)</t>
  </si>
  <si>
    <t>eta_34,2(2)</t>
  </si>
  <si>
    <t>eta_34,2(3)</t>
  </si>
  <si>
    <t>alpha^in_1,1,1,1</t>
  </si>
  <si>
    <t>alpha^in_1,1,1,2</t>
  </si>
  <si>
    <t>alpha^in_1,1,2,1</t>
  </si>
  <si>
    <t>alpha^in_1,1,2,2</t>
  </si>
  <si>
    <t>alpha^in_3,1,1,1</t>
  </si>
  <si>
    <t>alpha^in_3,1,1,2</t>
  </si>
  <si>
    <t>alpha^in_3,1,2,1</t>
  </si>
  <si>
    <t>alpha^in_3,1,2,2</t>
  </si>
  <si>
    <t>alpha^in_4,1,1,1</t>
  </si>
  <si>
    <t>alpha^in_4,1,1,2</t>
  </si>
  <si>
    <t>alpha^in_4,1,2,1</t>
  </si>
  <si>
    <t>alpha^in_4,1,2,2</t>
  </si>
  <si>
    <t>alpha^in_1,2,1,1</t>
  </si>
  <si>
    <t>alpha^in_1,2,1,2</t>
  </si>
  <si>
    <t>alpha^in_1,2,2,1</t>
  </si>
  <si>
    <t>alpha^in_1,2,2,2</t>
  </si>
  <si>
    <t>alpha^in_3,2,1,1</t>
  </si>
  <si>
    <t>alpha^in_3,2,1,2</t>
  </si>
  <si>
    <t>alpha^in_3,2,2,1</t>
  </si>
  <si>
    <t>alpha^in_3,2,2,2</t>
  </si>
  <si>
    <t>alpha^in_4,2,1,1</t>
  </si>
  <si>
    <t>alpha^in_4,2,1,2</t>
  </si>
  <si>
    <t>alpha^in_4,2,2,1</t>
  </si>
  <si>
    <t>alpha^in_4,2,2,2</t>
  </si>
  <si>
    <t>mu_1,1,1</t>
  </si>
  <si>
    <t>mu_1,1,2</t>
  </si>
  <si>
    <t>mu_1,2,1</t>
  </si>
  <si>
    <t>mu_1,2,2</t>
  </si>
  <si>
    <t>mu_1,3,1</t>
  </si>
  <si>
    <t>mu_1,3,2</t>
  </si>
  <si>
    <t>mu_1,4,1</t>
  </si>
  <si>
    <t>mu_1,4,2</t>
  </si>
  <si>
    <t>mu_2,1,1</t>
  </si>
  <si>
    <t>mu_2,1,2</t>
  </si>
  <si>
    <t>mu_2,2,1</t>
  </si>
  <si>
    <t>mu_2,2,2</t>
  </si>
  <si>
    <t>mu_2,3,1</t>
  </si>
  <si>
    <t>mu_2,3,2</t>
  </si>
  <si>
    <t>mu_2,4,1</t>
  </si>
  <si>
    <t>mu_2,4,2</t>
  </si>
  <si>
    <t>mu_3,1,1</t>
  </si>
  <si>
    <t>mu_3,1,2</t>
  </si>
  <si>
    <t>mu_3,2,1</t>
  </si>
  <si>
    <t>mu_3,2,2</t>
  </si>
  <si>
    <t>mu_3,3,1</t>
  </si>
  <si>
    <t>mu_3,3,2</t>
  </si>
  <si>
    <t>mu_3,4,1</t>
  </si>
  <si>
    <t>mu_3,4,2</t>
  </si>
  <si>
    <t>mu_4,1,1</t>
  </si>
  <si>
    <t>mu_4,1,2</t>
  </si>
  <si>
    <t>mu_4,2,1</t>
  </si>
  <si>
    <t>mu_4,2,2</t>
  </si>
  <si>
    <t>mu_4,3,1</t>
  </si>
  <si>
    <t>mu_4,3,2</t>
  </si>
  <si>
    <t>mu_4,4,1</t>
  </si>
  <si>
    <t>mu_4,4,2</t>
  </si>
  <si>
    <t>mu_5,1,1</t>
  </si>
  <si>
    <t>mu_5,1,2</t>
  </si>
  <si>
    <t>mu_5,2,1</t>
  </si>
  <si>
    <t>mu_5,2,2</t>
  </si>
  <si>
    <t>mu_5,3,1</t>
  </si>
  <si>
    <t>mu_5,3,2</t>
  </si>
  <si>
    <t>mu_5,4,1</t>
  </si>
  <si>
    <t>mu_5,4,2</t>
  </si>
  <si>
    <t>mu_6,1,1</t>
  </si>
  <si>
    <t>mu_6,1,2</t>
  </si>
  <si>
    <t>mu_6,2,1</t>
  </si>
  <si>
    <t>mu_6,2,2</t>
  </si>
  <si>
    <t>mu_6,3,1</t>
  </si>
  <si>
    <t>mu_6,3,2</t>
  </si>
  <si>
    <t>mu_6,4,1</t>
  </si>
  <si>
    <t>mu_6,4,2</t>
  </si>
  <si>
    <t>mu_7,1,1</t>
  </si>
  <si>
    <t>mu_7,1,2</t>
  </si>
  <si>
    <t>mu_7,2,1</t>
  </si>
  <si>
    <t>mu_7,2,2</t>
  </si>
  <si>
    <t>mu_7,3,1</t>
  </si>
  <si>
    <t>mu_7,3,2</t>
  </si>
  <si>
    <t>mu_7,4,1</t>
  </si>
  <si>
    <t>mu_7,4,2</t>
  </si>
  <si>
    <t>mu_8,1,1</t>
  </si>
  <si>
    <t>mu_8,1,2</t>
  </si>
  <si>
    <t>mu_8,2,1</t>
  </si>
  <si>
    <t>mu_8,2,2</t>
  </si>
  <si>
    <t>mu_8,3,1</t>
  </si>
  <si>
    <t>mu_8,3,2</t>
  </si>
  <si>
    <t>mu_8,4,1</t>
  </si>
  <si>
    <t>mu_8,4,2</t>
  </si>
  <si>
    <t>Matched Model Parameter (auto generated)</t>
  </si>
  <si>
    <t>?????</t>
  </si>
  <si>
    <t>ART initiation at low CD4 - CG unsure of the connection to the parameters in indirect model params</t>
  </si>
  <si>
    <t>Emily's paper (percent per year)</t>
  </si>
  <si>
    <t>Total population size</t>
  </si>
  <si>
    <t>evaluate populations between 15 and 59 that age out at 60 and age in at 15</t>
  </si>
  <si>
    <t>alpha^in_6,1,1,1</t>
  </si>
  <si>
    <t>alpha^in_6,1,1,2</t>
  </si>
  <si>
    <t>alpha^in_6,1,2,1</t>
  </si>
  <si>
    <t>alpha^in_6,1,2,2</t>
  </si>
  <si>
    <t>alpha^in_6,2,1,1</t>
  </si>
  <si>
    <t>alpha^in_6,2,1,2</t>
  </si>
  <si>
    <t>alpha^in_6,2,2,1</t>
  </si>
  <si>
    <t>alpha^in_6,2,2,2</t>
  </si>
  <si>
    <t>Assumed</t>
  </si>
  <si>
    <t>PMID: 32551948</t>
  </si>
  <si>
    <t>decrease in expected transmissibility of TB for populations that are HIV +, CD4 &gt; 200, not on ART</t>
  </si>
  <si>
    <t>decrease in expected transmissibility for populations that are HIV +, CD4 &lt;= 200, not on ART</t>
  </si>
  <si>
    <t>decrease in expected transmissibility for populations that are HIV +, on ART</t>
  </si>
  <si>
    <t>Huang 2020</t>
  </si>
  <si>
    <t>PUB MED ID: Martinez 32770236, Huang 24368620, Williams 20974976</t>
  </si>
  <si>
    <t>Martinez 2020, Huang 2014, Williams</t>
  </si>
  <si>
    <t>Values taken from Huang and supported by the other studies.</t>
  </si>
  <si>
    <t>3.7% is the 2019 value. Use historical value? 2013 and 2014 are listed as 1.8% for new cases and 6.7% for retreatment</t>
  </si>
  <si>
    <t>Andrews 2012</t>
  </si>
  <si>
    <t>PMID: 22267721. This analysis looked at active TB rather then LTBI, but is the best estimate that I've found.</t>
  </si>
  <si>
    <t>This is the reference category (HIV-). All HIV+ values are lower relative to this category.</t>
  </si>
  <si>
    <t>Proportion LTBI, infected recently</t>
  </si>
  <si>
    <t>Proportion LTBI, infected remotely</t>
  </si>
  <si>
    <t>Proportion unifected, not on IPT</t>
  </si>
  <si>
    <t>Proportion unifected,  on IPT</t>
  </si>
  <si>
    <t>Proportion, LTBI, on IPT</t>
  </si>
  <si>
    <t>Percentage of active TB pop HIV- male</t>
  </si>
  <si>
    <t>Percentage of active TB pop with HIV- female</t>
  </si>
  <si>
    <t>TB Ajust - Based on Unifected, LTBI, Infected, groupings)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</si>
</sst>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0.00000"/>
  </numFmts>
  <fonts count="2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Times"/>
      <family val="1"/>
    </font>
    <font>
      <sz val="11"/>
      <color rgb="FF212121"/>
      <name val="Helvetica Neue"/>
      <family val="2"/>
    </font>
    <font>
      <sz val="10"/>
      <color rgb="FF21212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20376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8" fillId="0" borderId="0" applyNumberFormat="0" applyFill="0" applyBorder="0" applyAlignment="0" applyProtection="0"/>
    <xf numFmtId="43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0" fontId="3" fillId="0" borderId="0"/>
  </cellStyleXfs>
  <cellXfs count="70">
    <xf numFmtId="0" fontId="0" fillId="0" borderId="0" xfId="0"/>
    <xf numFmtId="0" fontId="0" fillId="0" borderId="0" xfId="0" applyAlignment="1">
      <alignment wrapText="1"/>
    </xf>
    <xf numFmtId="0" fontId="13" fillId="2" borderId="0" xfId="0" applyFont="1" applyFill="1" applyAlignment="1">
      <alignment wrapText="1"/>
    </xf>
    <xf numFmtId="0" fontId="13" fillId="0" borderId="0" xfId="0" applyFont="1" applyFill="1"/>
    <xf numFmtId="0" fontId="0" fillId="0" borderId="0" xfId="0" applyFill="1"/>
    <xf numFmtId="0" fontId="12" fillId="2" borderId="0" xfId="0" applyFont="1" applyFill="1" applyAlignment="1">
      <alignment vertical="center" wrapText="1"/>
    </xf>
    <xf numFmtId="0" fontId="12" fillId="2" borderId="0" xfId="0" applyFont="1" applyFill="1" applyAlignment="1">
      <alignment vertical="center"/>
    </xf>
    <xf numFmtId="0" fontId="12" fillId="0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Fill="1" applyAlignment="1">
      <alignment vertical="center"/>
    </xf>
    <xf numFmtId="0" fontId="0" fillId="0" borderId="0" xfId="0" applyFill="1" applyAlignment="1">
      <alignment vertical="center" wrapText="1"/>
    </xf>
    <xf numFmtId="0" fontId="12" fillId="4" borderId="0" xfId="0" applyFont="1" applyFill="1" applyAlignment="1">
      <alignment vertical="center" wrapText="1"/>
    </xf>
    <xf numFmtId="0" fontId="12" fillId="4" borderId="0" xfId="0" applyFont="1" applyFill="1" applyAlignment="1">
      <alignment vertical="center"/>
    </xf>
    <xf numFmtId="0" fontId="12" fillId="3" borderId="0" xfId="0" applyFont="1" applyFill="1" applyAlignment="1">
      <alignment vertical="center" wrapText="1"/>
    </xf>
    <xf numFmtId="0" fontId="12" fillId="3" borderId="0" xfId="0" applyFont="1" applyFill="1" applyAlignment="1">
      <alignment vertical="center"/>
    </xf>
    <xf numFmtId="0" fontId="13" fillId="5" borderId="0" xfId="0" applyFont="1" applyFill="1"/>
    <xf numFmtId="0" fontId="13" fillId="5" borderId="0" xfId="0" applyFont="1" applyFill="1" applyAlignment="1">
      <alignment wrapText="1"/>
    </xf>
    <xf numFmtId="0" fontId="11" fillId="0" borderId="0" xfId="0" applyFont="1" applyAlignment="1">
      <alignment wrapText="1"/>
    </xf>
    <xf numFmtId="2" fontId="0" fillId="0" borderId="0" xfId="0" applyNumberFormat="1" applyAlignment="1">
      <alignment wrapText="1"/>
    </xf>
    <xf numFmtId="0" fontId="11" fillId="0" borderId="0" xfId="0" applyFont="1" applyFill="1" applyAlignment="1">
      <alignment vertical="center" wrapText="1"/>
    </xf>
    <xf numFmtId="0" fontId="11" fillId="0" borderId="0" xfId="0" applyFont="1" applyAlignment="1">
      <alignment vertical="center" wrapText="1"/>
    </xf>
    <xf numFmtId="0" fontId="10" fillId="0" borderId="0" xfId="0" applyFont="1" applyFill="1" applyAlignment="1">
      <alignment vertical="center" wrapText="1"/>
    </xf>
    <xf numFmtId="0" fontId="0" fillId="6" borderId="0" xfId="0" applyFill="1" applyAlignment="1">
      <alignment vertical="center" wrapText="1"/>
    </xf>
    <xf numFmtId="0" fontId="9" fillId="0" borderId="0" xfId="0" applyFont="1" applyAlignment="1">
      <alignment wrapText="1"/>
    </xf>
    <xf numFmtId="1" fontId="0" fillId="0" borderId="0" xfId="0" applyNumberFormat="1" applyAlignment="1">
      <alignment wrapText="1"/>
    </xf>
    <xf numFmtId="0" fontId="8" fillId="0" borderId="0" xfId="0" applyFont="1" applyAlignment="1">
      <alignment wrapText="1"/>
    </xf>
    <xf numFmtId="0" fontId="16" fillId="0" borderId="0" xfId="0" applyFont="1" applyAlignment="1">
      <alignment vertical="center" wrapText="1"/>
    </xf>
    <xf numFmtId="0" fontId="0" fillId="6" borderId="0" xfId="0" applyFill="1"/>
    <xf numFmtId="0" fontId="8" fillId="0" borderId="0" xfId="0" applyFont="1" applyFill="1" applyAlignment="1">
      <alignment vertical="center" wrapText="1"/>
    </xf>
    <xf numFmtId="0" fontId="0" fillId="6" borderId="0" xfId="0" applyFill="1" applyAlignment="1">
      <alignment wrapText="1"/>
    </xf>
    <xf numFmtId="0" fontId="7" fillId="7" borderId="0" xfId="0" applyFont="1" applyFill="1" applyAlignment="1">
      <alignment wrapText="1"/>
    </xf>
    <xf numFmtId="0" fontId="6" fillId="7" borderId="0" xfId="0" applyFont="1" applyFill="1" applyAlignment="1">
      <alignment wrapText="1"/>
    </xf>
    <xf numFmtId="0" fontId="5" fillId="0" borderId="0" xfId="0" applyFont="1" applyFill="1" applyAlignment="1">
      <alignment vertical="center" wrapText="1"/>
    </xf>
    <xf numFmtId="0" fontId="0" fillId="8" borderId="0" xfId="0" applyFill="1" applyAlignment="1">
      <alignment vertical="center" wrapText="1"/>
    </xf>
    <xf numFmtId="0" fontId="0" fillId="0" borderId="0" xfId="0" applyFill="1" applyAlignment="1">
      <alignment wrapText="1"/>
    </xf>
    <xf numFmtId="0" fontId="4" fillId="7" borderId="0" xfId="0" applyFont="1" applyFill="1" applyAlignment="1">
      <alignment wrapText="1"/>
    </xf>
    <xf numFmtId="1" fontId="0" fillId="6" borderId="0" xfId="0" applyNumberFormat="1" applyFill="1" applyAlignment="1">
      <alignment horizontal="center" vertical="center" wrapText="1"/>
    </xf>
    <xf numFmtId="0" fontId="12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2" fontId="0" fillId="0" borderId="0" xfId="0" applyNumberFormat="1" applyAlignment="1">
      <alignment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43" fontId="0" fillId="0" borderId="0" xfId="0" applyNumberFormat="1"/>
    <xf numFmtId="9" fontId="0" fillId="0" borderId="0" xfId="3" applyFont="1"/>
    <xf numFmtId="165" fontId="0" fillId="0" borderId="0" xfId="3" applyNumberFormat="1" applyFont="1"/>
    <xf numFmtId="0" fontId="20" fillId="9" borderId="0" xfId="0" applyFont="1" applyFill="1" applyAlignment="1">
      <alignment vertical="center" wrapText="1"/>
    </xf>
    <xf numFmtId="166" fontId="0" fillId="0" borderId="0" xfId="0" applyNumberFormat="1"/>
    <xf numFmtId="164" fontId="0" fillId="0" borderId="0" xfId="2" applyNumberFormat="1" applyFont="1" applyAlignment="1">
      <alignment wrapText="1"/>
    </xf>
    <xf numFmtId="166" fontId="0" fillId="0" borderId="0" xfId="0" applyNumberFormat="1" applyFill="1" applyAlignment="1">
      <alignment vertical="center" wrapText="1"/>
    </xf>
    <xf numFmtId="0" fontId="0" fillId="0" borderId="0" xfId="0" applyFont="1" applyAlignment="1">
      <alignment vertical="center" wrapText="1"/>
    </xf>
    <xf numFmtId="0" fontId="0" fillId="0" borderId="0" xfId="0" applyFont="1" applyFill="1" applyAlignment="1">
      <alignment vertical="center" wrapText="1"/>
    </xf>
    <xf numFmtId="0" fontId="0" fillId="0" borderId="0" xfId="0" applyFont="1" applyFill="1" applyAlignment="1">
      <alignment vertical="center"/>
    </xf>
    <xf numFmtId="0" fontId="0" fillId="0" borderId="0" xfId="0" applyFont="1" applyAlignment="1">
      <alignment wrapText="1"/>
    </xf>
    <xf numFmtId="0" fontId="22" fillId="0" borderId="0" xfId="0" applyFont="1" applyAlignment="1">
      <alignment wrapText="1"/>
    </xf>
    <xf numFmtId="0" fontId="23" fillId="0" borderId="0" xfId="0" applyFont="1"/>
    <xf numFmtId="0" fontId="18" fillId="0" borderId="0" xfId="1" applyFont="1"/>
    <xf numFmtId="0" fontId="12" fillId="2" borderId="0" xfId="0" applyFont="1" applyFill="1"/>
    <xf numFmtId="0" fontId="12" fillId="2" borderId="0" xfId="0" applyFont="1" applyFill="1" applyAlignment="1">
      <alignment wrapText="1"/>
    </xf>
    <xf numFmtId="0" fontId="12" fillId="5" borderId="0" xfId="0" applyFont="1" applyFill="1"/>
    <xf numFmtId="0" fontId="12" fillId="5" borderId="0" xfId="0" applyFont="1" applyFill="1" applyAlignment="1">
      <alignment wrapText="1"/>
    </xf>
    <xf numFmtId="0" fontId="21" fillId="10" borderId="0" xfId="0" applyFont="1" applyFill="1" applyAlignment="1">
      <alignment wrapText="1"/>
    </xf>
    <xf numFmtId="0" fontId="2" fillId="0" borderId="0" xfId="0" applyFont="1" applyAlignment="1">
      <alignment wrapText="1"/>
    </xf>
    <xf numFmtId="0" fontId="16" fillId="0" borderId="0" xfId="0" applyFont="1"/>
    <xf numFmtId="0" fontId="24" fillId="0" borderId="0" xfId="0" applyFont="1" applyAlignment="1">
      <alignment horizontal="left" vertical="center" wrapText="1" indent="1"/>
    </xf>
    <xf numFmtId="0" fontId="1" fillId="7" borderId="0" xfId="0" applyFont="1" applyFill="1" applyAlignment="1">
      <alignment wrapText="1"/>
    </xf>
    <xf numFmtId="0" fontId="7" fillId="11" borderId="0" xfId="0" applyFont="1" applyFill="1" applyAlignment="1">
      <alignment wrapText="1"/>
    </xf>
    <xf numFmtId="0" fontId="1" fillId="0" borderId="0" xfId="0" applyFont="1" applyFill="1" applyAlignment="1">
      <alignment vertical="center" wrapText="1"/>
    </xf>
    <xf numFmtId="0" fontId="1" fillId="11" borderId="0" xfId="0" applyFont="1" applyFill="1" applyAlignment="1">
      <alignment wrapText="1"/>
    </xf>
  </cellXfs>
  <cellStyles count="5">
    <cellStyle name="Comma" xfId="2" builtinId="3"/>
    <cellStyle name="Hyperlink" xfId="1" builtinId="8"/>
    <cellStyle name="Normal" xfId="0" builtinId="0"/>
    <cellStyle name="Normal 2" xfId="4" xr:uid="{5D97DEA6-68C3-8249-A243-040086A711B9}"/>
    <cellStyle name="Percent" xfId="3" builtinId="5"/>
  </cellStyles>
  <dxfs count="8">
    <dxf>
      <font>
        <sz val="12"/>
      </font>
    </dxf>
    <dxf>
      <font>
        <sz val="12"/>
      </font>
    </dxf>
    <dxf>
      <alignment wrapText="1"/>
    </dxf>
    <dxf>
      <alignment wrapText="1"/>
    </dxf>
    <dxf>
      <font>
        <b/>
      </font>
    </dxf>
    <dxf>
      <font>
        <b/>
      </font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Chelsea Greene" id="{9E204584-B746-014C-A8AD-D4B2CBCA960E}" userId="4fbef36339d9ec32" providerId="Windows Live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elsea Greene" refreshedDate="44075.70805011574" createdVersion="6" refreshedVersion="6" minRefreshableVersion="3" recordCount="128" xr:uid="{6D53CEE7-F7AA-E847-A2A2-AD68EF560F2C}">
  <cacheSource type="worksheet">
    <worksheetSource ref="A1:Q129" sheet="pop_init"/>
  </cacheSource>
  <cacheFields count="17">
    <cacheField name="Description (Pop Init in 2017)" numFmtId="0">
      <sharedItems/>
    </cacheField>
    <cacheField name="notation" numFmtId="0">
      <sharedItems/>
    </cacheField>
    <cacheField name="TB compartment" numFmtId="0">
      <sharedItems containsSemiMixedTypes="0" containsString="0" containsNumber="1" containsInteger="1" minValue="1" maxValue="8" count="8">
        <n v="1"/>
        <n v="2"/>
        <n v="3"/>
        <n v="4"/>
        <n v="5"/>
        <n v="6"/>
        <n v="7"/>
        <n v="8"/>
      </sharedItems>
    </cacheField>
    <cacheField name="DR compartment" numFmtId="0">
      <sharedItems containsSemiMixedTypes="0" containsString="0" containsNumber="1" containsInteger="1" minValue="1" maxValue="2" count="2">
        <n v="1"/>
        <n v="2"/>
      </sharedItems>
    </cacheField>
    <cacheField name="HIV compartment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G compartment" numFmtId="0">
      <sharedItems containsSemiMixedTypes="0" containsString="0" containsNumber="1" containsInteger="1" minValue="1" maxValue="2" count="2">
        <n v="1"/>
        <n v="2"/>
      </sharedItems>
    </cacheField>
    <cacheField name="Matched Model Parameter" numFmtId="0">
      <sharedItems count="128">
        <s v="N,1,1,1,1"/>
        <s v="N,1,2,1,1"/>
        <s v="N,1,2,1,2"/>
        <s v="N,1,1,1,2"/>
        <s v="N,1,2,2,1"/>
        <s v="N,1,1,2,1"/>
        <s v="N,1,2,2,2"/>
        <s v="N,1,1,2,2"/>
        <s v="N,1,2,3,1"/>
        <s v="N,1,1,3,1"/>
        <s v="N,1,2,3,2"/>
        <s v="N,1,1,3,2"/>
        <s v="N,1,2,4,1"/>
        <s v="N,1,1,4,1"/>
        <s v="N,1,2,4,2"/>
        <s v="N,1,1,4,2"/>
        <s v="N,2,1,1,1"/>
        <s v="N,2,2,1,1"/>
        <s v="N,2,1,1,2"/>
        <s v="N,2,2,1,2"/>
        <s v="N,2,1,2,1"/>
        <s v="N,2,2,2,1"/>
        <s v="N,2,1,2,2"/>
        <s v="N,2,2,2,2"/>
        <s v="N,2,1,3,1"/>
        <s v="N,2,2,3,1"/>
        <s v="N,2,1,3,2"/>
        <s v="N,2,2,3,2"/>
        <s v="N,2,1,4,1"/>
        <s v="N,2,2,4,1"/>
        <s v="N,2,1,4,2"/>
        <s v="N,2,2,4,2"/>
        <s v="N,3,1,1,1"/>
        <s v="N,3,2,1,1"/>
        <s v="N,3,1,1,2"/>
        <s v="N,3,2,1,2"/>
        <s v="N,3,1,2,1"/>
        <s v="N,3,2,2,1"/>
        <s v="N,3,1,2,2"/>
        <s v="N,3,2,2,2"/>
        <s v="N,3,1,3,1"/>
        <s v="N,3,2,3,1"/>
        <s v="N,3,1,3,2"/>
        <s v="N,3,2,3,2"/>
        <s v="N,3,1,4,1"/>
        <s v="N,3,2,4,1"/>
        <s v="N,3,1,4,2"/>
        <s v="N,3,2,4,2"/>
        <s v="N,4,1,1,1"/>
        <s v="N,4,2,1,1"/>
        <s v="N,4,1,1,2"/>
        <s v="N,4,2,1,2"/>
        <s v="N,4,1,2,1"/>
        <s v="N,4,2,2,1"/>
        <s v="N,4,1,2,2"/>
        <s v="N,4,2,2,2"/>
        <s v="N,4,1,3,1"/>
        <s v="N,4,2,3,1"/>
        <s v="N,4,1,3,2"/>
        <s v="N,4,2,3,2"/>
        <s v="N,4,1,4,1"/>
        <s v="N,4,2,4,1"/>
        <s v="N,4,1,4,2"/>
        <s v="N,4,2,4,2"/>
        <s v="N,5,1,1,1"/>
        <s v="N,5,2,1,1"/>
        <s v="N,5,1,1,2"/>
        <s v="N,5,2,1,2"/>
        <s v="N,5,1,2,1"/>
        <s v="N,5,2,2,1"/>
        <s v="N,5,1,2,2"/>
        <s v="N,5,2,2,2"/>
        <s v="N,5,1,3,1"/>
        <s v="N,5,2,3,1"/>
        <s v="N,5,1,3,2"/>
        <s v="N,5,2,3,2"/>
        <s v="N,5,1,4,1"/>
        <s v="N,5,2,4,1"/>
        <s v="N,5,1,4,2"/>
        <s v="N,5,2,4,2"/>
        <s v="N,6,1,1,1"/>
        <s v="N,6,2,1,1"/>
        <s v="N,6,1,1,2"/>
        <s v="N,6,2,1,2"/>
        <s v="N,6,1,2,1"/>
        <s v="N,6,2,2,1"/>
        <s v="N,6,1,2,2"/>
        <s v="N,6,2,2,2"/>
        <s v="N,6,1,3,1"/>
        <s v="N,6,2,3,1"/>
        <s v="N,6,1,3,2"/>
        <s v="N,6,2,3,2"/>
        <s v="N,6,1,4,1"/>
        <s v="N,6,2,4,1"/>
        <s v="N,6,1,4,2"/>
        <s v="N,6,2,4,2"/>
        <s v="N,7,1,1,1"/>
        <s v="N,7,2,1,1"/>
        <s v="N,7,1,1,2"/>
        <s v="N,7,2,1,2"/>
        <s v="N,7,1,2,1"/>
        <s v="N,7,2,2,1"/>
        <s v="N,7,1,2,2"/>
        <s v="N,7,2,2,2"/>
        <s v="N,7,1,3,1"/>
        <s v="N,7,2,3,1"/>
        <s v="N,7,1,3,2"/>
        <s v="N,7,2,3,2"/>
        <s v="N,7,1,4,1"/>
        <s v="N,7,2,4,1"/>
        <s v="N,7,1,4,2"/>
        <s v="N,7,2,4,2"/>
        <s v="N,8,1,1,1"/>
        <s v="N,8,2,1,1"/>
        <s v="N,8,1,1,2"/>
        <s v="N,8,2,1,2"/>
        <s v="N,8,1,2,1"/>
        <s v="N,8,2,2,1"/>
        <s v="N,8,1,2,2"/>
        <s v="N,8,2,2,2"/>
        <s v="N,8,1,3,1"/>
        <s v="N,8,2,3,1"/>
        <s v="N,8,1,3,2"/>
        <s v="N,8,2,3,2"/>
        <s v="N,8,1,4,1"/>
        <s v="N,8,2,4,1"/>
        <s v="N,8,1,4,2"/>
        <s v="N,8,2,4,2"/>
      </sharedItems>
    </cacheField>
    <cacheField name="TB Ajust" numFmtId="0">
      <sharedItems containsSemiMixedTypes="0" containsString="0" containsNumber="1" minValue="0" maxValue="0.8"/>
    </cacheField>
    <cacheField name="DR adj" numFmtId="0">
      <sharedItems containsSemiMixedTypes="0" containsString="0" containsNumber="1" minValue="0" maxValue="1"/>
    </cacheField>
    <cacheField name="HIV adj" numFmtId="0">
      <sharedItems containsSemiMixedTypes="0" containsString="0" containsNumber="1" minValue="5.3999999999999979E-2" maxValue="0.7"/>
    </cacheField>
    <cacheField name="G adj" numFmtId="0">
      <sharedItems containsNonDate="0" containsString="0" containsBlank="1"/>
    </cacheField>
    <cacheField name="Factor" numFmtId="0">
      <sharedItems containsSemiMixedTypes="0" containsString="0" containsNumber="1" minValue="0" maxValue="0.35"/>
    </cacheField>
    <cacheField name="Proportion in compartment" numFmtId="0">
      <sharedItems containsSemiMixedTypes="0" containsString="0" containsNumber="1" minValue="0" maxValue="7.3216304392392559E-2" count="18">
        <n v="7.3216304392392559E-2"/>
        <n v="0"/>
        <n v="1.7258128892492536E-2"/>
        <n v="5.648114910270282E-3"/>
        <n v="8.4721723654054264E-3"/>
        <n v="7.1256889654243358E-2"/>
        <n v="4.9508865030135853E-4"/>
        <n v="1.1908108935819849E-4"/>
        <n v="3.8971992880864944E-5"/>
        <n v="5.8457989321297437E-5"/>
        <n v="1.4542222378417012E-3"/>
        <n v="1.0103850006150174E-5"/>
        <n v="1.4289730722983818E-4"/>
        <n v="1.9052974297311762E-4"/>
        <n v="4.6766391457037933E-5"/>
        <n v="6.2355188609383925E-5"/>
        <n v="7.0149587185556927E-5"/>
        <n v="9.3532782914075921E-5"/>
      </sharedItems>
    </cacheField>
    <cacheField name="initialized population in compartment" numFmtId="1">
      <sharedItems containsSemiMixedTypes="0" containsString="0" containsNumber="1" minValue="0" maxValue="7321.6304392392558" count="18">
        <n v="7321.6304392392558"/>
        <n v="0"/>
        <n v="1725.8128892492537"/>
        <n v="564.81149102702818"/>
        <n v="847.21723654054267"/>
        <n v="7125.6889654243359"/>
        <n v="49.508865030135851"/>
        <n v="11.908108935819849"/>
        <n v="3.8971992880864943"/>
        <n v="5.8457989321297434"/>
        <n v="145.42222378417011"/>
        <n v="1.0103850006150175"/>
        <n v="14.289730722983817"/>
        <n v="19.052974297311764"/>
        <n v="4.6766391457037937"/>
        <n v="6.2355188609383925"/>
        <n v="7.0149587185556923"/>
        <n v="9.3532782914075927"/>
      </sharedItems>
    </cacheField>
    <cacheField name="Reference-low" numFmtId="0">
      <sharedItems containsNonDate="0" containsString="0" containsBlank="1"/>
    </cacheField>
    <cacheField name="Reference-high" numFmtId="0">
      <sharedItems containsNonDate="0" containsString="0" containsBlank="1"/>
    </cacheField>
    <cacheField name="Reference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8">
  <r>
    <s v="Population in TB compartment  Uninfected, not on IPT with Drug-susceptible (DS) in HIV compartment  HIV-negative and Male"/>
    <s v="N"/>
    <x v="0"/>
    <x v="0"/>
    <x v="0"/>
    <x v="0"/>
    <x v="0"/>
    <n v="0.5"/>
    <n v="1"/>
    <n v="0.7"/>
    <m/>
    <n v="0.35"/>
    <x v="0"/>
    <x v="0"/>
    <m/>
    <m/>
    <m/>
  </r>
  <r>
    <s v="Population in TB compartment  Uninfected, not on IPT with  Multidrug-resistant (MDR-TB) in HIV compartment  HIV-negative and Male"/>
    <s v="N"/>
    <x v="0"/>
    <x v="1"/>
    <x v="0"/>
    <x v="0"/>
    <x v="1"/>
    <n v="0.5"/>
    <n v="0"/>
    <n v="0.7"/>
    <m/>
    <n v="0"/>
    <x v="1"/>
    <x v="1"/>
    <m/>
    <m/>
    <m/>
  </r>
  <r>
    <s v="Population in TB compartment  Uninfected, not on IPT with  Multidrug-resistant (MDR-TB) in HIV compartment  HIV-negative and Female"/>
    <s v="N"/>
    <x v="0"/>
    <x v="1"/>
    <x v="0"/>
    <x v="1"/>
    <x v="2"/>
    <n v="0.5"/>
    <n v="0"/>
    <n v="0.7"/>
    <m/>
    <n v="0"/>
    <x v="1"/>
    <x v="1"/>
    <m/>
    <m/>
    <m/>
  </r>
  <r>
    <s v="Population in TB compartment  Uninfected, not on IPT with Drug-susceptible (DS) in HIV compartment  HIV-negative and Female"/>
    <s v="N"/>
    <x v="0"/>
    <x v="0"/>
    <x v="0"/>
    <x v="1"/>
    <x v="3"/>
    <n v="0.5"/>
    <n v="1"/>
    <n v="0.7"/>
    <m/>
    <n v="0.35"/>
    <x v="0"/>
    <x v="0"/>
    <m/>
    <m/>
    <m/>
  </r>
  <r>
    <s v="Population in TB compartment  Uninfected, not on IPT with  Multidrug-resistant (MDR-TB) in HIV compartment  PLHIV not on ART, CD4&gt;200 and Male"/>
    <s v="N"/>
    <x v="0"/>
    <x v="1"/>
    <x v="1"/>
    <x v="0"/>
    <x v="4"/>
    <n v="0.5"/>
    <n v="0"/>
    <n v="0.16500000000000001"/>
    <m/>
    <n v="0"/>
    <x v="1"/>
    <x v="1"/>
    <m/>
    <m/>
    <m/>
  </r>
  <r>
    <s v="Population in TB compartment  Uninfected, not on IPT with Drug-susceptible (DS) in HIV compartment  PLHIV not on ART, CD4&gt;200 and Male"/>
    <s v="N"/>
    <x v="0"/>
    <x v="0"/>
    <x v="1"/>
    <x v="0"/>
    <x v="5"/>
    <n v="0.5"/>
    <n v="1"/>
    <n v="0.16500000000000001"/>
    <m/>
    <n v="8.2500000000000004E-2"/>
    <x v="2"/>
    <x v="2"/>
    <m/>
    <m/>
    <m/>
  </r>
  <r>
    <s v="Population in TB compartment  Uninfected, not on IPT with  Multidrug-resistant (MDR-TB) in HIV compartment  PLHIV not on ART, CD4&gt;200 and Female"/>
    <s v="N"/>
    <x v="0"/>
    <x v="1"/>
    <x v="1"/>
    <x v="1"/>
    <x v="6"/>
    <n v="0.5"/>
    <n v="0"/>
    <n v="0.16500000000000001"/>
    <m/>
    <n v="0"/>
    <x v="1"/>
    <x v="1"/>
    <m/>
    <m/>
    <m/>
  </r>
  <r>
    <s v="Population in TB compartment  Uninfected, not on IPT with Drug-susceptible (DS) in HIV compartment  PLHIV not on ART, CD4&gt;200 and Female"/>
    <s v="N"/>
    <x v="0"/>
    <x v="0"/>
    <x v="1"/>
    <x v="1"/>
    <x v="7"/>
    <n v="0.5"/>
    <n v="1"/>
    <n v="0.16500000000000001"/>
    <m/>
    <n v="8.2500000000000004E-2"/>
    <x v="2"/>
    <x v="2"/>
    <m/>
    <m/>
    <m/>
  </r>
  <r>
    <s v="Population in TB compartment  Uninfected, not on IPT with  Multidrug-resistant (MDR-TB) in HIV compartment  PLHIV not on ART, CD4≤200 and Male"/>
    <s v="N"/>
    <x v="0"/>
    <x v="1"/>
    <x v="2"/>
    <x v="0"/>
    <x v="8"/>
    <n v="0.5"/>
    <n v="0"/>
    <n v="5.3999999999999979E-2"/>
    <m/>
    <n v="0"/>
    <x v="1"/>
    <x v="1"/>
    <m/>
    <m/>
    <m/>
  </r>
  <r>
    <s v="Population in TB compartment  Uninfected, not on IPT with Drug-susceptible (DS) in HIV compartment  PLHIV not on ART, CD4≤200 and Male"/>
    <s v="N"/>
    <x v="0"/>
    <x v="0"/>
    <x v="2"/>
    <x v="0"/>
    <x v="9"/>
    <n v="0.5"/>
    <n v="1"/>
    <n v="5.3999999999999979E-2"/>
    <m/>
    <n v="2.6999999999999989E-2"/>
    <x v="3"/>
    <x v="3"/>
    <m/>
    <m/>
    <m/>
  </r>
  <r>
    <s v="Population in TB compartment  Uninfected, not on IPT with  Multidrug-resistant (MDR-TB) in HIV compartment  PLHIV not on ART, CD4≤200 and Female"/>
    <s v="N"/>
    <x v="0"/>
    <x v="1"/>
    <x v="2"/>
    <x v="1"/>
    <x v="10"/>
    <n v="0.5"/>
    <n v="0"/>
    <n v="5.3999999999999979E-2"/>
    <m/>
    <n v="0"/>
    <x v="1"/>
    <x v="1"/>
    <m/>
    <m/>
    <m/>
  </r>
  <r>
    <s v="Population in TB compartment  Uninfected, not on IPT with Drug-susceptible (DS) in HIV compartment  PLHIV not on ART, CD4≤200 and Female"/>
    <s v="N"/>
    <x v="0"/>
    <x v="0"/>
    <x v="2"/>
    <x v="1"/>
    <x v="11"/>
    <n v="0.5"/>
    <n v="1"/>
    <n v="5.3999999999999979E-2"/>
    <m/>
    <n v="2.6999999999999989E-2"/>
    <x v="3"/>
    <x v="3"/>
    <m/>
    <m/>
    <m/>
  </r>
  <r>
    <s v="Population in TB compartment  Uninfected, not on IPT with  Multidrug-resistant (MDR-TB) in HIV compartment  PLHIV and on ART and Male"/>
    <s v="N"/>
    <x v="0"/>
    <x v="1"/>
    <x v="3"/>
    <x v="0"/>
    <x v="12"/>
    <n v="0.5"/>
    <n v="0"/>
    <n v="8.1000000000000003E-2"/>
    <m/>
    <n v="0"/>
    <x v="1"/>
    <x v="1"/>
    <m/>
    <m/>
    <m/>
  </r>
  <r>
    <s v="Population in TB compartment  Uninfected, not on IPT with Drug-susceptible (DS) in HIV compartment  PLHIV and on ART and Male"/>
    <s v="N"/>
    <x v="0"/>
    <x v="0"/>
    <x v="3"/>
    <x v="0"/>
    <x v="13"/>
    <n v="0.5"/>
    <n v="1"/>
    <n v="8.1000000000000003E-2"/>
    <m/>
    <n v="4.0500000000000001E-2"/>
    <x v="4"/>
    <x v="4"/>
    <m/>
    <m/>
    <m/>
  </r>
  <r>
    <s v="Population in TB compartment  Uninfected, not on IPT with  Multidrug-resistant (MDR-TB) in HIV compartment  PLHIV and on ART and Female"/>
    <s v="N"/>
    <x v="0"/>
    <x v="1"/>
    <x v="3"/>
    <x v="1"/>
    <x v="14"/>
    <n v="0.5"/>
    <n v="0"/>
    <n v="8.1000000000000003E-2"/>
    <m/>
    <n v="0"/>
    <x v="1"/>
    <x v="1"/>
    <m/>
    <m/>
    <m/>
  </r>
  <r>
    <s v="Population in TB compartment  Uninfected, not on IPT with Drug-susceptible (DS) in HIV compartment  PLHIV and on ART and Female"/>
    <s v="N"/>
    <x v="0"/>
    <x v="0"/>
    <x v="3"/>
    <x v="1"/>
    <x v="15"/>
    <n v="0.5"/>
    <n v="1"/>
    <n v="8.1000000000000003E-2"/>
    <m/>
    <n v="4.0500000000000001E-2"/>
    <x v="4"/>
    <x v="4"/>
    <m/>
    <m/>
    <m/>
  </r>
  <r>
    <s v="Population in TB compartment  Uninfected, on IPT with Drug-susceptible (DS) in HIV compartment  HIV-negative and Male"/>
    <s v="N"/>
    <x v="1"/>
    <x v="0"/>
    <x v="0"/>
    <x v="0"/>
    <x v="16"/>
    <n v="0.5"/>
    <n v="1"/>
    <n v="0.7"/>
    <m/>
    <n v="0.35"/>
    <x v="0"/>
    <x v="0"/>
    <m/>
    <m/>
    <m/>
  </r>
  <r>
    <s v="Population in TB compartment  Uninfected, on IPT with  Multidrug-resistant (MDR-TB) in HIV compartment  HIV-negative and Male"/>
    <s v="N"/>
    <x v="1"/>
    <x v="1"/>
    <x v="0"/>
    <x v="0"/>
    <x v="17"/>
    <n v="0.5"/>
    <n v="0"/>
    <n v="0.7"/>
    <m/>
    <n v="0"/>
    <x v="1"/>
    <x v="1"/>
    <m/>
    <m/>
    <m/>
  </r>
  <r>
    <s v="Population in TB compartment  Uninfected, on IPT with Drug-susceptible (DS) in HIV compartment  HIV-negative and Female"/>
    <s v="N"/>
    <x v="1"/>
    <x v="0"/>
    <x v="0"/>
    <x v="1"/>
    <x v="18"/>
    <n v="0.5"/>
    <n v="1"/>
    <n v="0.7"/>
    <m/>
    <n v="0.35"/>
    <x v="0"/>
    <x v="0"/>
    <m/>
    <m/>
    <m/>
  </r>
  <r>
    <s v="Population in TB compartment  Uninfected, on IPT with  Multidrug-resistant (MDR-TB) in HIV compartment  HIV-negative and Female"/>
    <s v="N"/>
    <x v="1"/>
    <x v="1"/>
    <x v="0"/>
    <x v="1"/>
    <x v="19"/>
    <n v="0.5"/>
    <n v="0"/>
    <n v="0.7"/>
    <m/>
    <n v="0"/>
    <x v="1"/>
    <x v="1"/>
    <m/>
    <m/>
    <m/>
  </r>
  <r>
    <s v="Population in TB compartment  Uninfected, on IPT with Drug-susceptible (DS) in HIV compartment  PLHIV not on ART, CD4&gt;200 and Male"/>
    <s v="N"/>
    <x v="1"/>
    <x v="0"/>
    <x v="1"/>
    <x v="0"/>
    <x v="20"/>
    <n v="0.5"/>
    <n v="1"/>
    <n v="0.16500000000000001"/>
    <m/>
    <n v="8.2500000000000004E-2"/>
    <x v="2"/>
    <x v="2"/>
    <m/>
    <m/>
    <m/>
  </r>
  <r>
    <s v="Population in TB compartment  Uninfected, on IPT with  Multidrug-resistant (MDR-TB) in HIV compartment  PLHIV not on ART, CD4&gt;200 and Male"/>
    <s v="N"/>
    <x v="1"/>
    <x v="1"/>
    <x v="1"/>
    <x v="0"/>
    <x v="21"/>
    <n v="0.5"/>
    <n v="0"/>
    <n v="0.16500000000000001"/>
    <m/>
    <n v="0"/>
    <x v="1"/>
    <x v="1"/>
    <m/>
    <m/>
    <m/>
  </r>
  <r>
    <s v="Population in TB compartment  Uninfected, on IPT with Drug-susceptible (DS) in HIV compartment  PLHIV not on ART, CD4&gt;200 and Female"/>
    <s v="N"/>
    <x v="1"/>
    <x v="0"/>
    <x v="1"/>
    <x v="1"/>
    <x v="22"/>
    <n v="0.5"/>
    <n v="1"/>
    <n v="0.16500000000000001"/>
    <m/>
    <n v="8.2500000000000004E-2"/>
    <x v="2"/>
    <x v="2"/>
    <m/>
    <m/>
    <m/>
  </r>
  <r>
    <s v="Population in TB compartment  Uninfected, on IPT with  Multidrug-resistant (MDR-TB) in HIV compartment  PLHIV not on ART, CD4&gt;200 and Female"/>
    <s v="N"/>
    <x v="1"/>
    <x v="1"/>
    <x v="1"/>
    <x v="1"/>
    <x v="23"/>
    <n v="0.5"/>
    <n v="0"/>
    <n v="0.16500000000000001"/>
    <m/>
    <n v="0"/>
    <x v="1"/>
    <x v="1"/>
    <m/>
    <m/>
    <m/>
  </r>
  <r>
    <s v="Population in TB compartment  Uninfected, on IPT with Drug-susceptible (DS) in HIV compartment  PLHIV not on ART, CD4≤200 and Male"/>
    <s v="N"/>
    <x v="1"/>
    <x v="0"/>
    <x v="2"/>
    <x v="0"/>
    <x v="24"/>
    <n v="0.5"/>
    <n v="1"/>
    <n v="5.3999999999999979E-2"/>
    <m/>
    <n v="2.6999999999999989E-2"/>
    <x v="3"/>
    <x v="3"/>
    <m/>
    <m/>
    <m/>
  </r>
  <r>
    <s v="Population in TB compartment  Uninfected, on IPT with  Multidrug-resistant (MDR-TB) in HIV compartment  PLHIV not on ART, CD4≤200 and Male"/>
    <s v="N"/>
    <x v="1"/>
    <x v="1"/>
    <x v="2"/>
    <x v="0"/>
    <x v="25"/>
    <n v="0.5"/>
    <n v="0"/>
    <n v="5.3999999999999979E-2"/>
    <m/>
    <n v="0"/>
    <x v="1"/>
    <x v="1"/>
    <m/>
    <m/>
    <m/>
  </r>
  <r>
    <s v="Population in TB compartment  Uninfected, on IPT with Drug-susceptible (DS) in HIV compartment  PLHIV not on ART, CD4≤200 and Female"/>
    <s v="N"/>
    <x v="1"/>
    <x v="0"/>
    <x v="2"/>
    <x v="1"/>
    <x v="26"/>
    <n v="0.5"/>
    <n v="1"/>
    <n v="5.3999999999999979E-2"/>
    <m/>
    <n v="2.6999999999999989E-2"/>
    <x v="3"/>
    <x v="3"/>
    <m/>
    <m/>
    <m/>
  </r>
  <r>
    <s v="Population in TB compartment  Uninfected, on IPT with  Multidrug-resistant (MDR-TB) in HIV compartment  PLHIV not on ART, CD4≤200 and Female"/>
    <s v="N"/>
    <x v="1"/>
    <x v="1"/>
    <x v="2"/>
    <x v="1"/>
    <x v="27"/>
    <n v="0.5"/>
    <n v="0"/>
    <n v="5.3999999999999979E-2"/>
    <m/>
    <n v="0"/>
    <x v="1"/>
    <x v="1"/>
    <m/>
    <m/>
    <m/>
  </r>
  <r>
    <s v="Population in TB compartment  Uninfected, on IPT with Drug-susceptible (DS) in HIV compartment  PLHIV and on ART and Male"/>
    <s v="N"/>
    <x v="1"/>
    <x v="0"/>
    <x v="3"/>
    <x v="0"/>
    <x v="28"/>
    <n v="0.5"/>
    <n v="1"/>
    <n v="8.1000000000000003E-2"/>
    <m/>
    <n v="4.0500000000000001E-2"/>
    <x v="4"/>
    <x v="4"/>
    <m/>
    <m/>
    <m/>
  </r>
  <r>
    <s v="Population in TB compartment  Uninfected, on IPT with  Multidrug-resistant (MDR-TB) in HIV compartment  PLHIV and on ART and Male"/>
    <s v="N"/>
    <x v="1"/>
    <x v="1"/>
    <x v="3"/>
    <x v="0"/>
    <x v="29"/>
    <n v="0.5"/>
    <n v="0"/>
    <n v="8.1000000000000003E-2"/>
    <m/>
    <n v="0"/>
    <x v="1"/>
    <x v="1"/>
    <m/>
    <m/>
    <m/>
  </r>
  <r>
    <s v="Population in TB compartment  Uninfected, on IPT with Drug-susceptible (DS) in HIV compartment  PLHIV and on ART and Female"/>
    <s v="N"/>
    <x v="1"/>
    <x v="0"/>
    <x v="3"/>
    <x v="1"/>
    <x v="30"/>
    <n v="0.5"/>
    <n v="1"/>
    <n v="8.1000000000000003E-2"/>
    <m/>
    <n v="4.0500000000000001E-2"/>
    <x v="4"/>
    <x v="4"/>
    <m/>
    <m/>
    <m/>
  </r>
  <r>
    <s v="Population in TB compartment  Uninfected, on IPT with  Multidrug-resistant (MDR-TB) in HIV compartment  PLHIV and on ART and Female"/>
    <s v="N"/>
    <x v="1"/>
    <x v="1"/>
    <x v="3"/>
    <x v="1"/>
    <x v="31"/>
    <n v="0.5"/>
    <n v="0"/>
    <n v="8.1000000000000003E-2"/>
    <m/>
    <n v="0"/>
    <x v="1"/>
    <x v="1"/>
    <m/>
    <m/>
    <m/>
  </r>
  <r>
    <s v="Population in TB compartment  LTBI, infected recently (at risk for rapid progression) with Drug-susceptible (DS) in HIV compartment  HIV-negative and Male"/>
    <s v="N"/>
    <x v="2"/>
    <x v="0"/>
    <x v="0"/>
    <x v="0"/>
    <x v="32"/>
    <n v="0.49"/>
    <n v="0.99309999999999998"/>
    <n v="0.7"/>
    <m/>
    <n v="0.34063329999999997"/>
    <x v="5"/>
    <x v="5"/>
    <m/>
    <m/>
    <m/>
  </r>
  <r>
    <s v="Population in TB compartment  LTBI, infected recently (at risk for rapid progression) with  Multidrug-resistant (MDR-TB) in HIV compartment  HIV-negative and Male"/>
    <s v="N"/>
    <x v="2"/>
    <x v="1"/>
    <x v="0"/>
    <x v="0"/>
    <x v="33"/>
    <n v="0.49"/>
    <n v="6.8999999999999999E-3"/>
    <n v="0.7"/>
    <m/>
    <n v="2.3666999999999998E-3"/>
    <x v="6"/>
    <x v="6"/>
    <m/>
    <m/>
    <m/>
  </r>
  <r>
    <s v="Population in TB compartment  LTBI, infected recently (at risk for rapid progression) with Drug-susceptible (DS) in HIV compartment  HIV-negative and Female"/>
    <s v="N"/>
    <x v="2"/>
    <x v="0"/>
    <x v="0"/>
    <x v="1"/>
    <x v="34"/>
    <n v="0.49"/>
    <n v="0.99309999999999998"/>
    <n v="0.7"/>
    <m/>
    <n v="0.34063329999999997"/>
    <x v="5"/>
    <x v="5"/>
    <m/>
    <m/>
    <m/>
  </r>
  <r>
    <s v="Population in TB compartment  LTBI, infected recently (at risk for rapid progression) with  Multidrug-resistant (MDR-TB) in HIV compartment  HIV-negative and Female"/>
    <s v="N"/>
    <x v="2"/>
    <x v="1"/>
    <x v="0"/>
    <x v="1"/>
    <x v="35"/>
    <n v="0.49"/>
    <n v="6.8999999999999999E-3"/>
    <n v="0.7"/>
    <m/>
    <n v="2.3666999999999998E-3"/>
    <x v="6"/>
    <x v="6"/>
    <m/>
    <m/>
    <m/>
  </r>
  <r>
    <s v="Population in TB compartment  LTBI, infected recently (at risk for rapid progression) with Drug-susceptible (DS) in HIV compartment  PLHIV not on ART, CD4&gt;200 and Male"/>
    <s v="N"/>
    <x v="2"/>
    <x v="0"/>
    <x v="1"/>
    <x v="0"/>
    <x v="36"/>
    <n v="0.5"/>
    <n v="6.8999999999999999E-3"/>
    <n v="0.16500000000000001"/>
    <m/>
    <n v="5.6924999999999999E-4"/>
    <x v="7"/>
    <x v="7"/>
    <m/>
    <m/>
    <m/>
  </r>
  <r>
    <s v="Population in TB compartment  LTBI, infected recently (at risk for rapid progression) with  Multidrug-resistant (MDR-TB) in HIV compartment  PLHIV not on ART, CD4&gt;200 and Male"/>
    <s v="N"/>
    <x v="2"/>
    <x v="1"/>
    <x v="1"/>
    <x v="0"/>
    <x v="37"/>
    <n v="0.5"/>
    <n v="6.8999999999999999E-3"/>
    <n v="0.16500000000000001"/>
    <m/>
    <n v="5.6924999999999999E-4"/>
    <x v="7"/>
    <x v="7"/>
    <m/>
    <m/>
    <m/>
  </r>
  <r>
    <s v="Population in TB compartment  LTBI, infected recently (at risk for rapid progression) with Drug-susceptible (DS) in HIV compartment  PLHIV not on ART, CD4&gt;200 and Female"/>
    <s v="N"/>
    <x v="2"/>
    <x v="0"/>
    <x v="1"/>
    <x v="1"/>
    <x v="38"/>
    <n v="0.5"/>
    <n v="6.8999999999999999E-3"/>
    <n v="0.16500000000000001"/>
    <m/>
    <n v="5.6924999999999999E-4"/>
    <x v="7"/>
    <x v="7"/>
    <m/>
    <m/>
    <m/>
  </r>
  <r>
    <s v="Population in TB compartment  LTBI, infected recently (at risk for rapid progression) with  Multidrug-resistant (MDR-TB) in HIV compartment  PLHIV not on ART, CD4&gt;200 and Female"/>
    <s v="N"/>
    <x v="2"/>
    <x v="1"/>
    <x v="1"/>
    <x v="1"/>
    <x v="39"/>
    <n v="0.5"/>
    <n v="6.8999999999999999E-3"/>
    <n v="0.16500000000000001"/>
    <m/>
    <n v="5.6924999999999999E-4"/>
    <x v="7"/>
    <x v="7"/>
    <m/>
    <m/>
    <m/>
  </r>
  <r>
    <s v="Population in TB compartment  LTBI, infected recently (at risk for rapid progression) with Drug-susceptible (DS) in HIV compartment  PLHIV not on ART, CD4≤200 and Male"/>
    <s v="N"/>
    <x v="2"/>
    <x v="0"/>
    <x v="2"/>
    <x v="0"/>
    <x v="40"/>
    <n v="0.5"/>
    <n v="6.8999999999999999E-3"/>
    <n v="5.3999999999999979E-2"/>
    <m/>
    <n v="1.8629999999999992E-4"/>
    <x v="8"/>
    <x v="8"/>
    <m/>
    <m/>
    <m/>
  </r>
  <r>
    <s v="Population in TB compartment  LTBI, infected recently (at risk for rapid progression) with  Multidrug-resistant (MDR-TB) in HIV compartment  PLHIV not on ART, CD4≤200 and Male"/>
    <s v="N"/>
    <x v="2"/>
    <x v="1"/>
    <x v="2"/>
    <x v="0"/>
    <x v="41"/>
    <n v="0.5"/>
    <n v="6.8999999999999999E-3"/>
    <n v="5.3999999999999979E-2"/>
    <m/>
    <n v="1.8629999999999992E-4"/>
    <x v="8"/>
    <x v="8"/>
    <m/>
    <m/>
    <m/>
  </r>
  <r>
    <s v="Population in TB compartment  LTBI, infected recently (at risk for rapid progression) with Drug-susceptible (DS) in HIV compartment  PLHIV not on ART, CD4≤200 and Female"/>
    <s v="N"/>
    <x v="2"/>
    <x v="0"/>
    <x v="2"/>
    <x v="1"/>
    <x v="42"/>
    <n v="0.5"/>
    <n v="6.8999999999999999E-3"/>
    <n v="5.3999999999999979E-2"/>
    <m/>
    <n v="1.8629999999999992E-4"/>
    <x v="8"/>
    <x v="8"/>
    <m/>
    <m/>
    <m/>
  </r>
  <r>
    <s v="Population in TB compartment  LTBI, infected recently (at risk for rapid progression) with  Multidrug-resistant (MDR-TB) in HIV compartment  PLHIV not on ART, CD4≤200 and Female"/>
    <s v="N"/>
    <x v="2"/>
    <x v="1"/>
    <x v="2"/>
    <x v="1"/>
    <x v="43"/>
    <n v="0.5"/>
    <n v="6.8999999999999999E-3"/>
    <n v="5.3999999999999979E-2"/>
    <m/>
    <n v="1.8629999999999992E-4"/>
    <x v="8"/>
    <x v="8"/>
    <m/>
    <m/>
    <m/>
  </r>
  <r>
    <s v="Population in TB compartment  LTBI, infected recently (at risk for rapid progression) with Drug-susceptible (DS) in HIV compartment  PLHIV and on ART and Male"/>
    <s v="N"/>
    <x v="2"/>
    <x v="0"/>
    <x v="3"/>
    <x v="0"/>
    <x v="44"/>
    <n v="0.5"/>
    <n v="6.8999999999999999E-3"/>
    <n v="8.1000000000000003E-2"/>
    <m/>
    <n v="2.7944999999999999E-4"/>
    <x v="9"/>
    <x v="9"/>
    <m/>
    <m/>
    <m/>
  </r>
  <r>
    <s v="Population in TB compartment  LTBI, infected recently (at risk for rapid progression) with  Multidrug-resistant (MDR-TB) in HIV compartment  PLHIV and on ART and Male"/>
    <s v="N"/>
    <x v="2"/>
    <x v="1"/>
    <x v="3"/>
    <x v="0"/>
    <x v="45"/>
    <n v="0.5"/>
    <n v="6.8999999999999999E-3"/>
    <n v="8.1000000000000003E-2"/>
    <m/>
    <n v="2.7944999999999999E-4"/>
    <x v="9"/>
    <x v="9"/>
    <m/>
    <m/>
    <m/>
  </r>
  <r>
    <s v="Population in TB compartment  LTBI, infected recently (at risk for rapid progression) with Drug-susceptible (DS) in HIV compartment  PLHIV and on ART and Female"/>
    <s v="N"/>
    <x v="2"/>
    <x v="0"/>
    <x v="3"/>
    <x v="1"/>
    <x v="46"/>
    <n v="0.5"/>
    <n v="6.8999999999999999E-3"/>
    <n v="8.1000000000000003E-2"/>
    <m/>
    <n v="2.7944999999999999E-4"/>
    <x v="9"/>
    <x v="9"/>
    <m/>
    <m/>
    <m/>
  </r>
  <r>
    <s v="Population in TB compartment  LTBI, infected recently (at risk for rapid progression) with  Multidrug-resistant (MDR-TB) in HIV compartment  PLHIV and on ART and Female"/>
    <s v="N"/>
    <x v="2"/>
    <x v="1"/>
    <x v="3"/>
    <x v="1"/>
    <x v="47"/>
    <n v="0.5"/>
    <n v="6.8999999999999999E-3"/>
    <n v="8.1000000000000003E-2"/>
    <m/>
    <n v="2.7944999999999999E-4"/>
    <x v="9"/>
    <x v="9"/>
    <m/>
    <m/>
    <m/>
  </r>
  <r>
    <s v="Population in TB compartment  LTBI, infected remotely with Drug-susceptible (DS) in HIV compartment  HIV-negative and Male"/>
    <s v="N"/>
    <x v="3"/>
    <x v="0"/>
    <x v="0"/>
    <x v="0"/>
    <x v="48"/>
    <n v="0.49"/>
    <n v="0.99309999999999998"/>
    <n v="0.7"/>
    <m/>
    <n v="0.34063329999999997"/>
    <x v="5"/>
    <x v="5"/>
    <m/>
    <m/>
    <m/>
  </r>
  <r>
    <s v="Population in TB compartment  LTBI, infected remotely with  Multidrug-resistant (MDR-TB) in HIV compartment  HIV-negative and Male"/>
    <s v="N"/>
    <x v="3"/>
    <x v="1"/>
    <x v="0"/>
    <x v="0"/>
    <x v="49"/>
    <n v="0.49"/>
    <n v="6.8999999999999999E-3"/>
    <n v="0.7"/>
    <m/>
    <n v="2.3666999999999998E-3"/>
    <x v="6"/>
    <x v="6"/>
    <m/>
    <m/>
    <m/>
  </r>
  <r>
    <s v="Population in TB compartment  LTBI, infected remotely with Drug-susceptible (DS) in HIV compartment  HIV-negative and Female"/>
    <s v="N"/>
    <x v="3"/>
    <x v="0"/>
    <x v="0"/>
    <x v="1"/>
    <x v="50"/>
    <n v="0.49"/>
    <n v="0.99309999999999998"/>
    <n v="0.7"/>
    <m/>
    <n v="0.34063329999999997"/>
    <x v="5"/>
    <x v="5"/>
    <m/>
    <m/>
    <m/>
  </r>
  <r>
    <s v="Population in TB compartment  LTBI, infected remotely with  Multidrug-resistant (MDR-TB) in HIV compartment  HIV-negative and Female"/>
    <s v="N"/>
    <x v="3"/>
    <x v="1"/>
    <x v="0"/>
    <x v="1"/>
    <x v="51"/>
    <n v="0.49"/>
    <n v="6.8999999999999999E-3"/>
    <n v="0.7"/>
    <m/>
    <n v="2.3666999999999998E-3"/>
    <x v="6"/>
    <x v="6"/>
    <m/>
    <m/>
    <m/>
  </r>
  <r>
    <s v="Population in TB compartment  LTBI, infected remotely with Drug-susceptible (DS) in HIV compartment  PLHIV not on ART, CD4&gt;200 and Male"/>
    <s v="N"/>
    <x v="3"/>
    <x v="0"/>
    <x v="1"/>
    <x v="0"/>
    <x v="52"/>
    <n v="0.5"/>
    <n v="6.8999999999999999E-3"/>
    <n v="0.16500000000000001"/>
    <m/>
    <n v="5.6924999999999999E-4"/>
    <x v="7"/>
    <x v="7"/>
    <m/>
    <m/>
    <m/>
  </r>
  <r>
    <s v="Population in TB compartment  LTBI, infected remotely with  Multidrug-resistant (MDR-TB) in HIV compartment  PLHIV not on ART, CD4&gt;200 and Male"/>
    <s v="N"/>
    <x v="3"/>
    <x v="1"/>
    <x v="1"/>
    <x v="0"/>
    <x v="53"/>
    <n v="0.5"/>
    <n v="6.8999999999999999E-3"/>
    <n v="0.16500000000000001"/>
    <m/>
    <n v="5.6924999999999999E-4"/>
    <x v="7"/>
    <x v="7"/>
    <m/>
    <m/>
    <m/>
  </r>
  <r>
    <s v="Population in TB compartment  LTBI, infected remotely with Drug-susceptible (DS) in HIV compartment  PLHIV not on ART, CD4&gt;200 and Female"/>
    <s v="N"/>
    <x v="3"/>
    <x v="0"/>
    <x v="1"/>
    <x v="1"/>
    <x v="54"/>
    <n v="0.5"/>
    <n v="6.8999999999999999E-3"/>
    <n v="0.16500000000000001"/>
    <m/>
    <n v="5.6924999999999999E-4"/>
    <x v="7"/>
    <x v="7"/>
    <m/>
    <m/>
    <m/>
  </r>
  <r>
    <s v="Population in TB compartment  LTBI, infected remotely with  Multidrug-resistant (MDR-TB) in HIV compartment  PLHIV not on ART, CD4&gt;200 and Female"/>
    <s v="N"/>
    <x v="3"/>
    <x v="1"/>
    <x v="1"/>
    <x v="1"/>
    <x v="55"/>
    <n v="0.5"/>
    <n v="6.8999999999999999E-3"/>
    <n v="0.16500000000000001"/>
    <m/>
    <n v="5.6924999999999999E-4"/>
    <x v="7"/>
    <x v="7"/>
    <m/>
    <m/>
    <m/>
  </r>
  <r>
    <s v="Population in TB compartment  LTBI, infected remotely with Drug-susceptible (DS) in HIV compartment  PLHIV not on ART, CD4≤200 and Male"/>
    <s v="N"/>
    <x v="3"/>
    <x v="0"/>
    <x v="2"/>
    <x v="0"/>
    <x v="56"/>
    <n v="0.5"/>
    <n v="6.8999999999999999E-3"/>
    <n v="5.3999999999999979E-2"/>
    <m/>
    <n v="1.8629999999999992E-4"/>
    <x v="8"/>
    <x v="8"/>
    <m/>
    <m/>
    <m/>
  </r>
  <r>
    <s v="Population in TB compartment  LTBI, infected remotely with  Multidrug-resistant (MDR-TB) in HIV compartment  PLHIV not on ART, CD4≤200 and Male"/>
    <s v="N"/>
    <x v="3"/>
    <x v="1"/>
    <x v="2"/>
    <x v="0"/>
    <x v="57"/>
    <n v="0.5"/>
    <n v="6.8999999999999999E-3"/>
    <n v="5.3999999999999979E-2"/>
    <m/>
    <n v="1.8629999999999992E-4"/>
    <x v="8"/>
    <x v="8"/>
    <m/>
    <m/>
    <m/>
  </r>
  <r>
    <s v="Population in TB compartment  LTBI, infected remotely with Drug-susceptible (DS) in HIV compartment  PLHIV not on ART, CD4≤200 and Female"/>
    <s v="N"/>
    <x v="3"/>
    <x v="0"/>
    <x v="2"/>
    <x v="1"/>
    <x v="58"/>
    <n v="0.5"/>
    <n v="6.8999999999999999E-3"/>
    <n v="5.3999999999999979E-2"/>
    <m/>
    <n v="1.8629999999999992E-4"/>
    <x v="8"/>
    <x v="8"/>
    <m/>
    <m/>
    <m/>
  </r>
  <r>
    <s v="Population in TB compartment  LTBI, infected remotely with  Multidrug-resistant (MDR-TB) in HIV compartment  PLHIV not on ART, CD4≤200 and Female"/>
    <s v="N"/>
    <x v="3"/>
    <x v="1"/>
    <x v="2"/>
    <x v="1"/>
    <x v="59"/>
    <n v="0.5"/>
    <n v="6.8999999999999999E-3"/>
    <n v="5.3999999999999979E-2"/>
    <m/>
    <n v="1.8629999999999992E-4"/>
    <x v="8"/>
    <x v="8"/>
    <m/>
    <m/>
    <m/>
  </r>
  <r>
    <s v="Population in TB compartment  LTBI, infected remotely with Drug-susceptible (DS) in HIV compartment  PLHIV and on ART and Male"/>
    <s v="N"/>
    <x v="3"/>
    <x v="0"/>
    <x v="3"/>
    <x v="0"/>
    <x v="60"/>
    <n v="0.5"/>
    <n v="6.8999999999999999E-3"/>
    <n v="8.1000000000000003E-2"/>
    <m/>
    <n v="2.7944999999999999E-4"/>
    <x v="9"/>
    <x v="9"/>
    <m/>
    <m/>
    <m/>
  </r>
  <r>
    <s v="Population in TB compartment  LTBI, infected remotely with  Multidrug-resistant (MDR-TB) in HIV compartment  PLHIV and on ART and Male"/>
    <s v="N"/>
    <x v="3"/>
    <x v="1"/>
    <x v="3"/>
    <x v="0"/>
    <x v="61"/>
    <n v="0.5"/>
    <n v="6.8999999999999999E-3"/>
    <n v="8.1000000000000003E-2"/>
    <m/>
    <n v="2.7944999999999999E-4"/>
    <x v="9"/>
    <x v="9"/>
    <m/>
    <m/>
    <m/>
  </r>
  <r>
    <s v="Population in TB compartment  LTBI, infected remotely with Drug-susceptible (DS) in HIV compartment  PLHIV and on ART and Female"/>
    <s v="N"/>
    <x v="3"/>
    <x v="0"/>
    <x v="3"/>
    <x v="1"/>
    <x v="62"/>
    <n v="0.5"/>
    <n v="6.8999999999999999E-3"/>
    <n v="8.1000000000000003E-2"/>
    <m/>
    <n v="2.7944999999999999E-4"/>
    <x v="9"/>
    <x v="9"/>
    <m/>
    <m/>
    <m/>
  </r>
  <r>
    <s v="Population in TB compartment  LTBI, infected remotely with  Multidrug-resistant (MDR-TB) in HIV compartment  PLHIV and on ART and Female"/>
    <s v="N"/>
    <x v="3"/>
    <x v="1"/>
    <x v="3"/>
    <x v="1"/>
    <x v="63"/>
    <n v="0.5"/>
    <n v="6.8999999999999999E-3"/>
    <n v="8.1000000000000003E-2"/>
    <m/>
    <n v="2.7944999999999999E-4"/>
    <x v="9"/>
    <x v="9"/>
    <m/>
    <m/>
    <m/>
  </r>
  <r>
    <s v="Population in TB compartment  LTBI, on IPT with Drug-susceptible (DS) in HIV compartment  HIV-negative and Male"/>
    <s v="N"/>
    <x v="4"/>
    <x v="0"/>
    <x v="0"/>
    <x v="0"/>
    <x v="64"/>
    <n v="0.49"/>
    <n v="0.99309999999999998"/>
    <n v="0.7"/>
    <m/>
    <n v="0.34063329999999997"/>
    <x v="5"/>
    <x v="5"/>
    <m/>
    <m/>
    <m/>
  </r>
  <r>
    <s v="Population in TB compartment  LTBI, on IPT with  Multidrug-resistant (MDR-TB) in HIV compartment  HIV-negative and Male"/>
    <s v="N"/>
    <x v="4"/>
    <x v="1"/>
    <x v="0"/>
    <x v="0"/>
    <x v="65"/>
    <n v="0.49"/>
    <n v="6.8999999999999999E-3"/>
    <n v="0.7"/>
    <m/>
    <n v="2.3666999999999998E-3"/>
    <x v="6"/>
    <x v="6"/>
    <m/>
    <m/>
    <m/>
  </r>
  <r>
    <s v="Population in TB compartment  LTBI, on IPT with Drug-susceptible (DS) in HIV compartment  HIV-negative and Female"/>
    <s v="N"/>
    <x v="4"/>
    <x v="0"/>
    <x v="0"/>
    <x v="1"/>
    <x v="66"/>
    <n v="0.49"/>
    <n v="0.99309999999999998"/>
    <n v="0.7"/>
    <m/>
    <n v="0.34063329999999997"/>
    <x v="5"/>
    <x v="5"/>
    <m/>
    <m/>
    <m/>
  </r>
  <r>
    <s v="Population in TB compartment  LTBI, on IPT with  Multidrug-resistant (MDR-TB) in HIV compartment  HIV-negative and Female"/>
    <s v="N"/>
    <x v="4"/>
    <x v="1"/>
    <x v="0"/>
    <x v="1"/>
    <x v="67"/>
    <n v="0.49"/>
    <n v="6.8999999999999999E-3"/>
    <n v="0.7"/>
    <m/>
    <n v="2.3666999999999998E-3"/>
    <x v="6"/>
    <x v="6"/>
    <m/>
    <m/>
    <m/>
  </r>
  <r>
    <s v="Population in TB compartment  LTBI, on IPT with Drug-susceptible (DS) in HIV compartment  PLHIV not on ART, CD4&gt;200 and Male"/>
    <s v="N"/>
    <x v="4"/>
    <x v="0"/>
    <x v="1"/>
    <x v="0"/>
    <x v="68"/>
    <n v="0.5"/>
    <n v="6.8999999999999999E-3"/>
    <n v="0.16500000000000001"/>
    <m/>
    <n v="5.6924999999999999E-4"/>
    <x v="7"/>
    <x v="7"/>
    <m/>
    <m/>
    <m/>
  </r>
  <r>
    <s v="Population in TB compartment  LTBI, on IPT with  Multidrug-resistant (MDR-TB) in HIV compartment  PLHIV not on ART, CD4&gt;200 and Male"/>
    <s v="N"/>
    <x v="4"/>
    <x v="1"/>
    <x v="1"/>
    <x v="0"/>
    <x v="69"/>
    <n v="0.5"/>
    <n v="6.8999999999999999E-3"/>
    <n v="0.16500000000000001"/>
    <m/>
    <n v="5.6924999999999999E-4"/>
    <x v="7"/>
    <x v="7"/>
    <m/>
    <m/>
    <m/>
  </r>
  <r>
    <s v="Population in TB compartment  LTBI, on IPT with Drug-susceptible (DS) in HIV compartment  PLHIV not on ART, CD4&gt;200 and Female"/>
    <s v="N"/>
    <x v="4"/>
    <x v="0"/>
    <x v="1"/>
    <x v="1"/>
    <x v="70"/>
    <n v="0.5"/>
    <n v="6.8999999999999999E-3"/>
    <n v="0.16500000000000001"/>
    <m/>
    <n v="5.6924999999999999E-4"/>
    <x v="7"/>
    <x v="7"/>
    <m/>
    <m/>
    <m/>
  </r>
  <r>
    <s v="Population in TB compartment  LTBI, on IPT with  Multidrug-resistant (MDR-TB) in HIV compartment  PLHIV not on ART, CD4&gt;200 and Female"/>
    <s v="N"/>
    <x v="4"/>
    <x v="1"/>
    <x v="1"/>
    <x v="1"/>
    <x v="71"/>
    <n v="0.5"/>
    <n v="6.8999999999999999E-3"/>
    <n v="0.16500000000000001"/>
    <m/>
    <n v="5.6924999999999999E-4"/>
    <x v="7"/>
    <x v="7"/>
    <m/>
    <m/>
    <m/>
  </r>
  <r>
    <s v="Population in TB compartment  LTBI, on IPT with Drug-susceptible (DS) in HIV compartment  PLHIV not on ART, CD4≤200 and Male"/>
    <s v="N"/>
    <x v="4"/>
    <x v="0"/>
    <x v="2"/>
    <x v="0"/>
    <x v="72"/>
    <n v="0.5"/>
    <n v="6.8999999999999999E-3"/>
    <n v="5.3999999999999979E-2"/>
    <m/>
    <n v="1.8629999999999992E-4"/>
    <x v="8"/>
    <x v="8"/>
    <m/>
    <m/>
    <m/>
  </r>
  <r>
    <s v="Population in TB compartment  LTBI, on IPT with  Multidrug-resistant (MDR-TB) in HIV compartment  PLHIV not on ART, CD4≤200 and Male"/>
    <s v="N"/>
    <x v="4"/>
    <x v="1"/>
    <x v="2"/>
    <x v="0"/>
    <x v="73"/>
    <n v="0.5"/>
    <n v="6.8999999999999999E-3"/>
    <n v="5.3999999999999979E-2"/>
    <m/>
    <n v="1.8629999999999992E-4"/>
    <x v="8"/>
    <x v="8"/>
    <m/>
    <m/>
    <m/>
  </r>
  <r>
    <s v="Population in TB compartment  LTBI, on IPT with Drug-susceptible (DS) in HIV compartment  PLHIV not on ART, CD4≤200 and Female"/>
    <s v="N"/>
    <x v="4"/>
    <x v="0"/>
    <x v="2"/>
    <x v="1"/>
    <x v="74"/>
    <n v="0.5"/>
    <n v="6.8999999999999999E-3"/>
    <n v="5.3999999999999979E-2"/>
    <m/>
    <n v="1.8629999999999992E-4"/>
    <x v="8"/>
    <x v="8"/>
    <m/>
    <m/>
    <m/>
  </r>
  <r>
    <s v="Population in TB compartment  LTBI, on IPT with  Multidrug-resistant (MDR-TB) in HIV compartment  PLHIV not on ART, CD4≤200 and Female"/>
    <s v="N"/>
    <x v="4"/>
    <x v="1"/>
    <x v="2"/>
    <x v="1"/>
    <x v="75"/>
    <n v="0.5"/>
    <n v="6.8999999999999999E-3"/>
    <n v="5.3999999999999979E-2"/>
    <m/>
    <n v="1.8629999999999992E-4"/>
    <x v="8"/>
    <x v="8"/>
    <m/>
    <m/>
    <m/>
  </r>
  <r>
    <s v="Population in TB compartment  LTBI, on IPT with Drug-susceptible (DS) in HIV compartment  PLHIV and on ART and Male"/>
    <s v="N"/>
    <x v="4"/>
    <x v="0"/>
    <x v="3"/>
    <x v="0"/>
    <x v="76"/>
    <n v="0.5"/>
    <n v="6.8999999999999999E-3"/>
    <n v="8.1000000000000003E-2"/>
    <m/>
    <n v="2.7944999999999999E-4"/>
    <x v="9"/>
    <x v="9"/>
    <m/>
    <m/>
    <m/>
  </r>
  <r>
    <s v="Population in TB compartment  LTBI, on IPT with  Multidrug-resistant (MDR-TB) in HIV compartment  PLHIV and on ART and Male"/>
    <s v="N"/>
    <x v="4"/>
    <x v="1"/>
    <x v="3"/>
    <x v="0"/>
    <x v="77"/>
    <n v="0.5"/>
    <n v="6.8999999999999999E-3"/>
    <n v="8.1000000000000003E-2"/>
    <m/>
    <n v="2.7944999999999999E-4"/>
    <x v="9"/>
    <x v="9"/>
    <m/>
    <m/>
    <m/>
  </r>
  <r>
    <s v="Population in TB compartment  LTBI, on IPT with Drug-susceptible (DS) in HIV compartment  PLHIV and on ART and Female"/>
    <s v="N"/>
    <x v="4"/>
    <x v="0"/>
    <x v="3"/>
    <x v="1"/>
    <x v="78"/>
    <n v="0.5"/>
    <n v="6.8999999999999999E-3"/>
    <n v="8.1000000000000003E-2"/>
    <m/>
    <n v="2.7944999999999999E-4"/>
    <x v="9"/>
    <x v="9"/>
    <m/>
    <m/>
    <m/>
  </r>
  <r>
    <s v="Population in TB compartment  LTBI, on IPT with  Multidrug-resistant (MDR-TB) in HIV compartment  PLHIV and on ART and Female"/>
    <s v="N"/>
    <x v="4"/>
    <x v="1"/>
    <x v="3"/>
    <x v="1"/>
    <x v="79"/>
    <n v="0.5"/>
    <n v="6.8999999999999999E-3"/>
    <n v="8.1000000000000003E-2"/>
    <m/>
    <n v="2.7944999999999999E-4"/>
    <x v="9"/>
    <x v="9"/>
    <m/>
    <m/>
    <m/>
  </r>
  <r>
    <s v="Population in TB compartment  Active with Drug-susceptible (DS) in HIV compartment  HIV-negative and Male"/>
    <s v="N"/>
    <x v="5"/>
    <x v="0"/>
    <x v="0"/>
    <x v="0"/>
    <x v="80"/>
    <n v="0.01"/>
    <n v="0.99309999999999998"/>
    <n v="0.7"/>
    <m/>
    <n v="6.9516999999999999E-3"/>
    <x v="10"/>
    <x v="10"/>
    <m/>
    <m/>
    <m/>
  </r>
  <r>
    <s v="Population in TB compartment  Active with  Multidrug-resistant (MDR-TB) in HIV compartment  HIV-negative and Male"/>
    <s v="N"/>
    <x v="5"/>
    <x v="1"/>
    <x v="0"/>
    <x v="0"/>
    <x v="81"/>
    <n v="0.01"/>
    <n v="6.8999999999999999E-3"/>
    <n v="0.7"/>
    <m/>
    <n v="4.8299999999999995E-5"/>
    <x v="11"/>
    <x v="11"/>
    <m/>
    <m/>
    <m/>
  </r>
  <r>
    <s v="Population in TB compartment  Active with Drug-susceptible (DS) in HIV compartment  HIV-negative and Female"/>
    <s v="N"/>
    <x v="5"/>
    <x v="0"/>
    <x v="0"/>
    <x v="1"/>
    <x v="82"/>
    <n v="0.01"/>
    <n v="0.99309999999999998"/>
    <n v="0.7"/>
    <m/>
    <n v="6.9516999999999999E-3"/>
    <x v="10"/>
    <x v="10"/>
    <m/>
    <m/>
    <m/>
  </r>
  <r>
    <s v="Population in TB compartment  Active with  Multidrug-resistant (MDR-TB) in HIV compartment  HIV-negative and Female"/>
    <s v="N"/>
    <x v="5"/>
    <x v="1"/>
    <x v="0"/>
    <x v="1"/>
    <x v="83"/>
    <n v="0.01"/>
    <n v="6.8999999999999999E-3"/>
    <n v="0.7"/>
    <m/>
    <n v="4.8299999999999995E-5"/>
    <x v="11"/>
    <x v="11"/>
    <m/>
    <m/>
    <m/>
  </r>
  <r>
    <s v="Population in TB compartment  Active with Drug-susceptible (DS) in HIV compartment  PLHIV not on ART, CD4&gt;200 and Male"/>
    <s v="N"/>
    <x v="5"/>
    <x v="0"/>
    <x v="1"/>
    <x v="0"/>
    <x v="84"/>
    <n v="0.6"/>
    <n v="6.8999999999999999E-3"/>
    <n v="0.16500000000000001"/>
    <m/>
    <n v="6.8309999999999996E-4"/>
    <x v="12"/>
    <x v="12"/>
    <m/>
    <m/>
    <m/>
  </r>
  <r>
    <s v="Population in TB compartment  Active with  Multidrug-resistant (MDR-TB) in HIV compartment  PLHIV not on ART, CD4&gt;200 and Male"/>
    <s v="N"/>
    <x v="5"/>
    <x v="1"/>
    <x v="1"/>
    <x v="0"/>
    <x v="85"/>
    <n v="0.6"/>
    <n v="6.8999999999999999E-3"/>
    <n v="0.16500000000000001"/>
    <m/>
    <n v="6.8309999999999996E-4"/>
    <x v="12"/>
    <x v="12"/>
    <m/>
    <m/>
    <m/>
  </r>
  <r>
    <s v="Population in TB compartment  Active with Drug-susceptible (DS) in HIV compartment  PLHIV not on ART, CD4&gt;200 and Female"/>
    <s v="N"/>
    <x v="5"/>
    <x v="0"/>
    <x v="1"/>
    <x v="1"/>
    <x v="86"/>
    <n v="0.8"/>
    <n v="6.8999999999999999E-3"/>
    <n v="0.16500000000000001"/>
    <m/>
    <n v="9.1080000000000013E-4"/>
    <x v="13"/>
    <x v="13"/>
    <m/>
    <m/>
    <m/>
  </r>
  <r>
    <s v="Population in TB compartment  Active with  Multidrug-resistant (MDR-TB) in HIV compartment  PLHIV not on ART, CD4&gt;200 and Female"/>
    <s v="N"/>
    <x v="5"/>
    <x v="1"/>
    <x v="1"/>
    <x v="1"/>
    <x v="87"/>
    <n v="0.8"/>
    <n v="6.8999999999999999E-3"/>
    <n v="0.16500000000000001"/>
    <m/>
    <n v="9.1080000000000013E-4"/>
    <x v="13"/>
    <x v="13"/>
    <m/>
    <m/>
    <m/>
  </r>
  <r>
    <s v="Population in TB compartment  Active with Drug-susceptible (DS) in HIV compartment  PLHIV not on ART, CD4≤200 and Male"/>
    <s v="N"/>
    <x v="5"/>
    <x v="0"/>
    <x v="2"/>
    <x v="0"/>
    <x v="88"/>
    <n v="0.6"/>
    <n v="6.8999999999999999E-3"/>
    <n v="5.3999999999999979E-2"/>
    <m/>
    <n v="2.235599999999999E-4"/>
    <x v="14"/>
    <x v="14"/>
    <m/>
    <m/>
    <m/>
  </r>
  <r>
    <s v="Population in TB compartment  Active with  Multidrug-resistant (MDR-TB) in HIV compartment  PLHIV not on ART, CD4≤200 and Male"/>
    <s v="N"/>
    <x v="5"/>
    <x v="1"/>
    <x v="2"/>
    <x v="0"/>
    <x v="89"/>
    <n v="0.6"/>
    <n v="6.8999999999999999E-3"/>
    <n v="5.3999999999999979E-2"/>
    <m/>
    <n v="2.235599999999999E-4"/>
    <x v="14"/>
    <x v="14"/>
    <m/>
    <m/>
    <m/>
  </r>
  <r>
    <s v="Population in TB compartment  Active with Drug-susceptible (DS) in HIV compartment  PLHIV not on ART, CD4≤200 and Female"/>
    <s v="N"/>
    <x v="5"/>
    <x v="0"/>
    <x v="2"/>
    <x v="1"/>
    <x v="90"/>
    <n v="0.8"/>
    <n v="6.8999999999999999E-3"/>
    <n v="5.3999999999999979E-2"/>
    <m/>
    <n v="2.9807999999999994E-4"/>
    <x v="15"/>
    <x v="15"/>
    <m/>
    <m/>
    <m/>
  </r>
  <r>
    <s v="Population in TB compartment  Active with  Multidrug-resistant (MDR-TB) in HIV compartment  PLHIV not on ART, CD4≤200 and Female"/>
    <s v="N"/>
    <x v="5"/>
    <x v="1"/>
    <x v="2"/>
    <x v="1"/>
    <x v="91"/>
    <n v="0.8"/>
    <n v="6.8999999999999999E-3"/>
    <n v="5.3999999999999979E-2"/>
    <m/>
    <n v="2.9807999999999994E-4"/>
    <x v="15"/>
    <x v="15"/>
    <m/>
    <m/>
    <m/>
  </r>
  <r>
    <s v="Population in TB compartment  Active with Drug-susceptible (DS) in HIV compartment  PLHIV and on ART and Male"/>
    <s v="N"/>
    <x v="5"/>
    <x v="0"/>
    <x v="3"/>
    <x v="0"/>
    <x v="92"/>
    <n v="0.6"/>
    <n v="6.8999999999999999E-3"/>
    <n v="8.1000000000000003E-2"/>
    <m/>
    <n v="3.3534E-4"/>
    <x v="16"/>
    <x v="16"/>
    <m/>
    <m/>
    <m/>
  </r>
  <r>
    <s v="Population in TB compartment  Active with  Multidrug-resistant (MDR-TB) in HIV compartment  PLHIV and on ART and Male"/>
    <s v="N"/>
    <x v="5"/>
    <x v="1"/>
    <x v="3"/>
    <x v="0"/>
    <x v="93"/>
    <n v="0.6"/>
    <n v="6.8999999999999999E-3"/>
    <n v="8.1000000000000003E-2"/>
    <m/>
    <n v="3.3534E-4"/>
    <x v="16"/>
    <x v="16"/>
    <m/>
    <m/>
    <m/>
  </r>
  <r>
    <s v="Population in TB compartment  Active with Drug-susceptible (DS) in HIV compartment  PLHIV and on ART and Female"/>
    <s v="N"/>
    <x v="5"/>
    <x v="0"/>
    <x v="3"/>
    <x v="1"/>
    <x v="94"/>
    <n v="0.8"/>
    <n v="6.8999999999999999E-3"/>
    <n v="8.1000000000000003E-2"/>
    <m/>
    <n v="4.4712000000000007E-4"/>
    <x v="17"/>
    <x v="17"/>
    <m/>
    <m/>
    <m/>
  </r>
  <r>
    <s v="Population in TB compartment  Active with  Multidrug-resistant (MDR-TB) in HIV compartment  PLHIV and on ART and Female"/>
    <s v="N"/>
    <x v="5"/>
    <x v="1"/>
    <x v="3"/>
    <x v="1"/>
    <x v="95"/>
    <n v="0.8"/>
    <n v="6.8999999999999999E-3"/>
    <n v="8.1000000000000003E-2"/>
    <m/>
    <n v="4.4712000000000007E-4"/>
    <x v="17"/>
    <x v="17"/>
    <m/>
    <m/>
    <m/>
  </r>
  <r>
    <s v="Population in TB compartment  Recovered/Treated with Drug-susceptible (DS) in HIV compartment  HIV-negative and Male"/>
    <s v="N"/>
    <x v="6"/>
    <x v="0"/>
    <x v="0"/>
    <x v="0"/>
    <x v="96"/>
    <n v="0"/>
    <n v="0.99309999999999998"/>
    <n v="0.7"/>
    <m/>
    <n v="0"/>
    <x v="1"/>
    <x v="1"/>
    <m/>
    <m/>
    <m/>
  </r>
  <r>
    <s v="Population in TB compartment  Recovered/Treated with  Multidrug-resistant (MDR-TB) in HIV compartment  HIV-negative and Male"/>
    <s v="N"/>
    <x v="6"/>
    <x v="1"/>
    <x v="0"/>
    <x v="0"/>
    <x v="97"/>
    <n v="0"/>
    <n v="6.8999999999999999E-3"/>
    <n v="0.7"/>
    <m/>
    <n v="0"/>
    <x v="1"/>
    <x v="1"/>
    <m/>
    <m/>
    <m/>
  </r>
  <r>
    <s v="Population in TB compartment  Recovered/Treated with Drug-susceptible (DS) in HIV compartment  HIV-negative and Female"/>
    <s v="N"/>
    <x v="6"/>
    <x v="0"/>
    <x v="0"/>
    <x v="1"/>
    <x v="98"/>
    <n v="0"/>
    <n v="0.99309999999999998"/>
    <n v="0.7"/>
    <m/>
    <n v="0"/>
    <x v="1"/>
    <x v="1"/>
    <m/>
    <m/>
    <m/>
  </r>
  <r>
    <s v="Population in TB compartment  Recovered/Treated with  Multidrug-resistant (MDR-TB) in HIV compartment  HIV-negative and Female"/>
    <s v="N"/>
    <x v="6"/>
    <x v="1"/>
    <x v="0"/>
    <x v="1"/>
    <x v="99"/>
    <n v="0"/>
    <n v="6.8999999999999999E-3"/>
    <n v="0.7"/>
    <m/>
    <n v="0"/>
    <x v="1"/>
    <x v="1"/>
    <m/>
    <m/>
    <m/>
  </r>
  <r>
    <s v="Population in TB compartment  Recovered/Treated with Drug-susceptible (DS) in HIV compartment  PLHIV not on ART, CD4&gt;200 and Male"/>
    <s v="N"/>
    <x v="6"/>
    <x v="0"/>
    <x v="1"/>
    <x v="0"/>
    <x v="100"/>
    <n v="0"/>
    <n v="6.8999999999999999E-3"/>
    <n v="0.16500000000000001"/>
    <m/>
    <n v="0"/>
    <x v="1"/>
    <x v="1"/>
    <m/>
    <m/>
    <m/>
  </r>
  <r>
    <s v="Population in TB compartment  Recovered/Treated with  Multidrug-resistant (MDR-TB) in HIV compartment  PLHIV not on ART, CD4&gt;200 and Male"/>
    <s v="N"/>
    <x v="6"/>
    <x v="1"/>
    <x v="1"/>
    <x v="0"/>
    <x v="101"/>
    <n v="0"/>
    <n v="6.8999999999999999E-3"/>
    <n v="0.16500000000000001"/>
    <m/>
    <n v="0"/>
    <x v="1"/>
    <x v="1"/>
    <m/>
    <m/>
    <m/>
  </r>
  <r>
    <s v="Population in TB compartment  Recovered/Treated with Drug-susceptible (DS) in HIV compartment  PLHIV not on ART, CD4&gt;200 and Female"/>
    <s v="N"/>
    <x v="6"/>
    <x v="0"/>
    <x v="1"/>
    <x v="1"/>
    <x v="102"/>
    <n v="0"/>
    <n v="6.8999999999999999E-3"/>
    <n v="0.16500000000000001"/>
    <m/>
    <n v="0"/>
    <x v="1"/>
    <x v="1"/>
    <m/>
    <m/>
    <m/>
  </r>
  <r>
    <s v="Population in TB compartment  Recovered/Treated with  Multidrug-resistant (MDR-TB) in HIV compartment  PLHIV not on ART, CD4&gt;200 and Female"/>
    <s v="N"/>
    <x v="6"/>
    <x v="1"/>
    <x v="1"/>
    <x v="1"/>
    <x v="103"/>
    <n v="0"/>
    <n v="6.8999999999999999E-3"/>
    <n v="0.16500000000000001"/>
    <m/>
    <n v="0"/>
    <x v="1"/>
    <x v="1"/>
    <m/>
    <m/>
    <m/>
  </r>
  <r>
    <s v="Population in TB compartment  Recovered/Treated with Drug-susceptible (DS) in HIV compartment  PLHIV not on ART, CD4≤200 and Male"/>
    <s v="N"/>
    <x v="6"/>
    <x v="0"/>
    <x v="2"/>
    <x v="0"/>
    <x v="104"/>
    <n v="0"/>
    <n v="6.8999999999999999E-3"/>
    <n v="5.3999999999999979E-2"/>
    <m/>
    <n v="0"/>
    <x v="1"/>
    <x v="1"/>
    <m/>
    <m/>
    <m/>
  </r>
  <r>
    <s v="Population in TB compartment  Recovered/Treated with  Multidrug-resistant (MDR-TB) in HIV compartment  PLHIV not on ART, CD4≤200 and Male"/>
    <s v="N"/>
    <x v="6"/>
    <x v="1"/>
    <x v="2"/>
    <x v="0"/>
    <x v="105"/>
    <n v="0"/>
    <n v="6.8999999999999999E-3"/>
    <n v="5.3999999999999979E-2"/>
    <m/>
    <n v="0"/>
    <x v="1"/>
    <x v="1"/>
    <m/>
    <m/>
    <m/>
  </r>
  <r>
    <s v="Population in TB compartment  Recovered/Treated with Drug-susceptible (DS) in HIV compartment  PLHIV not on ART, CD4≤200 and Female"/>
    <s v="N"/>
    <x v="6"/>
    <x v="0"/>
    <x v="2"/>
    <x v="1"/>
    <x v="106"/>
    <n v="0"/>
    <n v="6.8999999999999999E-3"/>
    <n v="5.3999999999999979E-2"/>
    <m/>
    <n v="0"/>
    <x v="1"/>
    <x v="1"/>
    <m/>
    <m/>
    <m/>
  </r>
  <r>
    <s v="Population in TB compartment  Recovered/Treated with  Multidrug-resistant (MDR-TB) in HIV compartment  PLHIV not on ART, CD4≤200 and Female"/>
    <s v="N"/>
    <x v="6"/>
    <x v="1"/>
    <x v="2"/>
    <x v="1"/>
    <x v="107"/>
    <n v="0"/>
    <n v="6.8999999999999999E-3"/>
    <n v="5.3999999999999979E-2"/>
    <m/>
    <n v="0"/>
    <x v="1"/>
    <x v="1"/>
    <m/>
    <m/>
    <m/>
  </r>
  <r>
    <s v="Population in TB compartment  Recovered/Treated with Drug-susceptible (DS) in HIV compartment  PLHIV and on ART and Male"/>
    <s v="N"/>
    <x v="6"/>
    <x v="0"/>
    <x v="3"/>
    <x v="0"/>
    <x v="108"/>
    <n v="0"/>
    <n v="6.8999999999999999E-3"/>
    <n v="8.1000000000000003E-2"/>
    <m/>
    <n v="0"/>
    <x v="1"/>
    <x v="1"/>
    <m/>
    <m/>
    <m/>
  </r>
  <r>
    <s v="Population in TB compartment  Recovered/Treated with  Multidrug-resistant (MDR-TB) in HIV compartment  PLHIV and on ART and Male"/>
    <s v="N"/>
    <x v="6"/>
    <x v="1"/>
    <x v="3"/>
    <x v="0"/>
    <x v="109"/>
    <n v="0"/>
    <n v="6.8999999999999999E-3"/>
    <n v="8.1000000000000003E-2"/>
    <m/>
    <n v="0"/>
    <x v="1"/>
    <x v="1"/>
    <m/>
    <m/>
    <m/>
  </r>
  <r>
    <s v="Population in TB compartment  Recovered/Treated with Drug-susceptible (DS) in HIV compartment  PLHIV and on ART and Female"/>
    <s v="N"/>
    <x v="6"/>
    <x v="0"/>
    <x v="3"/>
    <x v="1"/>
    <x v="110"/>
    <n v="0"/>
    <n v="6.8999999999999999E-3"/>
    <n v="8.1000000000000003E-2"/>
    <m/>
    <n v="0"/>
    <x v="1"/>
    <x v="1"/>
    <m/>
    <m/>
    <m/>
  </r>
  <r>
    <s v="Population in TB compartment  Recovered/Treated with  Multidrug-resistant (MDR-TB) in HIV compartment  PLHIV and on ART and Female"/>
    <s v="N"/>
    <x v="6"/>
    <x v="1"/>
    <x v="3"/>
    <x v="1"/>
    <x v="111"/>
    <n v="0"/>
    <n v="6.8999999999999999E-3"/>
    <n v="8.1000000000000003E-2"/>
    <m/>
    <n v="0"/>
    <x v="1"/>
    <x v="1"/>
    <m/>
    <m/>
    <m/>
  </r>
  <r>
    <s v="Population in TB compartment  LTBI, after IPT with Drug-susceptible (DS) in HIV compartment  HIV-negative and Male"/>
    <s v="N"/>
    <x v="7"/>
    <x v="0"/>
    <x v="0"/>
    <x v="0"/>
    <x v="112"/>
    <n v="0.49"/>
    <n v="0.99309999999999998"/>
    <n v="0.7"/>
    <m/>
    <n v="0.34063329999999997"/>
    <x v="5"/>
    <x v="5"/>
    <m/>
    <m/>
    <m/>
  </r>
  <r>
    <s v="Population in TB compartment  LTBI, after IPT with  Multidrug-resistant (MDR-TB) in HIV compartment  HIV-negative and Male"/>
    <s v="N"/>
    <x v="7"/>
    <x v="1"/>
    <x v="0"/>
    <x v="0"/>
    <x v="113"/>
    <n v="0.49"/>
    <n v="6.8999999999999999E-3"/>
    <n v="0.7"/>
    <m/>
    <n v="2.3666999999999998E-3"/>
    <x v="6"/>
    <x v="6"/>
    <m/>
    <m/>
    <m/>
  </r>
  <r>
    <s v="Population in TB compartment  LTBI, after IPT with Drug-susceptible (DS) in HIV compartment  HIV-negative and Female"/>
    <s v="N"/>
    <x v="7"/>
    <x v="0"/>
    <x v="0"/>
    <x v="1"/>
    <x v="114"/>
    <n v="0.49"/>
    <n v="0.99309999999999998"/>
    <n v="0.7"/>
    <m/>
    <n v="0.34063329999999997"/>
    <x v="5"/>
    <x v="5"/>
    <m/>
    <m/>
    <m/>
  </r>
  <r>
    <s v="Population in TB compartment  LTBI, after IPT with  Multidrug-resistant (MDR-TB) in HIV compartment  HIV-negative and Female"/>
    <s v="N"/>
    <x v="7"/>
    <x v="1"/>
    <x v="0"/>
    <x v="1"/>
    <x v="115"/>
    <n v="0.49"/>
    <n v="6.8999999999999999E-3"/>
    <n v="0.7"/>
    <m/>
    <n v="2.3666999999999998E-3"/>
    <x v="6"/>
    <x v="6"/>
    <m/>
    <m/>
    <m/>
  </r>
  <r>
    <s v="Population in TB compartment  LTBI, after IPT with Drug-susceptible (DS) in HIV compartment  PLHIV not on ART, CD4&gt;200 and Male"/>
    <s v="N"/>
    <x v="7"/>
    <x v="0"/>
    <x v="1"/>
    <x v="0"/>
    <x v="116"/>
    <n v="0.5"/>
    <n v="6.8999999999999999E-3"/>
    <n v="0.16500000000000001"/>
    <m/>
    <n v="5.6924999999999999E-4"/>
    <x v="7"/>
    <x v="7"/>
    <m/>
    <m/>
    <m/>
  </r>
  <r>
    <s v="Population in TB compartment  LTBI, after IPT with  Multidrug-resistant (MDR-TB) in HIV compartment  PLHIV not on ART, CD4&gt;200 and Male"/>
    <s v="N"/>
    <x v="7"/>
    <x v="1"/>
    <x v="1"/>
    <x v="0"/>
    <x v="117"/>
    <n v="0.5"/>
    <n v="6.8999999999999999E-3"/>
    <n v="0.16500000000000001"/>
    <m/>
    <n v="5.6924999999999999E-4"/>
    <x v="7"/>
    <x v="7"/>
    <m/>
    <m/>
    <m/>
  </r>
  <r>
    <s v="Population in TB compartment  LTBI, after IPT with Drug-susceptible (DS) in HIV compartment  PLHIV not on ART, CD4&gt;200 and Female"/>
    <s v="N"/>
    <x v="7"/>
    <x v="0"/>
    <x v="1"/>
    <x v="1"/>
    <x v="118"/>
    <n v="0.5"/>
    <n v="6.8999999999999999E-3"/>
    <n v="0.16500000000000001"/>
    <m/>
    <n v="5.6924999999999999E-4"/>
    <x v="7"/>
    <x v="7"/>
    <m/>
    <m/>
    <m/>
  </r>
  <r>
    <s v="Population in TB compartment  LTBI, after IPT with  Multidrug-resistant (MDR-TB) in HIV compartment  PLHIV not on ART, CD4&gt;200 and Female"/>
    <s v="N"/>
    <x v="7"/>
    <x v="1"/>
    <x v="1"/>
    <x v="1"/>
    <x v="119"/>
    <n v="0.5"/>
    <n v="6.8999999999999999E-3"/>
    <n v="0.16500000000000001"/>
    <m/>
    <n v="5.6924999999999999E-4"/>
    <x v="7"/>
    <x v="7"/>
    <m/>
    <m/>
    <m/>
  </r>
  <r>
    <s v="Population in TB compartment  LTBI, after IPT with Drug-susceptible (DS) in HIV compartment  PLHIV not on ART, CD4≤200 and Male"/>
    <s v="N"/>
    <x v="7"/>
    <x v="0"/>
    <x v="2"/>
    <x v="0"/>
    <x v="120"/>
    <n v="0.5"/>
    <n v="6.8999999999999999E-3"/>
    <n v="5.3999999999999979E-2"/>
    <m/>
    <n v="1.8629999999999992E-4"/>
    <x v="8"/>
    <x v="8"/>
    <m/>
    <m/>
    <m/>
  </r>
  <r>
    <s v="Population in TB compartment  LTBI, after IPT with  Multidrug-resistant (MDR-TB) in HIV compartment  PLHIV not on ART, CD4≤200 and Male"/>
    <s v="N"/>
    <x v="7"/>
    <x v="1"/>
    <x v="2"/>
    <x v="0"/>
    <x v="121"/>
    <n v="0.5"/>
    <n v="6.8999999999999999E-3"/>
    <n v="5.3999999999999979E-2"/>
    <m/>
    <n v="1.8629999999999992E-4"/>
    <x v="8"/>
    <x v="8"/>
    <m/>
    <m/>
    <m/>
  </r>
  <r>
    <s v="Population in TB compartment  LTBI, after IPT with Drug-susceptible (DS) in HIV compartment  PLHIV not on ART, CD4≤200 and Female"/>
    <s v="N"/>
    <x v="7"/>
    <x v="0"/>
    <x v="2"/>
    <x v="1"/>
    <x v="122"/>
    <n v="0.5"/>
    <n v="6.8999999999999999E-3"/>
    <n v="5.3999999999999979E-2"/>
    <m/>
    <n v="1.8629999999999992E-4"/>
    <x v="8"/>
    <x v="8"/>
    <m/>
    <m/>
    <m/>
  </r>
  <r>
    <s v="Population in TB compartment  LTBI, after IPT with  Multidrug-resistant (MDR-TB) in HIV compartment  PLHIV not on ART, CD4≤200 and Female"/>
    <s v="N"/>
    <x v="7"/>
    <x v="1"/>
    <x v="2"/>
    <x v="1"/>
    <x v="123"/>
    <n v="0.5"/>
    <n v="6.8999999999999999E-3"/>
    <n v="5.3999999999999979E-2"/>
    <m/>
    <n v="1.8629999999999992E-4"/>
    <x v="8"/>
    <x v="8"/>
    <m/>
    <m/>
    <m/>
  </r>
  <r>
    <s v="Population in TB compartment  LTBI, after IPT with Drug-susceptible (DS) in HIV compartment  PLHIV and on ART and Male"/>
    <s v="N"/>
    <x v="7"/>
    <x v="0"/>
    <x v="3"/>
    <x v="0"/>
    <x v="124"/>
    <n v="0.5"/>
    <n v="6.8999999999999999E-3"/>
    <n v="8.1000000000000003E-2"/>
    <m/>
    <n v="2.7944999999999999E-4"/>
    <x v="9"/>
    <x v="9"/>
    <m/>
    <m/>
    <m/>
  </r>
  <r>
    <s v="Population in TB compartment  LTBI, after IPT with  Multidrug-resistant (MDR-TB) in HIV compartment  PLHIV and on ART and Male"/>
    <s v="N"/>
    <x v="7"/>
    <x v="1"/>
    <x v="3"/>
    <x v="0"/>
    <x v="125"/>
    <n v="0.5"/>
    <n v="6.8999999999999999E-3"/>
    <n v="8.1000000000000003E-2"/>
    <m/>
    <n v="2.7944999999999999E-4"/>
    <x v="9"/>
    <x v="9"/>
    <m/>
    <m/>
    <m/>
  </r>
  <r>
    <s v="Population in TB compartment  LTBI, after IPT with Drug-susceptible (DS) in HIV compartment  PLHIV and on ART and Female"/>
    <s v="N"/>
    <x v="7"/>
    <x v="0"/>
    <x v="3"/>
    <x v="1"/>
    <x v="126"/>
    <n v="0.5"/>
    <n v="6.8999999999999999E-3"/>
    <n v="8.1000000000000003E-2"/>
    <m/>
    <n v="2.7944999999999999E-4"/>
    <x v="9"/>
    <x v="9"/>
    <m/>
    <m/>
    <m/>
  </r>
  <r>
    <s v="Population in TB compartment  LTBI, after IPT with  Multidrug-resistant (MDR-TB) in HIV compartment  PLHIV and on ART and Female"/>
    <s v="N"/>
    <x v="7"/>
    <x v="1"/>
    <x v="3"/>
    <x v="1"/>
    <x v="127"/>
    <n v="0.5"/>
    <n v="6.8999999999999999E-3"/>
    <n v="8.1000000000000003E-2"/>
    <m/>
    <n v="2.7944999999999999E-4"/>
    <x v="9"/>
    <x v="9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7C60F3-EC28-E44D-AFB7-6EDCF76FFED2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Compartment">
  <location ref="A5:B38" firstHeaderRow="1" firstDataRow="1" firstDataCol="1" rowPageCount="3" colPageCount="1"/>
  <pivotFields count="17">
    <pivotField showAll="0"/>
    <pivotField showAll="0"/>
    <pivotField axis="axisPage" multipleItemSelectionAllowed="1" showAll="0">
      <items count="9">
        <item x="0"/>
        <item h="1" x="1"/>
        <item x="2"/>
        <item x="3"/>
        <item h="1" x="4"/>
        <item x="5"/>
        <item h="1" x="6"/>
        <item h="1" x="7"/>
        <item t="default"/>
      </items>
    </pivotField>
    <pivotField showAll="0"/>
    <pivotField axis="axisPage" multipleItemSelectionAllowed="1" showAll="0">
      <items count="5">
        <item x="0"/>
        <item x="1"/>
        <item h="1" x="2"/>
        <item h="1" x="3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129">
        <item x="0"/>
        <item x="3"/>
        <item x="5"/>
        <item x="7"/>
        <item x="9"/>
        <item x="11"/>
        <item x="13"/>
        <item x="15"/>
        <item x="1"/>
        <item x="2"/>
        <item x="4"/>
        <item x="6"/>
        <item x="8"/>
        <item x="10"/>
        <item x="12"/>
        <item x="14"/>
        <item x="16"/>
        <item x="18"/>
        <item x="20"/>
        <item x="22"/>
        <item x="24"/>
        <item x="26"/>
        <item x="28"/>
        <item x="30"/>
        <item x="17"/>
        <item x="19"/>
        <item x="21"/>
        <item x="23"/>
        <item x="25"/>
        <item x="27"/>
        <item x="29"/>
        <item x="31"/>
        <item x="32"/>
        <item x="34"/>
        <item x="36"/>
        <item x="38"/>
        <item x="40"/>
        <item x="42"/>
        <item x="44"/>
        <item x="46"/>
        <item x="33"/>
        <item x="35"/>
        <item x="37"/>
        <item x="39"/>
        <item x="41"/>
        <item x="43"/>
        <item x="45"/>
        <item x="47"/>
        <item x="48"/>
        <item x="50"/>
        <item x="52"/>
        <item x="54"/>
        <item x="56"/>
        <item x="58"/>
        <item x="60"/>
        <item x="62"/>
        <item x="49"/>
        <item x="51"/>
        <item x="53"/>
        <item x="55"/>
        <item x="57"/>
        <item x="59"/>
        <item x="61"/>
        <item x="63"/>
        <item x="64"/>
        <item x="66"/>
        <item x="68"/>
        <item x="70"/>
        <item x="72"/>
        <item x="74"/>
        <item x="76"/>
        <item x="78"/>
        <item x="65"/>
        <item x="67"/>
        <item x="69"/>
        <item x="71"/>
        <item x="73"/>
        <item x="75"/>
        <item x="77"/>
        <item x="79"/>
        <item x="80"/>
        <item x="82"/>
        <item x="84"/>
        <item x="86"/>
        <item x="88"/>
        <item x="90"/>
        <item x="92"/>
        <item x="94"/>
        <item x="81"/>
        <item x="83"/>
        <item x="85"/>
        <item x="87"/>
        <item x="89"/>
        <item x="91"/>
        <item x="93"/>
        <item x="95"/>
        <item x="96"/>
        <item x="98"/>
        <item x="100"/>
        <item x="102"/>
        <item x="104"/>
        <item x="106"/>
        <item x="108"/>
        <item x="110"/>
        <item x="97"/>
        <item x="99"/>
        <item x="101"/>
        <item x="103"/>
        <item x="105"/>
        <item x="107"/>
        <item x="109"/>
        <item x="111"/>
        <item x="112"/>
        <item x="114"/>
        <item x="116"/>
        <item x="118"/>
        <item x="120"/>
        <item x="122"/>
        <item x="124"/>
        <item x="126"/>
        <item x="113"/>
        <item x="115"/>
        <item x="117"/>
        <item x="119"/>
        <item x="121"/>
        <item x="123"/>
        <item x="125"/>
        <item x="127"/>
        <item t="default"/>
      </items>
    </pivotField>
    <pivotField showAll="0"/>
    <pivotField showAll="0"/>
    <pivotField showAll="0"/>
    <pivotField showAll="0"/>
    <pivotField showAll="0"/>
    <pivotField dataField="1" showAll="0"/>
    <pivotField numFmtId="1" showAll="0"/>
    <pivotField showAll="0"/>
    <pivotField showAll="0"/>
    <pivotField showAll="0"/>
  </pivotFields>
  <rowFields count="1">
    <field x="6"/>
  </rowFields>
  <rowItems count="33">
    <i>
      <x/>
    </i>
    <i>
      <x v="1"/>
    </i>
    <i>
      <x v="2"/>
    </i>
    <i>
      <x v="3"/>
    </i>
    <i>
      <x v="8"/>
    </i>
    <i>
      <x v="9"/>
    </i>
    <i>
      <x v="10"/>
    </i>
    <i>
      <x v="11"/>
    </i>
    <i>
      <x v="32"/>
    </i>
    <i>
      <x v="33"/>
    </i>
    <i>
      <x v="34"/>
    </i>
    <i>
      <x v="35"/>
    </i>
    <i>
      <x v="40"/>
    </i>
    <i>
      <x v="41"/>
    </i>
    <i>
      <x v="42"/>
    </i>
    <i>
      <x v="43"/>
    </i>
    <i>
      <x v="48"/>
    </i>
    <i>
      <x v="49"/>
    </i>
    <i>
      <x v="50"/>
    </i>
    <i>
      <x v="51"/>
    </i>
    <i>
      <x v="56"/>
    </i>
    <i>
      <x v="57"/>
    </i>
    <i>
      <x v="58"/>
    </i>
    <i>
      <x v="59"/>
    </i>
    <i>
      <x v="80"/>
    </i>
    <i>
      <x v="81"/>
    </i>
    <i>
      <x v="82"/>
    </i>
    <i>
      <x v="83"/>
    </i>
    <i>
      <x v="88"/>
    </i>
    <i>
      <x v="89"/>
    </i>
    <i>
      <x v="90"/>
    </i>
    <i>
      <x v="91"/>
    </i>
    <i t="grand">
      <x/>
    </i>
  </rowItems>
  <colItems count="1">
    <i/>
  </colItems>
  <pageFields count="3">
    <pageField fld="2" hier="-1"/>
    <pageField fld="4" hier="-1"/>
    <pageField fld="5" hier="-1"/>
  </pageFields>
  <dataFields count="1">
    <dataField name="Sum of Proportion in compartment" fld="12" baseField="0" baseItem="0"/>
  </dataFields>
  <formats count="8">
    <format dxfId="7">
      <pivotArea field="6" type="button" dataOnly="0" labelOnly="1" outline="0" axis="axisRow" fieldPosition="0"/>
    </format>
    <format dxfId="6">
      <pivotArea dataOnly="0" labelOnly="1" outline="0" axis="axisValues" fieldPosition="0"/>
    </format>
    <format dxfId="5">
      <pivotArea field="6" type="button" dataOnly="0" labelOnly="1" outline="0" axis="axisRow" fieldPosition="0"/>
    </format>
    <format dxfId="4">
      <pivotArea dataOnly="0" labelOnly="1" outline="0" axis="axisValues" fieldPosition="0"/>
    </format>
    <format dxfId="3">
      <pivotArea field="6" type="button" dataOnly="0" labelOnly="1" outline="0" axis="axisRow" fieldPosition="0"/>
    </format>
    <format dxfId="2">
      <pivotArea dataOnly="0" labelOnly="1" outline="0" axis="axisValues" fieldPosition="0"/>
    </format>
    <format dxfId="1">
      <pivotArea field="6" type="button" dataOnly="0" labelOnly="1" outline="0" axis="axisRow" fieldPosition="0"/>
    </format>
    <format dxfId="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K1" dT="2021-01-14T20:15:41.48" personId="{9E204584-B746-014C-A8AD-D4B2CBCA960E}" id="{CCDD4C5E-DC02-8141-9A97-0BDBCF5D6029}">
    <text>HIV ADJ currently not differentiated on Gender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oi.org/10.1016/j.epidem.2017.12.001" TargetMode="Externa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24"/>
  <sheetViews>
    <sheetView zoomScale="164" zoomScaleNormal="100" workbookViewId="0">
      <pane xSplit="11" ySplit="1" topLeftCell="L8" activePane="bottomRight" state="frozen"/>
      <selection pane="topRight" activeCell="I1" sqref="I1"/>
      <selection pane="bottomLeft" activeCell="A2" sqref="A2"/>
      <selection pane="bottomRight" activeCell="L11" sqref="L11"/>
    </sheetView>
  </sheetViews>
  <sheetFormatPr baseColWidth="10" defaultColWidth="8.83203125" defaultRowHeight="15" x14ac:dyDescent="0.2"/>
  <cols>
    <col min="1" max="1" width="69.33203125" style="11" customWidth="1"/>
    <col min="2" max="2" width="53" style="9" hidden="1" customWidth="1"/>
    <col min="3" max="4" width="7.83203125" style="9" hidden="1" customWidth="1"/>
    <col min="5" max="5" width="14" style="9" hidden="1" customWidth="1"/>
    <col min="6" max="7" width="15" style="9" hidden="1" customWidth="1"/>
    <col min="8" max="8" width="26" style="9" hidden="1" customWidth="1"/>
    <col min="9" max="9" width="16.6640625" style="9" hidden="1" customWidth="1"/>
    <col min="10" max="10" width="22.33203125" style="9" hidden="1" customWidth="1"/>
    <col min="11" max="11" width="16.6640625" style="9" customWidth="1"/>
    <col min="12" max="12" width="20" style="9" customWidth="1"/>
    <col min="13" max="13" width="17.83203125" style="9" hidden="1" customWidth="1"/>
    <col min="14" max="14" width="20.5" style="9" hidden="1" customWidth="1"/>
    <col min="15" max="15" width="22.83203125" style="9" customWidth="1"/>
    <col min="16" max="16" width="29.33203125" style="11" customWidth="1"/>
    <col min="17" max="17" width="15.5" style="10" customWidth="1"/>
    <col min="18" max="16384" width="8.83203125" style="10"/>
  </cols>
  <sheetData>
    <row r="1" spans="1:17" s="7" customFormat="1" ht="51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6" t="s">
        <v>5</v>
      </c>
      <c r="G1" s="5" t="s">
        <v>6</v>
      </c>
      <c r="H1" s="5" t="s">
        <v>7</v>
      </c>
      <c r="I1" s="5" t="s">
        <v>8</v>
      </c>
      <c r="J1" s="5" t="s">
        <v>633</v>
      </c>
      <c r="K1" s="5" t="s">
        <v>9</v>
      </c>
      <c r="L1" s="14" t="s">
        <v>10</v>
      </c>
      <c r="M1" s="15" t="s">
        <v>11</v>
      </c>
      <c r="N1" s="14" t="s">
        <v>12</v>
      </c>
      <c r="O1" s="12" t="s">
        <v>13</v>
      </c>
      <c r="P1" s="12" t="s">
        <v>14</v>
      </c>
      <c r="Q1" s="13" t="s">
        <v>366</v>
      </c>
    </row>
    <row r="2" spans="1:17" ht="17" x14ac:dyDescent="0.2">
      <c r="A2" s="20" t="s">
        <v>15</v>
      </c>
      <c r="B2" s="21" t="s">
        <v>15</v>
      </c>
      <c r="C2" s="8" t="s">
        <v>16</v>
      </c>
      <c r="D2" s="8" t="s">
        <v>17</v>
      </c>
      <c r="E2" s="8"/>
      <c r="H2" s="9">
        <v>1</v>
      </c>
      <c r="J2" s="9" t="str">
        <f t="shared" ref="J2:J65" si="0">CONCATENATE(C2, "_", E2, IF(E2&lt;&gt;"",",",""), F2, IF(F2&lt;&gt;"",",",""),  G2, IF(G2&lt;&gt;"",",",""),  H2, IF(I2&lt;&gt;"","(",""), I2, IF(I2&lt;&gt;"",")",""))</f>
        <v>beta_1</v>
      </c>
      <c r="K2" s="9" t="s">
        <v>419</v>
      </c>
      <c r="L2" s="9">
        <v>6.5440000000000003E-3</v>
      </c>
      <c r="O2" s="51" t="s">
        <v>18</v>
      </c>
      <c r="P2" s="52"/>
      <c r="Q2" s="53" t="s">
        <v>367</v>
      </c>
    </row>
    <row r="3" spans="1:17" ht="17" x14ac:dyDescent="0.2">
      <c r="A3" s="20" t="s">
        <v>19</v>
      </c>
      <c r="B3" s="21" t="s">
        <v>19</v>
      </c>
      <c r="C3" s="8" t="s">
        <v>16</v>
      </c>
      <c r="D3" s="8" t="s">
        <v>17</v>
      </c>
      <c r="E3" s="8"/>
      <c r="H3" s="9">
        <v>2</v>
      </c>
      <c r="J3" s="9" t="str">
        <f t="shared" si="0"/>
        <v>beta_2</v>
      </c>
      <c r="K3" s="9" t="s">
        <v>420</v>
      </c>
      <c r="L3" s="9">
        <v>5.5440000000000003E-3</v>
      </c>
      <c r="O3" s="51" t="s">
        <v>18</v>
      </c>
      <c r="P3" s="52"/>
      <c r="Q3" s="53" t="s">
        <v>367</v>
      </c>
    </row>
    <row r="4" spans="1:17" ht="34" x14ac:dyDescent="0.2">
      <c r="A4" s="20" t="s">
        <v>24</v>
      </c>
      <c r="B4" s="21" t="s">
        <v>24</v>
      </c>
      <c r="C4" s="8" t="s">
        <v>25</v>
      </c>
      <c r="D4" s="8" t="s">
        <v>17</v>
      </c>
      <c r="E4" s="8"/>
      <c r="F4" s="9">
        <v>1</v>
      </c>
      <c r="J4" s="9" t="str">
        <f t="shared" si="0"/>
        <v>iota_1,</v>
      </c>
      <c r="K4" s="9" t="s">
        <v>421</v>
      </c>
      <c r="L4" s="34">
        <v>0</v>
      </c>
      <c r="O4" s="51" t="s">
        <v>647</v>
      </c>
      <c r="P4" s="52"/>
      <c r="Q4" s="53" t="s">
        <v>368</v>
      </c>
    </row>
    <row r="5" spans="1:17" ht="34" x14ac:dyDescent="0.2">
      <c r="A5" s="20" t="s">
        <v>26</v>
      </c>
      <c r="B5" s="21" t="s">
        <v>26</v>
      </c>
      <c r="C5" s="8" t="s">
        <v>25</v>
      </c>
      <c r="D5" s="8" t="s">
        <v>17</v>
      </c>
      <c r="E5" s="8"/>
      <c r="F5" s="9">
        <v>2</v>
      </c>
      <c r="J5" s="9" t="str">
        <f t="shared" si="0"/>
        <v>iota_2,</v>
      </c>
      <c r="K5" s="9" t="s">
        <v>422</v>
      </c>
      <c r="L5" s="34">
        <v>0.15</v>
      </c>
      <c r="O5" s="51" t="s">
        <v>652</v>
      </c>
      <c r="P5" s="64" t="s">
        <v>648</v>
      </c>
      <c r="Q5" s="53" t="s">
        <v>368</v>
      </c>
    </row>
    <row r="6" spans="1:17" ht="48" x14ac:dyDescent="0.2">
      <c r="A6" s="20" t="s">
        <v>27</v>
      </c>
      <c r="B6" s="21" t="s">
        <v>27</v>
      </c>
      <c r="C6" s="8" t="s">
        <v>28</v>
      </c>
      <c r="D6" s="8" t="s">
        <v>17</v>
      </c>
      <c r="E6" s="8"/>
      <c r="G6" s="9">
        <v>1</v>
      </c>
      <c r="J6" s="9" t="str">
        <f t="shared" si="0"/>
        <v>phi_1,</v>
      </c>
      <c r="K6" s="9" t="s">
        <v>423</v>
      </c>
      <c r="L6" s="9">
        <v>1</v>
      </c>
      <c r="O6" s="51" t="s">
        <v>654</v>
      </c>
      <c r="P6" s="52" t="s">
        <v>659</v>
      </c>
      <c r="Q6" s="53" t="s">
        <v>368</v>
      </c>
    </row>
    <row r="7" spans="1:17" ht="51" customHeight="1" x14ac:dyDescent="0.2">
      <c r="A7" s="20" t="s">
        <v>30</v>
      </c>
      <c r="B7" s="21" t="s">
        <v>30</v>
      </c>
      <c r="C7" s="8" t="s">
        <v>28</v>
      </c>
      <c r="D7" s="8" t="s">
        <v>17</v>
      </c>
      <c r="E7" s="8"/>
      <c r="G7" s="9">
        <v>2</v>
      </c>
      <c r="J7" s="9" t="str">
        <f t="shared" si="0"/>
        <v>phi_2,</v>
      </c>
      <c r="K7" s="9" t="s">
        <v>424</v>
      </c>
      <c r="L7" s="9">
        <f>VLOOKUP("phi_1,", model_matched_parameters,3, FALSE)*VLOOKUP(K7,indirect_model_params,2)</f>
        <v>0.9</v>
      </c>
      <c r="O7" s="51" t="s">
        <v>654</v>
      </c>
      <c r="P7" s="52" t="s">
        <v>653</v>
      </c>
      <c r="Q7" s="53" t="s">
        <v>368</v>
      </c>
    </row>
    <row r="8" spans="1:17" ht="51" customHeight="1" x14ac:dyDescent="0.2">
      <c r="A8" s="20" t="s">
        <v>31</v>
      </c>
      <c r="B8" s="21" t="s">
        <v>31</v>
      </c>
      <c r="C8" s="8" t="s">
        <v>28</v>
      </c>
      <c r="D8" s="8" t="s">
        <v>17</v>
      </c>
      <c r="E8" s="8"/>
      <c r="G8" s="9">
        <v>3</v>
      </c>
      <c r="J8" s="9" t="str">
        <f t="shared" si="0"/>
        <v>phi_3,</v>
      </c>
      <c r="K8" s="9" t="s">
        <v>425</v>
      </c>
      <c r="L8" s="9">
        <f>VLOOKUP("phi_1,", model_matched_parameters,3, FALSE)*VLOOKUP(K8,indirect_model_params,2)</f>
        <v>0.6</v>
      </c>
      <c r="O8" s="51" t="s">
        <v>654</v>
      </c>
      <c r="P8" s="52" t="s">
        <v>653</v>
      </c>
      <c r="Q8" s="53" t="s">
        <v>368</v>
      </c>
    </row>
    <row r="9" spans="1:17" ht="51" customHeight="1" x14ac:dyDescent="0.2">
      <c r="A9" s="20" t="s">
        <v>32</v>
      </c>
      <c r="B9" s="21" t="s">
        <v>32</v>
      </c>
      <c r="C9" s="8" t="s">
        <v>28</v>
      </c>
      <c r="D9" s="8" t="s">
        <v>17</v>
      </c>
      <c r="E9" s="8"/>
      <c r="G9" s="9">
        <v>4</v>
      </c>
      <c r="J9" s="9" t="str">
        <f t="shared" si="0"/>
        <v>phi_4,</v>
      </c>
      <c r="K9" s="9" t="s">
        <v>426</v>
      </c>
      <c r="L9" s="9">
        <f>VLOOKUP("phi_1,", model_matched_parameters,3, FALSE)*VLOOKUP(K9,indirect_model_params,2)</f>
        <v>0.9</v>
      </c>
      <c r="O9" s="51" t="s">
        <v>654</v>
      </c>
      <c r="P9" s="52" t="s">
        <v>653</v>
      </c>
      <c r="Q9" s="53" t="s">
        <v>368</v>
      </c>
    </row>
    <row r="10" spans="1:17" ht="48" customHeight="1" x14ac:dyDescent="0.2">
      <c r="A10" s="20" t="s">
        <v>33</v>
      </c>
      <c r="B10" s="21" t="s">
        <v>33</v>
      </c>
      <c r="C10" s="8" t="s">
        <v>34</v>
      </c>
      <c r="D10" s="8" t="s">
        <v>17</v>
      </c>
      <c r="E10" s="8"/>
      <c r="J10" s="9" t="str">
        <f t="shared" si="0"/>
        <v>upsilon_</v>
      </c>
      <c r="K10" s="9" t="s">
        <v>427</v>
      </c>
      <c r="L10" s="34">
        <v>0.3</v>
      </c>
      <c r="O10" s="51" t="s">
        <v>35</v>
      </c>
      <c r="P10" s="52" t="s">
        <v>36</v>
      </c>
      <c r="Q10" s="53" t="s">
        <v>368</v>
      </c>
    </row>
    <row r="11" spans="1:17" ht="64" x14ac:dyDescent="0.2">
      <c r="A11" s="20" t="s">
        <v>20</v>
      </c>
      <c r="B11" s="21" t="s">
        <v>20</v>
      </c>
      <c r="C11" s="8" t="s">
        <v>21</v>
      </c>
      <c r="D11" s="8" t="s">
        <v>17</v>
      </c>
      <c r="E11" s="8"/>
      <c r="H11" s="9">
        <v>1</v>
      </c>
      <c r="J11" s="9" t="str">
        <f t="shared" si="0"/>
        <v>varepsilon_1</v>
      </c>
      <c r="K11" s="9" t="s">
        <v>428</v>
      </c>
      <c r="L11" s="9">
        <v>3.6999999999999998E-2</v>
      </c>
      <c r="O11" s="51" t="s">
        <v>22</v>
      </c>
      <c r="P11" s="52" t="s">
        <v>656</v>
      </c>
      <c r="Q11" s="53" t="s">
        <v>367</v>
      </c>
    </row>
    <row r="12" spans="1:17" ht="32" x14ac:dyDescent="0.2">
      <c r="A12" s="20" t="s">
        <v>23</v>
      </c>
      <c r="B12" s="21" t="s">
        <v>23</v>
      </c>
      <c r="C12" s="8" t="s">
        <v>21</v>
      </c>
      <c r="D12" s="8" t="s">
        <v>17</v>
      </c>
      <c r="E12" s="8"/>
      <c r="H12" s="9">
        <v>2</v>
      </c>
      <c r="J12" s="9" t="str">
        <f t="shared" si="0"/>
        <v>varepsilon_2</v>
      </c>
      <c r="K12" s="9" t="s">
        <v>429</v>
      </c>
      <c r="L12" s="9">
        <v>3.6999999999999998E-2</v>
      </c>
      <c r="O12" s="51" t="s">
        <v>22</v>
      </c>
      <c r="P12" s="52"/>
      <c r="Q12" s="53" t="s">
        <v>367</v>
      </c>
    </row>
    <row r="13" spans="1:17" ht="51" x14ac:dyDescent="0.2">
      <c r="A13" s="20" t="s">
        <v>37</v>
      </c>
      <c r="B13" s="21" t="s">
        <v>37</v>
      </c>
      <c r="C13" s="8" t="s">
        <v>38</v>
      </c>
      <c r="D13" s="8" t="s">
        <v>17</v>
      </c>
      <c r="E13" s="8"/>
      <c r="J13" s="9" t="str">
        <f t="shared" si="0"/>
        <v>zeta_</v>
      </c>
      <c r="K13" s="9" t="s">
        <v>430</v>
      </c>
      <c r="L13" s="34">
        <v>0.21</v>
      </c>
      <c r="O13" s="51" t="s">
        <v>657</v>
      </c>
      <c r="P13" s="65" t="s">
        <v>658</v>
      </c>
      <c r="Q13" s="53" t="s">
        <v>368</v>
      </c>
    </row>
    <row r="14" spans="1:17" ht="17" x14ac:dyDescent="0.2">
      <c r="A14" s="20" t="s">
        <v>120</v>
      </c>
      <c r="B14" s="9" t="s">
        <v>120</v>
      </c>
      <c r="C14" s="8" t="s">
        <v>121</v>
      </c>
      <c r="D14" s="8" t="s">
        <v>41</v>
      </c>
      <c r="E14" s="8"/>
      <c r="F14" s="9">
        <v>1</v>
      </c>
      <c r="J14" s="9" t="str">
        <f t="shared" si="0"/>
        <v>gamma_1,</v>
      </c>
      <c r="K14" s="9" t="s">
        <v>431</v>
      </c>
      <c r="L14" s="9">
        <v>1</v>
      </c>
      <c r="O14" s="51"/>
      <c r="P14" s="52"/>
      <c r="Q14" s="53" t="s">
        <v>368</v>
      </c>
    </row>
    <row r="15" spans="1:17" ht="17" x14ac:dyDescent="0.2">
      <c r="A15" s="20" t="s">
        <v>120</v>
      </c>
      <c r="B15" s="9" t="s">
        <v>120</v>
      </c>
      <c r="C15" s="8" t="s">
        <v>121</v>
      </c>
      <c r="D15" s="8" t="s">
        <v>41</v>
      </c>
      <c r="E15" s="8"/>
      <c r="F15" s="9">
        <v>2</v>
      </c>
      <c r="J15" s="9" t="str">
        <f t="shared" si="0"/>
        <v>gamma_2,</v>
      </c>
      <c r="K15" s="9" t="s">
        <v>432</v>
      </c>
      <c r="L15" s="9">
        <v>0</v>
      </c>
      <c r="O15" s="51"/>
      <c r="P15" s="52"/>
      <c r="Q15" s="53" t="s">
        <v>368</v>
      </c>
    </row>
    <row r="16" spans="1:17" ht="51" x14ac:dyDescent="0.2">
      <c r="A16" s="20" t="s">
        <v>96</v>
      </c>
      <c r="B16" s="21" t="str">
        <f t="shared" ref="B16:B47" si="1">CONCATENATE("Rate of IPT initiation from TB compartment ",VLOOKUP(E16,TB_SET,2)," and HIV compartment ",VLOOKUP(G16,HIV_SET,2)," for gender ",VLOOKUP(H16,G_SET,2), " under policy ", VLOOKUP(I16, P_SET,2))</f>
        <v>Rate of IPT initiation from TB compartment  Uninfected, not on IPT and HIV compartment  HIV-negative for gender Male under policy Standard (baseline)</v>
      </c>
      <c r="C16" s="8" t="s">
        <v>40</v>
      </c>
      <c r="D16" s="8" t="s">
        <v>41</v>
      </c>
      <c r="E16" s="8">
        <v>1</v>
      </c>
      <c r="G16" s="9">
        <v>1</v>
      </c>
      <c r="H16" s="9">
        <v>1</v>
      </c>
      <c r="I16" s="9">
        <v>1</v>
      </c>
      <c r="J16" s="9" t="str">
        <f t="shared" si="0"/>
        <v>kappa_1,1,1(1)</v>
      </c>
      <c r="K16" s="9" t="s">
        <v>433</v>
      </c>
      <c r="L16" s="9">
        <v>0</v>
      </c>
      <c r="O16" s="51"/>
      <c r="P16" s="52" t="s">
        <v>88</v>
      </c>
      <c r="Q16" s="53" t="s">
        <v>367</v>
      </c>
    </row>
    <row r="17" spans="1:17" ht="51" x14ac:dyDescent="0.2">
      <c r="A17" s="20" t="s">
        <v>69</v>
      </c>
      <c r="B17" s="21" t="str">
        <f t="shared" si="1"/>
        <v>Rate of IPT initiation from TB compartment  Uninfected, not on IPT and HIV compartment  HIV-negative for gender Male under policy Community ART</v>
      </c>
      <c r="C17" s="8" t="s">
        <v>40</v>
      </c>
      <c r="D17" s="8" t="s">
        <v>41</v>
      </c>
      <c r="E17" s="8">
        <v>1</v>
      </c>
      <c r="G17" s="9">
        <v>1</v>
      </c>
      <c r="H17" s="9">
        <v>1</v>
      </c>
      <c r="I17" s="9">
        <v>2</v>
      </c>
      <c r="J17" s="9" t="str">
        <f t="shared" si="0"/>
        <v>kappa_1,1,1(2)</v>
      </c>
      <c r="K17" s="9" t="s">
        <v>434</v>
      </c>
      <c r="L17" s="9">
        <v>0</v>
      </c>
      <c r="O17" s="51"/>
      <c r="P17" s="52" t="s">
        <v>70</v>
      </c>
      <c r="Q17" s="53" t="s">
        <v>367</v>
      </c>
    </row>
    <row r="18" spans="1:17" ht="51" x14ac:dyDescent="0.2">
      <c r="A18" s="20" t="s">
        <v>39</v>
      </c>
      <c r="B18" s="21" t="str">
        <f t="shared" si="1"/>
        <v>Rate of IPT initiation from TB compartment  Uninfected, not on IPT and HIV compartment  HIV-negative for gender Male under policy Community ART + IPT</v>
      </c>
      <c r="C18" s="8" t="s">
        <v>40</v>
      </c>
      <c r="D18" s="8" t="s">
        <v>41</v>
      </c>
      <c r="E18" s="8">
        <v>1</v>
      </c>
      <c r="G18" s="9">
        <v>1</v>
      </c>
      <c r="H18" s="9">
        <v>1</v>
      </c>
      <c r="I18" s="9">
        <v>3</v>
      </c>
      <c r="J18" s="9" t="str">
        <f t="shared" si="0"/>
        <v>kappa_1,1,1(3)</v>
      </c>
      <c r="K18" s="9" t="s">
        <v>435</v>
      </c>
      <c r="L18" s="27">
        <v>0</v>
      </c>
      <c r="O18" s="51"/>
      <c r="P18" s="52" t="s">
        <v>42</v>
      </c>
      <c r="Q18" s="53" t="s">
        <v>367</v>
      </c>
    </row>
    <row r="19" spans="1:17" ht="51" customHeight="1" x14ac:dyDescent="0.2">
      <c r="A19" s="20" t="s">
        <v>97</v>
      </c>
      <c r="B19" s="21" t="str">
        <f t="shared" si="1"/>
        <v>Rate of IPT initiation from TB compartment  Uninfected, not on IPT and HIV compartment  HIV-negative for gender Female under policy Standard (baseline)</v>
      </c>
      <c r="C19" s="8" t="s">
        <v>40</v>
      </c>
      <c r="D19" s="8" t="s">
        <v>41</v>
      </c>
      <c r="E19" s="8">
        <v>1</v>
      </c>
      <c r="G19" s="9">
        <v>1</v>
      </c>
      <c r="H19" s="9">
        <v>2</v>
      </c>
      <c r="I19" s="9">
        <v>1</v>
      </c>
      <c r="J19" s="9" t="str">
        <f t="shared" si="0"/>
        <v>kappa_1,1,2(1)</v>
      </c>
      <c r="K19" s="9" t="s">
        <v>436</v>
      </c>
      <c r="L19" s="9">
        <v>0</v>
      </c>
      <c r="O19" s="51"/>
      <c r="P19" s="52" t="s">
        <v>88</v>
      </c>
      <c r="Q19" s="53" t="s">
        <v>367</v>
      </c>
    </row>
    <row r="20" spans="1:17" ht="51" customHeight="1" x14ac:dyDescent="0.2">
      <c r="A20" s="20" t="s">
        <v>71</v>
      </c>
      <c r="B20" s="21" t="str">
        <f t="shared" si="1"/>
        <v>Rate of IPT initiation from TB compartment  Uninfected, not on IPT and HIV compartment  HIV-negative for gender Female under policy Community ART</v>
      </c>
      <c r="C20" s="8" t="s">
        <v>40</v>
      </c>
      <c r="D20" s="8" t="s">
        <v>41</v>
      </c>
      <c r="E20" s="8">
        <v>1</v>
      </c>
      <c r="G20" s="9">
        <v>1</v>
      </c>
      <c r="H20" s="9">
        <v>2</v>
      </c>
      <c r="I20" s="9">
        <v>2</v>
      </c>
      <c r="J20" s="9" t="str">
        <f t="shared" si="0"/>
        <v>kappa_1,1,2(2)</v>
      </c>
      <c r="K20" s="9" t="s">
        <v>437</v>
      </c>
      <c r="L20" s="9">
        <v>0</v>
      </c>
      <c r="O20" s="51"/>
      <c r="P20" s="52" t="s">
        <v>70</v>
      </c>
      <c r="Q20" s="53" t="s">
        <v>367</v>
      </c>
    </row>
    <row r="21" spans="1:17" ht="51" customHeight="1" x14ac:dyDescent="0.2">
      <c r="A21" s="20" t="s">
        <v>43</v>
      </c>
      <c r="B21" s="21" t="str">
        <f t="shared" si="1"/>
        <v>Rate of IPT initiation from TB compartment  Uninfected, not on IPT and HIV compartment  HIV-negative for gender Female under policy Community ART + IPT</v>
      </c>
      <c r="C21" s="8" t="s">
        <v>40</v>
      </c>
      <c r="D21" s="8" t="s">
        <v>41</v>
      </c>
      <c r="E21" s="8">
        <v>1</v>
      </c>
      <c r="G21" s="9">
        <v>1</v>
      </c>
      <c r="H21" s="9">
        <v>2</v>
      </c>
      <c r="I21" s="9">
        <v>3</v>
      </c>
      <c r="J21" s="9" t="str">
        <f t="shared" si="0"/>
        <v>kappa_1,1,2(3)</v>
      </c>
      <c r="K21" s="9" t="s">
        <v>438</v>
      </c>
      <c r="L21" s="27">
        <v>0</v>
      </c>
      <c r="O21" s="51"/>
      <c r="P21" s="52" t="s">
        <v>42</v>
      </c>
      <c r="Q21" s="53" t="s">
        <v>367</v>
      </c>
    </row>
    <row r="22" spans="1:17" ht="51" x14ac:dyDescent="0.2">
      <c r="A22" s="20" t="s">
        <v>98</v>
      </c>
      <c r="B22" s="21" t="str">
        <f t="shared" si="1"/>
        <v>Rate of IPT initiation from TB compartment  Uninfected, not on IPT and HIV compartment  PLHIV not on ART, CD4&gt;200 for gender Male under policy Standard (baseline)</v>
      </c>
      <c r="C22" s="8" t="s">
        <v>40</v>
      </c>
      <c r="D22" s="8" t="s">
        <v>41</v>
      </c>
      <c r="E22" s="8">
        <v>1</v>
      </c>
      <c r="G22" s="9">
        <v>2</v>
      </c>
      <c r="H22" s="9">
        <v>1</v>
      </c>
      <c r="I22" s="9">
        <v>1</v>
      </c>
      <c r="J22" s="9" t="str">
        <f t="shared" si="0"/>
        <v>kappa_1,2,1(1)</v>
      </c>
      <c r="K22" s="9" t="s">
        <v>439</v>
      </c>
      <c r="L22" s="9">
        <v>0.06</v>
      </c>
      <c r="O22" s="51" t="s">
        <v>45</v>
      </c>
      <c r="P22" s="52"/>
      <c r="Q22" s="53" t="s">
        <v>367</v>
      </c>
    </row>
    <row r="23" spans="1:17" ht="112" x14ac:dyDescent="0.2">
      <c r="A23" s="20" t="s">
        <v>72</v>
      </c>
      <c r="B23" s="21" t="str">
        <f t="shared" si="1"/>
        <v>Rate of IPT initiation from TB compartment  Uninfected, not on IPT and HIV compartment  PLHIV not on ART, CD4&gt;200 for gender Male under policy Community ART</v>
      </c>
      <c r="C23" s="8" t="s">
        <v>40</v>
      </c>
      <c r="D23" s="8" t="s">
        <v>41</v>
      </c>
      <c r="E23" s="8">
        <v>1</v>
      </c>
      <c r="G23" s="9">
        <v>2</v>
      </c>
      <c r="H23" s="9">
        <v>1</v>
      </c>
      <c r="I23" s="9">
        <v>2</v>
      </c>
      <c r="J23" s="9" t="str">
        <f t="shared" si="0"/>
        <v>kappa_1,2,1(2)</v>
      </c>
      <c r="K23" s="9" t="s">
        <v>440</v>
      </c>
      <c r="L23" s="9">
        <v>0.06</v>
      </c>
      <c r="O23" s="51" t="s">
        <v>45</v>
      </c>
      <c r="P23" s="52" t="s">
        <v>73</v>
      </c>
      <c r="Q23" s="53" t="s">
        <v>367</v>
      </c>
    </row>
    <row r="24" spans="1:17" ht="51" x14ac:dyDescent="0.2">
      <c r="A24" s="20" t="s">
        <v>44</v>
      </c>
      <c r="B24" s="21" t="str">
        <f t="shared" si="1"/>
        <v>Rate of IPT initiation from TB compartment  Uninfected, not on IPT and HIV compartment  PLHIV not on ART, CD4&gt;200 for gender Male under policy Community ART + IPT</v>
      </c>
      <c r="C24" s="8" t="s">
        <v>40</v>
      </c>
      <c r="D24" s="8" t="s">
        <v>41</v>
      </c>
      <c r="E24" s="8">
        <v>1</v>
      </c>
      <c r="G24" s="9">
        <v>2</v>
      </c>
      <c r="H24" s="9">
        <v>1</v>
      </c>
      <c r="I24" s="9">
        <v>3</v>
      </c>
      <c r="J24" s="9" t="str">
        <f t="shared" si="0"/>
        <v>kappa_1,2,1(3)</v>
      </c>
      <c r="K24" s="9" t="s">
        <v>441</v>
      </c>
      <c r="L24" s="9">
        <v>0.91</v>
      </c>
      <c r="O24" s="51" t="s">
        <v>45</v>
      </c>
      <c r="P24" s="52" t="s">
        <v>46</v>
      </c>
      <c r="Q24" s="53" t="s">
        <v>367</v>
      </c>
    </row>
    <row r="25" spans="1:17" ht="51" x14ac:dyDescent="0.2">
      <c r="A25" s="20" t="s">
        <v>99</v>
      </c>
      <c r="B25" s="21" t="str">
        <f t="shared" si="1"/>
        <v>Rate of IPT initiation from TB compartment  Uninfected, not on IPT and HIV compartment  PLHIV not on ART, CD4&gt;200 for gender Female under policy Standard (baseline)</v>
      </c>
      <c r="C25" s="8" t="s">
        <v>40</v>
      </c>
      <c r="D25" s="8" t="s">
        <v>41</v>
      </c>
      <c r="E25" s="8">
        <v>1</v>
      </c>
      <c r="G25" s="9">
        <v>2</v>
      </c>
      <c r="H25" s="9">
        <v>2</v>
      </c>
      <c r="I25" s="9">
        <v>1</v>
      </c>
      <c r="J25" s="9" t="str">
        <f t="shared" si="0"/>
        <v>kappa_1,2,2(1)</v>
      </c>
      <c r="K25" s="9" t="s">
        <v>442</v>
      </c>
      <c r="L25" s="9">
        <v>0.06</v>
      </c>
      <c r="O25" s="51" t="s">
        <v>45</v>
      </c>
      <c r="P25" s="52"/>
      <c r="Q25" s="53" t="s">
        <v>367</v>
      </c>
    </row>
    <row r="26" spans="1:17" ht="112" x14ac:dyDescent="0.2">
      <c r="A26" s="20" t="s">
        <v>74</v>
      </c>
      <c r="B26" s="21" t="str">
        <f t="shared" si="1"/>
        <v>Rate of IPT initiation from TB compartment  Uninfected, not on IPT and HIV compartment  PLHIV not on ART, CD4&gt;200 for gender Female under policy Community ART</v>
      </c>
      <c r="C26" s="8" t="s">
        <v>40</v>
      </c>
      <c r="D26" s="8" t="s">
        <v>41</v>
      </c>
      <c r="E26" s="8">
        <v>1</v>
      </c>
      <c r="G26" s="9">
        <v>2</v>
      </c>
      <c r="H26" s="9">
        <v>2</v>
      </c>
      <c r="I26" s="9">
        <v>2</v>
      </c>
      <c r="J26" s="9" t="str">
        <f t="shared" si="0"/>
        <v>kappa_1,2,2(2)</v>
      </c>
      <c r="K26" s="9" t="s">
        <v>443</v>
      </c>
      <c r="L26" s="9">
        <v>0.06</v>
      </c>
      <c r="O26" s="51" t="s">
        <v>45</v>
      </c>
      <c r="P26" s="52" t="s">
        <v>73</v>
      </c>
      <c r="Q26" s="53" t="s">
        <v>367</v>
      </c>
    </row>
    <row r="27" spans="1:17" ht="51" x14ac:dyDescent="0.2">
      <c r="A27" s="20" t="s">
        <v>47</v>
      </c>
      <c r="B27" s="21" t="str">
        <f t="shared" si="1"/>
        <v>Rate of IPT initiation from TB compartment  Uninfected, not on IPT and HIV compartment  PLHIV not on ART, CD4&gt;200 for gender Female under policy Community ART + IPT</v>
      </c>
      <c r="C27" s="8" t="s">
        <v>40</v>
      </c>
      <c r="D27" s="8" t="s">
        <v>41</v>
      </c>
      <c r="E27" s="8">
        <v>1</v>
      </c>
      <c r="G27" s="9">
        <v>2</v>
      </c>
      <c r="H27" s="9">
        <v>2</v>
      </c>
      <c r="I27" s="9">
        <v>3</v>
      </c>
      <c r="J27" s="9" t="str">
        <f t="shared" si="0"/>
        <v>kappa_1,2,2(3)</v>
      </c>
      <c r="K27" s="9" t="s">
        <v>444</v>
      </c>
      <c r="L27" s="9">
        <v>0.91</v>
      </c>
      <c r="O27" s="51" t="s">
        <v>45</v>
      </c>
      <c r="P27" s="52" t="s">
        <v>46</v>
      </c>
      <c r="Q27" s="53" t="s">
        <v>367</v>
      </c>
    </row>
    <row r="28" spans="1:17" ht="51" x14ac:dyDescent="0.2">
      <c r="A28" s="20" t="s">
        <v>100</v>
      </c>
      <c r="B28" s="21" t="str">
        <f t="shared" si="1"/>
        <v>Rate of IPT initiation from TB compartment  Uninfected, not on IPT and HIV compartment  PLHIV not on ART, CD4≤200 for gender Male under policy Standard (baseline)</v>
      </c>
      <c r="C28" s="8" t="s">
        <v>40</v>
      </c>
      <c r="D28" s="8" t="s">
        <v>41</v>
      </c>
      <c r="E28" s="8">
        <v>1</v>
      </c>
      <c r="G28" s="9">
        <v>3</v>
      </c>
      <c r="H28" s="9">
        <v>1</v>
      </c>
      <c r="I28" s="9">
        <v>1</v>
      </c>
      <c r="J28" s="9" t="str">
        <f t="shared" si="0"/>
        <v>kappa_1,3,1(1)</v>
      </c>
      <c r="K28" s="9" t="s">
        <v>445</v>
      </c>
      <c r="L28" s="9">
        <v>0.06</v>
      </c>
      <c r="O28" s="51" t="s">
        <v>45</v>
      </c>
      <c r="P28" s="52"/>
      <c r="Q28" s="53" t="s">
        <v>367</v>
      </c>
    </row>
    <row r="29" spans="1:17" ht="112" x14ac:dyDescent="0.2">
      <c r="A29" s="20" t="s">
        <v>75</v>
      </c>
      <c r="B29" s="21" t="str">
        <f t="shared" si="1"/>
        <v>Rate of IPT initiation from TB compartment  Uninfected, not on IPT and HIV compartment  PLHIV not on ART, CD4≤200 for gender Male under policy Community ART</v>
      </c>
      <c r="C29" s="8" t="s">
        <v>40</v>
      </c>
      <c r="D29" s="8" t="s">
        <v>41</v>
      </c>
      <c r="E29" s="8">
        <v>1</v>
      </c>
      <c r="G29" s="9">
        <v>3</v>
      </c>
      <c r="H29" s="9">
        <v>1</v>
      </c>
      <c r="I29" s="9">
        <v>2</v>
      </c>
      <c r="J29" s="9" t="str">
        <f t="shared" si="0"/>
        <v>kappa_1,3,1(2)</v>
      </c>
      <c r="K29" s="9" t="s">
        <v>446</v>
      </c>
      <c r="L29" s="9">
        <v>0.06</v>
      </c>
      <c r="O29" s="51" t="s">
        <v>45</v>
      </c>
      <c r="P29" s="52" t="s">
        <v>73</v>
      </c>
      <c r="Q29" s="53" t="s">
        <v>367</v>
      </c>
    </row>
    <row r="30" spans="1:17" ht="51" x14ac:dyDescent="0.2">
      <c r="A30" s="20" t="s">
        <v>48</v>
      </c>
      <c r="B30" s="21" t="str">
        <f t="shared" si="1"/>
        <v>Rate of IPT initiation from TB compartment  Uninfected, not on IPT and HIV compartment  PLHIV not on ART, CD4≤200 for gender Male under policy Community ART + IPT</v>
      </c>
      <c r="C30" s="8" t="s">
        <v>40</v>
      </c>
      <c r="D30" s="8" t="s">
        <v>41</v>
      </c>
      <c r="E30" s="8">
        <v>1</v>
      </c>
      <c r="G30" s="9">
        <v>3</v>
      </c>
      <c r="H30" s="9">
        <v>1</v>
      </c>
      <c r="I30" s="9">
        <v>3</v>
      </c>
      <c r="J30" s="9" t="str">
        <f t="shared" si="0"/>
        <v>kappa_1,3,1(3)</v>
      </c>
      <c r="K30" s="9" t="s">
        <v>447</v>
      </c>
      <c r="L30" s="9">
        <v>0.91</v>
      </c>
      <c r="O30" s="51" t="s">
        <v>45</v>
      </c>
      <c r="P30" s="52" t="s">
        <v>46</v>
      </c>
      <c r="Q30" s="53" t="s">
        <v>367</v>
      </c>
    </row>
    <row r="31" spans="1:17" ht="51" x14ac:dyDescent="0.2">
      <c r="A31" s="20" t="s">
        <v>101</v>
      </c>
      <c r="B31" s="21" t="str">
        <f t="shared" si="1"/>
        <v>Rate of IPT initiation from TB compartment  Uninfected, not on IPT and HIV compartment  PLHIV not on ART, CD4≤200 for gender Female under policy Standard (baseline)</v>
      </c>
      <c r="C31" s="8" t="s">
        <v>40</v>
      </c>
      <c r="D31" s="8" t="s">
        <v>41</v>
      </c>
      <c r="E31" s="8">
        <v>1</v>
      </c>
      <c r="G31" s="9">
        <v>3</v>
      </c>
      <c r="H31" s="9">
        <v>2</v>
      </c>
      <c r="I31" s="9">
        <v>1</v>
      </c>
      <c r="J31" s="9" t="str">
        <f t="shared" si="0"/>
        <v>kappa_1,3,2(1)</v>
      </c>
      <c r="K31" s="9" t="s">
        <v>448</v>
      </c>
      <c r="L31" s="9">
        <v>0.06</v>
      </c>
      <c r="O31" s="51" t="s">
        <v>45</v>
      </c>
      <c r="P31" s="52"/>
      <c r="Q31" s="53" t="s">
        <v>367</v>
      </c>
    </row>
    <row r="32" spans="1:17" ht="112" x14ac:dyDescent="0.2">
      <c r="A32" s="20" t="s">
        <v>76</v>
      </c>
      <c r="B32" s="21" t="str">
        <f t="shared" si="1"/>
        <v>Rate of IPT initiation from TB compartment  Uninfected, not on IPT and HIV compartment  PLHIV not on ART, CD4≤200 for gender Female under policy Community ART</v>
      </c>
      <c r="C32" s="8" t="s">
        <v>40</v>
      </c>
      <c r="D32" s="8" t="s">
        <v>41</v>
      </c>
      <c r="E32" s="8">
        <v>1</v>
      </c>
      <c r="G32" s="9">
        <v>3</v>
      </c>
      <c r="H32" s="9">
        <v>2</v>
      </c>
      <c r="I32" s="9">
        <v>2</v>
      </c>
      <c r="J32" s="9" t="str">
        <f t="shared" si="0"/>
        <v>kappa_1,3,2(2)</v>
      </c>
      <c r="K32" s="9" t="s">
        <v>449</v>
      </c>
      <c r="L32" s="9">
        <v>0.06</v>
      </c>
      <c r="O32" s="51" t="s">
        <v>45</v>
      </c>
      <c r="P32" s="52" t="s">
        <v>73</v>
      </c>
      <c r="Q32" s="53" t="s">
        <v>367</v>
      </c>
    </row>
    <row r="33" spans="1:17" ht="51" x14ac:dyDescent="0.2">
      <c r="A33" s="20" t="s">
        <v>49</v>
      </c>
      <c r="B33" s="21" t="str">
        <f t="shared" si="1"/>
        <v>Rate of IPT initiation from TB compartment  Uninfected, not on IPT and HIV compartment  PLHIV not on ART, CD4≤200 for gender Female under policy Community ART + IPT</v>
      </c>
      <c r="C33" s="8" t="s">
        <v>40</v>
      </c>
      <c r="D33" s="8" t="s">
        <v>41</v>
      </c>
      <c r="E33" s="8">
        <v>1</v>
      </c>
      <c r="G33" s="9">
        <v>3</v>
      </c>
      <c r="H33" s="9">
        <v>2</v>
      </c>
      <c r="I33" s="9">
        <v>3</v>
      </c>
      <c r="J33" s="9" t="str">
        <f t="shared" si="0"/>
        <v>kappa_1,3,2(3)</v>
      </c>
      <c r="K33" s="9" t="s">
        <v>450</v>
      </c>
      <c r="L33" s="9">
        <v>0.91</v>
      </c>
      <c r="O33" s="51" t="s">
        <v>45</v>
      </c>
      <c r="P33" s="52" t="s">
        <v>46</v>
      </c>
      <c r="Q33" s="53" t="s">
        <v>367</v>
      </c>
    </row>
    <row r="34" spans="1:17" ht="51" x14ac:dyDescent="0.2">
      <c r="A34" s="20" t="s">
        <v>102</v>
      </c>
      <c r="B34" s="21" t="str">
        <f t="shared" si="1"/>
        <v>Rate of IPT initiation from TB compartment  Uninfected, not on IPT and HIV compartment  PLHIV and on ART for gender Male under policy Standard (baseline)</v>
      </c>
      <c r="C34" s="8" t="s">
        <v>40</v>
      </c>
      <c r="D34" s="8" t="s">
        <v>41</v>
      </c>
      <c r="E34" s="8">
        <v>1</v>
      </c>
      <c r="G34" s="9">
        <v>4</v>
      </c>
      <c r="H34" s="9">
        <v>1</v>
      </c>
      <c r="I34" s="9">
        <v>1</v>
      </c>
      <c r="J34" s="9" t="str">
        <f t="shared" si="0"/>
        <v>kappa_1,4,1(1)</v>
      </c>
      <c r="K34" s="9" t="s">
        <v>451</v>
      </c>
      <c r="L34" s="9">
        <v>0.06</v>
      </c>
      <c r="O34" s="51" t="s">
        <v>45</v>
      </c>
      <c r="P34" s="52"/>
      <c r="Q34" s="53" t="s">
        <v>367</v>
      </c>
    </row>
    <row r="35" spans="1:17" ht="112" x14ac:dyDescent="0.2">
      <c r="A35" s="20" t="s">
        <v>77</v>
      </c>
      <c r="B35" s="21" t="str">
        <f t="shared" si="1"/>
        <v>Rate of IPT initiation from TB compartment  Uninfected, not on IPT and HIV compartment  PLHIV and on ART for gender Male under policy Community ART</v>
      </c>
      <c r="C35" s="8" t="s">
        <v>40</v>
      </c>
      <c r="D35" s="8" t="s">
        <v>41</v>
      </c>
      <c r="E35" s="8">
        <v>1</v>
      </c>
      <c r="G35" s="9">
        <v>4</v>
      </c>
      <c r="H35" s="9">
        <v>1</v>
      </c>
      <c r="I35" s="9">
        <v>2</v>
      </c>
      <c r="J35" s="9" t="str">
        <f t="shared" si="0"/>
        <v>kappa_1,4,1(2)</v>
      </c>
      <c r="K35" s="9" t="s">
        <v>452</v>
      </c>
      <c r="L35" s="9">
        <v>0.06</v>
      </c>
      <c r="O35" s="51" t="s">
        <v>45</v>
      </c>
      <c r="P35" s="52" t="s">
        <v>73</v>
      </c>
      <c r="Q35" s="53" t="s">
        <v>367</v>
      </c>
    </row>
    <row r="36" spans="1:17" ht="51" x14ac:dyDescent="0.2">
      <c r="A36" s="20" t="s">
        <v>50</v>
      </c>
      <c r="B36" s="21" t="str">
        <f t="shared" si="1"/>
        <v>Rate of IPT initiation from TB compartment  Uninfected, not on IPT and HIV compartment  PLHIV and on ART for gender Male under policy Community ART + IPT</v>
      </c>
      <c r="C36" s="8" t="s">
        <v>40</v>
      </c>
      <c r="D36" s="8" t="s">
        <v>41</v>
      </c>
      <c r="E36" s="8">
        <v>1</v>
      </c>
      <c r="G36" s="9">
        <v>4</v>
      </c>
      <c r="H36" s="9">
        <v>1</v>
      </c>
      <c r="I36" s="9">
        <v>3</v>
      </c>
      <c r="J36" s="9" t="str">
        <f t="shared" si="0"/>
        <v>kappa_1,4,1(3)</v>
      </c>
      <c r="K36" s="9" t="s">
        <v>453</v>
      </c>
      <c r="L36" s="9">
        <v>0.91</v>
      </c>
      <c r="O36" s="51" t="s">
        <v>45</v>
      </c>
      <c r="P36" s="52" t="s">
        <v>46</v>
      </c>
      <c r="Q36" s="53" t="s">
        <v>367</v>
      </c>
    </row>
    <row r="37" spans="1:17" ht="51" x14ac:dyDescent="0.2">
      <c r="A37" s="20" t="s">
        <v>103</v>
      </c>
      <c r="B37" s="21" t="str">
        <f t="shared" si="1"/>
        <v>Rate of IPT initiation from TB compartment  Uninfected, not on IPT and HIV compartment  PLHIV and on ART for gender Female under policy Standard (baseline)</v>
      </c>
      <c r="C37" s="8" t="s">
        <v>40</v>
      </c>
      <c r="D37" s="8" t="s">
        <v>41</v>
      </c>
      <c r="E37" s="8">
        <v>1</v>
      </c>
      <c r="G37" s="9">
        <v>4</v>
      </c>
      <c r="H37" s="9">
        <v>2</v>
      </c>
      <c r="I37" s="9">
        <v>1</v>
      </c>
      <c r="J37" s="9" t="str">
        <f t="shared" si="0"/>
        <v>kappa_1,4,2(1)</v>
      </c>
      <c r="K37" s="9" t="s">
        <v>454</v>
      </c>
      <c r="L37" s="9">
        <v>0.06</v>
      </c>
      <c r="O37" s="51" t="s">
        <v>45</v>
      </c>
      <c r="P37" s="52"/>
      <c r="Q37" s="53" t="s">
        <v>367</v>
      </c>
    </row>
    <row r="38" spans="1:17" ht="112" x14ac:dyDescent="0.2">
      <c r="A38" s="20" t="s">
        <v>78</v>
      </c>
      <c r="B38" s="21" t="str">
        <f t="shared" si="1"/>
        <v>Rate of IPT initiation from TB compartment  Uninfected, not on IPT and HIV compartment  PLHIV and on ART for gender Female under policy Community ART</v>
      </c>
      <c r="C38" s="8" t="s">
        <v>40</v>
      </c>
      <c r="D38" s="8" t="s">
        <v>41</v>
      </c>
      <c r="E38" s="8">
        <v>1</v>
      </c>
      <c r="G38" s="9">
        <v>4</v>
      </c>
      <c r="H38" s="9">
        <v>2</v>
      </c>
      <c r="I38" s="9">
        <v>2</v>
      </c>
      <c r="J38" s="9" t="str">
        <f t="shared" si="0"/>
        <v>kappa_1,4,2(2)</v>
      </c>
      <c r="K38" s="9" t="s">
        <v>455</v>
      </c>
      <c r="L38" s="9">
        <v>0.06</v>
      </c>
      <c r="O38" s="51" t="s">
        <v>45</v>
      </c>
      <c r="P38" s="52" t="s">
        <v>73</v>
      </c>
      <c r="Q38" s="53" t="s">
        <v>367</v>
      </c>
    </row>
    <row r="39" spans="1:17" ht="51" x14ac:dyDescent="0.2">
      <c r="A39" s="20" t="s">
        <v>51</v>
      </c>
      <c r="B39" s="21" t="str">
        <f t="shared" si="1"/>
        <v>Rate of IPT initiation from TB compartment  Uninfected, not on IPT and HIV compartment  PLHIV and on ART for gender Female under policy Community ART + IPT</v>
      </c>
      <c r="C39" s="8" t="s">
        <v>40</v>
      </c>
      <c r="D39" s="8" t="s">
        <v>41</v>
      </c>
      <c r="E39" s="8">
        <v>1</v>
      </c>
      <c r="G39" s="9">
        <v>4</v>
      </c>
      <c r="H39" s="9">
        <v>2</v>
      </c>
      <c r="I39" s="9">
        <v>3</v>
      </c>
      <c r="J39" s="9" t="str">
        <f t="shared" si="0"/>
        <v>kappa_1,4,2(3)</v>
      </c>
      <c r="K39" s="9" t="s">
        <v>456</v>
      </c>
      <c r="L39" s="9">
        <v>0.91</v>
      </c>
      <c r="O39" s="51" t="s">
        <v>45</v>
      </c>
      <c r="P39" s="52" t="s">
        <v>46</v>
      </c>
      <c r="Q39" s="53" t="s">
        <v>367</v>
      </c>
    </row>
    <row r="40" spans="1:17" ht="68" x14ac:dyDescent="0.2">
      <c r="A40" s="20" t="s">
        <v>104</v>
      </c>
      <c r="B40" s="21" t="str">
        <f t="shared" si="1"/>
        <v>Rate of IPT initiation from TB compartment  LTBI, infected recently (at risk for rapid progression) and HIV compartment  HIV-negative for gender Male under policy Standard (baseline)</v>
      </c>
      <c r="C40" s="8" t="s">
        <v>40</v>
      </c>
      <c r="D40" s="8" t="s">
        <v>41</v>
      </c>
      <c r="E40" s="8">
        <v>3</v>
      </c>
      <c r="G40" s="9">
        <v>1</v>
      </c>
      <c r="H40" s="9">
        <v>1</v>
      </c>
      <c r="I40" s="9">
        <v>1</v>
      </c>
      <c r="J40" s="9" t="str">
        <f t="shared" si="0"/>
        <v>kappa_3,1,1(1)</v>
      </c>
      <c r="K40" s="9" t="s">
        <v>457</v>
      </c>
      <c r="L40" s="9">
        <v>0</v>
      </c>
      <c r="O40" s="51"/>
      <c r="P40" s="52" t="s">
        <v>88</v>
      </c>
      <c r="Q40" s="53" t="s">
        <v>367</v>
      </c>
    </row>
    <row r="41" spans="1:17" ht="51" x14ac:dyDescent="0.2">
      <c r="A41" s="20" t="s">
        <v>79</v>
      </c>
      <c r="B41" s="21" t="str">
        <f t="shared" si="1"/>
        <v>Rate of IPT initiation from TB compartment  LTBI, infected recently (at risk for rapid progression) and HIV compartment  HIV-negative for gender Male under policy Community ART</v>
      </c>
      <c r="C41" s="8" t="s">
        <v>40</v>
      </c>
      <c r="D41" s="8" t="s">
        <v>41</v>
      </c>
      <c r="E41" s="8">
        <v>3</v>
      </c>
      <c r="G41" s="9">
        <v>1</v>
      </c>
      <c r="H41" s="9">
        <v>1</v>
      </c>
      <c r="I41" s="9">
        <v>2</v>
      </c>
      <c r="J41" s="9" t="str">
        <f t="shared" si="0"/>
        <v>kappa_3,1,1(2)</v>
      </c>
      <c r="K41" s="9" t="s">
        <v>458</v>
      </c>
      <c r="L41" s="9">
        <v>0</v>
      </c>
      <c r="O41" s="51"/>
      <c r="P41" s="52" t="s">
        <v>70</v>
      </c>
      <c r="Q41" s="53" t="s">
        <v>367</v>
      </c>
    </row>
    <row r="42" spans="1:17" ht="68" x14ac:dyDescent="0.2">
      <c r="A42" s="20" t="s">
        <v>52</v>
      </c>
      <c r="B42" s="21" t="str">
        <f t="shared" si="1"/>
        <v>Rate of IPT initiation from TB compartment  LTBI, infected recently (at risk for rapid progression) and HIV compartment  HIV-negative for gender Male under policy Community ART + IPT</v>
      </c>
      <c r="C42" s="8" t="s">
        <v>40</v>
      </c>
      <c r="D42" s="8" t="s">
        <v>41</v>
      </c>
      <c r="E42" s="8">
        <v>3</v>
      </c>
      <c r="G42" s="9">
        <v>1</v>
      </c>
      <c r="H42" s="9">
        <v>1</v>
      </c>
      <c r="I42" s="9">
        <v>3</v>
      </c>
      <c r="J42" s="9" t="str">
        <f t="shared" si="0"/>
        <v>kappa_3,1,1(3)</v>
      </c>
      <c r="K42" s="9" t="s">
        <v>459</v>
      </c>
      <c r="L42" s="9">
        <v>0</v>
      </c>
      <c r="O42" s="51"/>
      <c r="P42" s="52" t="s">
        <v>42</v>
      </c>
      <c r="Q42" s="53" t="s">
        <v>367</v>
      </c>
    </row>
    <row r="43" spans="1:17" ht="68" x14ac:dyDescent="0.2">
      <c r="A43" s="20" t="s">
        <v>105</v>
      </c>
      <c r="B43" s="21" t="str">
        <f t="shared" si="1"/>
        <v>Rate of IPT initiation from TB compartment  LTBI, infected recently (at risk for rapid progression) and HIV compartment  HIV-negative for gender Female under policy Standard (baseline)</v>
      </c>
      <c r="C43" s="8" t="s">
        <v>40</v>
      </c>
      <c r="D43" s="8" t="s">
        <v>41</v>
      </c>
      <c r="E43" s="8">
        <v>3</v>
      </c>
      <c r="G43" s="9">
        <v>1</v>
      </c>
      <c r="H43" s="9">
        <v>2</v>
      </c>
      <c r="I43" s="9">
        <v>1</v>
      </c>
      <c r="J43" s="9" t="str">
        <f t="shared" si="0"/>
        <v>kappa_3,1,2(1)</v>
      </c>
      <c r="K43" s="9" t="s">
        <v>460</v>
      </c>
      <c r="L43" s="9">
        <v>0</v>
      </c>
      <c r="O43" s="51"/>
      <c r="P43" s="52" t="s">
        <v>88</v>
      </c>
      <c r="Q43" s="53" t="s">
        <v>367</v>
      </c>
    </row>
    <row r="44" spans="1:17" ht="51" x14ac:dyDescent="0.2">
      <c r="A44" s="20" t="s">
        <v>80</v>
      </c>
      <c r="B44" s="21" t="str">
        <f t="shared" si="1"/>
        <v>Rate of IPT initiation from TB compartment  LTBI, infected recently (at risk for rapid progression) and HIV compartment  HIV-negative for gender Female under policy Community ART</v>
      </c>
      <c r="C44" s="8" t="s">
        <v>40</v>
      </c>
      <c r="D44" s="8" t="s">
        <v>41</v>
      </c>
      <c r="E44" s="8">
        <v>3</v>
      </c>
      <c r="G44" s="9">
        <v>1</v>
      </c>
      <c r="H44" s="9">
        <v>2</v>
      </c>
      <c r="I44" s="9">
        <v>2</v>
      </c>
      <c r="J44" s="9" t="str">
        <f t="shared" si="0"/>
        <v>kappa_3,1,2(2)</v>
      </c>
      <c r="K44" s="9" t="s">
        <v>461</v>
      </c>
      <c r="L44" s="9">
        <v>0</v>
      </c>
      <c r="O44" s="51"/>
      <c r="P44" s="52" t="s">
        <v>70</v>
      </c>
      <c r="Q44" s="53" t="s">
        <v>367</v>
      </c>
    </row>
    <row r="45" spans="1:17" ht="68" x14ac:dyDescent="0.2">
      <c r="A45" s="20" t="s">
        <v>53</v>
      </c>
      <c r="B45" s="21" t="str">
        <f t="shared" si="1"/>
        <v>Rate of IPT initiation from TB compartment  LTBI, infected recently (at risk for rapid progression) and HIV compartment  HIV-negative for gender Female under policy Community ART + IPT</v>
      </c>
      <c r="C45" s="8" t="s">
        <v>40</v>
      </c>
      <c r="D45" s="8" t="s">
        <v>41</v>
      </c>
      <c r="E45" s="8">
        <v>3</v>
      </c>
      <c r="G45" s="9">
        <v>1</v>
      </c>
      <c r="H45" s="9">
        <v>2</v>
      </c>
      <c r="I45" s="9">
        <v>3</v>
      </c>
      <c r="J45" s="9" t="str">
        <f t="shared" si="0"/>
        <v>kappa_3,1,2(3)</v>
      </c>
      <c r="K45" s="9" t="s">
        <v>462</v>
      </c>
      <c r="L45" s="9">
        <v>0</v>
      </c>
      <c r="O45" s="51"/>
      <c r="P45" s="52" t="s">
        <v>42</v>
      </c>
      <c r="Q45" s="53" t="s">
        <v>367</v>
      </c>
    </row>
    <row r="46" spans="1:17" ht="68" x14ac:dyDescent="0.2">
      <c r="A46" s="20" t="s">
        <v>106</v>
      </c>
      <c r="B46" s="21" t="str">
        <f t="shared" si="1"/>
        <v>Rate of IPT initiation from TB compartment  LTBI, infected recently (at risk for rapid progression) and HIV compartment  PLHIV not on ART, CD4&gt;200 for gender Male under policy Standard (baseline)</v>
      </c>
      <c r="C46" s="8" t="s">
        <v>40</v>
      </c>
      <c r="D46" s="8" t="s">
        <v>41</v>
      </c>
      <c r="E46" s="8">
        <v>3</v>
      </c>
      <c r="G46" s="9">
        <v>2</v>
      </c>
      <c r="H46" s="9">
        <v>1</v>
      </c>
      <c r="I46" s="9">
        <v>1</v>
      </c>
      <c r="J46" s="9" t="str">
        <f t="shared" si="0"/>
        <v>kappa_3,2,1(1)</v>
      </c>
      <c r="K46" s="9" t="s">
        <v>463</v>
      </c>
      <c r="L46" s="9">
        <v>0.06</v>
      </c>
      <c r="O46" s="51" t="s">
        <v>45</v>
      </c>
      <c r="P46" s="52"/>
      <c r="Q46" s="53" t="s">
        <v>367</v>
      </c>
    </row>
    <row r="47" spans="1:17" ht="68" x14ac:dyDescent="0.2">
      <c r="A47" s="20" t="s">
        <v>81</v>
      </c>
      <c r="B47" s="21" t="str">
        <f t="shared" si="1"/>
        <v>Rate of IPT initiation from TB compartment  LTBI, infected recently (at risk for rapid progression) and HIV compartment  PLHIV not on ART, CD4&gt;200 for gender Male under policy Community ART</v>
      </c>
      <c r="C47" s="8" t="s">
        <v>40</v>
      </c>
      <c r="D47" s="8" t="s">
        <v>41</v>
      </c>
      <c r="E47" s="8">
        <v>3</v>
      </c>
      <c r="G47" s="9">
        <v>2</v>
      </c>
      <c r="H47" s="9">
        <v>1</v>
      </c>
      <c r="I47" s="9">
        <v>2</v>
      </c>
      <c r="J47" s="9" t="str">
        <f t="shared" si="0"/>
        <v>kappa_3,2,1(2)</v>
      </c>
      <c r="K47" s="9" t="s">
        <v>464</v>
      </c>
      <c r="L47" s="9">
        <v>0.06</v>
      </c>
      <c r="O47" s="51" t="s">
        <v>45</v>
      </c>
      <c r="P47" s="52"/>
      <c r="Q47" s="53" t="s">
        <v>367</v>
      </c>
    </row>
    <row r="48" spans="1:17" ht="68" x14ac:dyDescent="0.2">
      <c r="A48" s="20" t="s">
        <v>54</v>
      </c>
      <c r="B48" s="21" t="str">
        <f t="shared" ref="B48:B79" si="2">CONCATENATE("Rate of IPT initiation from TB compartment ",VLOOKUP(E48,TB_SET,2)," and HIV compartment ",VLOOKUP(G48,HIV_SET,2)," for gender ",VLOOKUP(H48,G_SET,2), " under policy ", VLOOKUP(I48, P_SET,2))</f>
        <v>Rate of IPT initiation from TB compartment  LTBI, infected recently (at risk for rapid progression) and HIV compartment  PLHIV not on ART, CD4&gt;200 for gender Male under policy Community ART + IPT</v>
      </c>
      <c r="C48" s="8" t="s">
        <v>40</v>
      </c>
      <c r="D48" s="8" t="s">
        <v>41</v>
      </c>
      <c r="E48" s="8">
        <v>3</v>
      </c>
      <c r="G48" s="9">
        <v>2</v>
      </c>
      <c r="H48" s="9">
        <v>1</v>
      </c>
      <c r="I48" s="9">
        <v>3</v>
      </c>
      <c r="J48" s="9" t="str">
        <f t="shared" si="0"/>
        <v>kappa_3,2,1(3)</v>
      </c>
      <c r="K48" s="9" t="s">
        <v>465</v>
      </c>
      <c r="L48" s="9">
        <v>0.91</v>
      </c>
      <c r="O48" s="51" t="s">
        <v>45</v>
      </c>
      <c r="P48" s="52" t="s">
        <v>55</v>
      </c>
      <c r="Q48" s="53" t="s">
        <v>367</v>
      </c>
    </row>
    <row r="49" spans="1:17" ht="68" x14ac:dyDescent="0.2">
      <c r="A49" s="20" t="s">
        <v>107</v>
      </c>
      <c r="B49" s="21" t="str">
        <f t="shared" si="2"/>
        <v>Rate of IPT initiation from TB compartment  LTBI, infected recently (at risk for rapid progression) and HIV compartment  PLHIV not on ART, CD4&gt;200 for gender Female under policy Standard (baseline)</v>
      </c>
      <c r="C49" s="8" t="s">
        <v>40</v>
      </c>
      <c r="D49" s="8" t="s">
        <v>41</v>
      </c>
      <c r="E49" s="8">
        <v>3</v>
      </c>
      <c r="G49" s="9">
        <v>2</v>
      </c>
      <c r="H49" s="9">
        <v>2</v>
      </c>
      <c r="I49" s="9">
        <v>1</v>
      </c>
      <c r="J49" s="9" t="str">
        <f t="shared" si="0"/>
        <v>kappa_3,2,2(1)</v>
      </c>
      <c r="K49" s="9" t="s">
        <v>466</v>
      </c>
      <c r="L49" s="9">
        <v>0.06</v>
      </c>
      <c r="O49" s="51" t="s">
        <v>45</v>
      </c>
      <c r="P49" s="52"/>
      <c r="Q49" s="53" t="s">
        <v>367</v>
      </c>
    </row>
    <row r="50" spans="1:17" ht="68" x14ac:dyDescent="0.2">
      <c r="A50" s="20" t="s">
        <v>82</v>
      </c>
      <c r="B50" s="21" t="str">
        <f t="shared" si="2"/>
        <v>Rate of IPT initiation from TB compartment  LTBI, infected recently (at risk for rapid progression) and HIV compartment  PLHIV not on ART, CD4&gt;200 for gender Female under policy Community ART</v>
      </c>
      <c r="C50" s="8" t="s">
        <v>40</v>
      </c>
      <c r="D50" s="8" t="s">
        <v>41</v>
      </c>
      <c r="E50" s="8">
        <v>3</v>
      </c>
      <c r="G50" s="9">
        <v>2</v>
      </c>
      <c r="H50" s="9">
        <v>2</v>
      </c>
      <c r="I50" s="9">
        <v>2</v>
      </c>
      <c r="J50" s="9" t="str">
        <f t="shared" si="0"/>
        <v>kappa_3,2,2(2)</v>
      </c>
      <c r="K50" s="9" t="s">
        <v>467</v>
      </c>
      <c r="L50" s="9">
        <v>0.06</v>
      </c>
      <c r="O50" s="51" t="s">
        <v>45</v>
      </c>
      <c r="P50" s="52"/>
      <c r="Q50" s="53" t="s">
        <v>367</v>
      </c>
    </row>
    <row r="51" spans="1:17" ht="68" x14ac:dyDescent="0.2">
      <c r="A51" s="20" t="s">
        <v>56</v>
      </c>
      <c r="B51" s="21" t="str">
        <f t="shared" si="2"/>
        <v>Rate of IPT initiation from TB compartment  LTBI, infected recently (at risk for rapid progression) and HIV compartment  PLHIV not on ART, CD4&gt;200 for gender Female under policy Community ART + IPT</v>
      </c>
      <c r="C51" s="8" t="s">
        <v>40</v>
      </c>
      <c r="D51" s="8" t="s">
        <v>41</v>
      </c>
      <c r="E51" s="8">
        <v>3</v>
      </c>
      <c r="G51" s="9">
        <v>2</v>
      </c>
      <c r="H51" s="9">
        <v>2</v>
      </c>
      <c r="I51" s="9">
        <v>3</v>
      </c>
      <c r="J51" s="9" t="str">
        <f t="shared" si="0"/>
        <v>kappa_3,2,2(3)</v>
      </c>
      <c r="K51" s="9" t="s">
        <v>468</v>
      </c>
      <c r="L51" s="9">
        <v>0.91</v>
      </c>
      <c r="O51" s="51" t="s">
        <v>45</v>
      </c>
      <c r="P51" s="52" t="s">
        <v>55</v>
      </c>
      <c r="Q51" s="53" t="s">
        <v>367</v>
      </c>
    </row>
    <row r="52" spans="1:17" ht="68" x14ac:dyDescent="0.2">
      <c r="A52" s="20" t="s">
        <v>108</v>
      </c>
      <c r="B52" s="21" t="str">
        <f t="shared" si="2"/>
        <v>Rate of IPT initiation from TB compartment  LTBI, infected recently (at risk for rapid progression) and HIV compartment  PLHIV not on ART, CD4≤200 for gender Male under policy Standard (baseline)</v>
      </c>
      <c r="C52" s="8" t="s">
        <v>40</v>
      </c>
      <c r="D52" s="8" t="s">
        <v>41</v>
      </c>
      <c r="E52" s="8">
        <v>3</v>
      </c>
      <c r="G52" s="9">
        <v>3</v>
      </c>
      <c r="H52" s="9">
        <v>1</v>
      </c>
      <c r="I52" s="9">
        <v>1</v>
      </c>
      <c r="J52" s="9" t="str">
        <f t="shared" si="0"/>
        <v>kappa_3,3,1(1)</v>
      </c>
      <c r="K52" s="9" t="s">
        <v>469</v>
      </c>
      <c r="L52" s="9">
        <v>0.06</v>
      </c>
      <c r="O52" s="51" t="s">
        <v>45</v>
      </c>
      <c r="P52" s="52"/>
      <c r="Q52" s="53" t="s">
        <v>367</v>
      </c>
    </row>
    <row r="53" spans="1:17" ht="68" x14ac:dyDescent="0.2">
      <c r="A53" s="20" t="s">
        <v>83</v>
      </c>
      <c r="B53" s="21" t="str">
        <f t="shared" si="2"/>
        <v>Rate of IPT initiation from TB compartment  LTBI, infected recently (at risk for rapid progression) and HIV compartment  PLHIV not on ART, CD4≤200 for gender Male under policy Community ART</v>
      </c>
      <c r="C53" s="8" t="s">
        <v>40</v>
      </c>
      <c r="D53" s="8" t="s">
        <v>41</v>
      </c>
      <c r="E53" s="8">
        <v>3</v>
      </c>
      <c r="G53" s="9">
        <v>3</v>
      </c>
      <c r="H53" s="9">
        <v>1</v>
      </c>
      <c r="I53" s="9">
        <v>2</v>
      </c>
      <c r="J53" s="9" t="str">
        <f t="shared" si="0"/>
        <v>kappa_3,3,1(2)</v>
      </c>
      <c r="K53" s="9" t="s">
        <v>470</v>
      </c>
      <c r="L53" s="9">
        <v>0.06</v>
      </c>
      <c r="O53" s="51" t="s">
        <v>45</v>
      </c>
      <c r="P53" s="52"/>
      <c r="Q53" s="53" t="s">
        <v>367</v>
      </c>
    </row>
    <row r="54" spans="1:17" ht="68" x14ac:dyDescent="0.2">
      <c r="A54" s="20" t="s">
        <v>57</v>
      </c>
      <c r="B54" s="21" t="str">
        <f t="shared" si="2"/>
        <v>Rate of IPT initiation from TB compartment  LTBI, infected recently (at risk for rapid progression) and HIV compartment  PLHIV not on ART, CD4≤200 for gender Male under policy Community ART + IPT</v>
      </c>
      <c r="C54" s="8" t="s">
        <v>40</v>
      </c>
      <c r="D54" s="8" t="s">
        <v>41</v>
      </c>
      <c r="E54" s="8">
        <v>3</v>
      </c>
      <c r="G54" s="9">
        <v>3</v>
      </c>
      <c r="H54" s="9">
        <v>1</v>
      </c>
      <c r="I54" s="9">
        <v>3</v>
      </c>
      <c r="J54" s="9" t="str">
        <f t="shared" si="0"/>
        <v>kappa_3,3,1(3)</v>
      </c>
      <c r="K54" s="9" t="s">
        <v>471</v>
      </c>
      <c r="L54" s="9">
        <v>0.91</v>
      </c>
      <c r="O54" s="51" t="s">
        <v>45</v>
      </c>
      <c r="P54" s="52" t="s">
        <v>55</v>
      </c>
      <c r="Q54" s="53" t="s">
        <v>367</v>
      </c>
    </row>
    <row r="55" spans="1:17" ht="68" x14ac:dyDescent="0.2">
      <c r="A55" s="20" t="s">
        <v>109</v>
      </c>
      <c r="B55" s="21" t="str">
        <f t="shared" si="2"/>
        <v>Rate of IPT initiation from TB compartment  LTBI, infected recently (at risk for rapid progression) and HIV compartment  PLHIV not on ART, CD4≤200 for gender Female under policy Standard (baseline)</v>
      </c>
      <c r="C55" s="8" t="s">
        <v>40</v>
      </c>
      <c r="D55" s="8" t="s">
        <v>41</v>
      </c>
      <c r="E55" s="8">
        <v>3</v>
      </c>
      <c r="G55" s="9">
        <v>3</v>
      </c>
      <c r="H55" s="9">
        <v>2</v>
      </c>
      <c r="I55" s="9">
        <v>1</v>
      </c>
      <c r="J55" s="9" t="str">
        <f t="shared" si="0"/>
        <v>kappa_3,3,2(1)</v>
      </c>
      <c r="K55" s="9" t="s">
        <v>472</v>
      </c>
      <c r="L55" s="9">
        <v>0.06</v>
      </c>
      <c r="O55" s="51" t="s">
        <v>45</v>
      </c>
      <c r="P55" s="52"/>
      <c r="Q55" s="53" t="s">
        <v>367</v>
      </c>
    </row>
    <row r="56" spans="1:17" ht="68" x14ac:dyDescent="0.2">
      <c r="A56" s="20" t="s">
        <v>84</v>
      </c>
      <c r="B56" s="21" t="str">
        <f t="shared" si="2"/>
        <v>Rate of IPT initiation from TB compartment  LTBI, infected recently (at risk for rapid progression) and HIV compartment  PLHIV not on ART, CD4≤200 for gender Female under policy Community ART</v>
      </c>
      <c r="C56" s="8" t="s">
        <v>40</v>
      </c>
      <c r="D56" s="8" t="s">
        <v>41</v>
      </c>
      <c r="E56" s="8">
        <v>3</v>
      </c>
      <c r="G56" s="9">
        <v>3</v>
      </c>
      <c r="H56" s="9">
        <v>2</v>
      </c>
      <c r="I56" s="9">
        <v>2</v>
      </c>
      <c r="J56" s="9" t="str">
        <f t="shared" si="0"/>
        <v>kappa_3,3,2(2)</v>
      </c>
      <c r="K56" s="9" t="s">
        <v>473</v>
      </c>
      <c r="L56" s="9">
        <v>0.06</v>
      </c>
      <c r="O56" s="51" t="s">
        <v>45</v>
      </c>
      <c r="P56" s="52"/>
      <c r="Q56" s="53" t="s">
        <v>367</v>
      </c>
    </row>
    <row r="57" spans="1:17" ht="68" x14ac:dyDescent="0.2">
      <c r="A57" s="20" t="s">
        <v>58</v>
      </c>
      <c r="B57" s="21" t="str">
        <f t="shared" si="2"/>
        <v>Rate of IPT initiation from TB compartment  LTBI, infected recently (at risk for rapid progression) and HIV compartment  PLHIV not on ART, CD4≤200 for gender Female under policy Community ART + IPT</v>
      </c>
      <c r="C57" s="8" t="s">
        <v>40</v>
      </c>
      <c r="D57" s="8" t="s">
        <v>41</v>
      </c>
      <c r="E57" s="8">
        <v>3</v>
      </c>
      <c r="G57" s="9">
        <v>3</v>
      </c>
      <c r="H57" s="9">
        <v>2</v>
      </c>
      <c r="I57" s="9">
        <v>3</v>
      </c>
      <c r="J57" s="9" t="str">
        <f t="shared" si="0"/>
        <v>kappa_3,3,2(3)</v>
      </c>
      <c r="K57" s="9" t="s">
        <v>474</v>
      </c>
      <c r="L57" s="9">
        <v>0.91</v>
      </c>
      <c r="O57" s="51" t="s">
        <v>45</v>
      </c>
      <c r="P57" s="52" t="s">
        <v>55</v>
      </c>
      <c r="Q57" s="53" t="s">
        <v>367</v>
      </c>
    </row>
    <row r="58" spans="1:17" ht="68" x14ac:dyDescent="0.2">
      <c r="A58" s="20" t="s">
        <v>110</v>
      </c>
      <c r="B58" s="21" t="str">
        <f t="shared" si="2"/>
        <v>Rate of IPT initiation from TB compartment  LTBI, infected recently (at risk for rapid progression) and HIV compartment  PLHIV and on ART for gender Male under policy Standard (baseline)</v>
      </c>
      <c r="C58" s="8" t="s">
        <v>40</v>
      </c>
      <c r="D58" s="8" t="s">
        <v>41</v>
      </c>
      <c r="E58" s="8">
        <v>3</v>
      </c>
      <c r="G58" s="9">
        <v>4</v>
      </c>
      <c r="H58" s="9">
        <v>1</v>
      </c>
      <c r="I58" s="9">
        <v>1</v>
      </c>
      <c r="J58" s="9" t="str">
        <f t="shared" si="0"/>
        <v>kappa_3,4,1(1)</v>
      </c>
      <c r="K58" s="9" t="s">
        <v>475</v>
      </c>
      <c r="L58" s="9">
        <v>0.06</v>
      </c>
      <c r="O58" s="51" t="s">
        <v>45</v>
      </c>
      <c r="P58" s="52"/>
      <c r="Q58" s="53" t="s">
        <v>367</v>
      </c>
    </row>
    <row r="59" spans="1:17" ht="68" x14ac:dyDescent="0.2">
      <c r="A59" s="20" t="s">
        <v>85</v>
      </c>
      <c r="B59" s="21" t="str">
        <f t="shared" si="2"/>
        <v>Rate of IPT initiation from TB compartment  LTBI, infected recently (at risk for rapid progression) and HIV compartment  PLHIV and on ART for gender Male under policy Community ART</v>
      </c>
      <c r="C59" s="8" t="s">
        <v>40</v>
      </c>
      <c r="D59" s="8" t="s">
        <v>41</v>
      </c>
      <c r="E59" s="8">
        <v>3</v>
      </c>
      <c r="G59" s="9">
        <v>4</v>
      </c>
      <c r="H59" s="9">
        <v>1</v>
      </c>
      <c r="I59" s="9">
        <v>2</v>
      </c>
      <c r="J59" s="9" t="str">
        <f t="shared" si="0"/>
        <v>kappa_3,4,1(2)</v>
      </c>
      <c r="K59" s="9" t="s">
        <v>476</v>
      </c>
      <c r="L59" s="9">
        <v>0.06</v>
      </c>
      <c r="O59" s="51" t="s">
        <v>45</v>
      </c>
      <c r="P59" s="52"/>
      <c r="Q59" s="53" t="s">
        <v>367</v>
      </c>
    </row>
    <row r="60" spans="1:17" ht="68" x14ac:dyDescent="0.2">
      <c r="A60" s="20" t="s">
        <v>59</v>
      </c>
      <c r="B60" s="21" t="str">
        <f t="shared" si="2"/>
        <v>Rate of IPT initiation from TB compartment  LTBI, infected recently (at risk for rapid progression) and HIV compartment  PLHIV and on ART for gender Male under policy Community ART + IPT</v>
      </c>
      <c r="C60" s="8" t="s">
        <v>40</v>
      </c>
      <c r="D60" s="8" t="s">
        <v>41</v>
      </c>
      <c r="E60" s="8">
        <v>3</v>
      </c>
      <c r="G60" s="9">
        <v>4</v>
      </c>
      <c r="H60" s="9">
        <v>1</v>
      </c>
      <c r="I60" s="9">
        <v>3</v>
      </c>
      <c r="J60" s="9" t="str">
        <f t="shared" si="0"/>
        <v>kappa_3,4,1(3)</v>
      </c>
      <c r="K60" s="9" t="s">
        <v>477</v>
      </c>
      <c r="L60" s="9">
        <v>0.91</v>
      </c>
      <c r="O60" s="51" t="s">
        <v>45</v>
      </c>
      <c r="P60" s="52"/>
      <c r="Q60" s="53" t="s">
        <v>367</v>
      </c>
    </row>
    <row r="61" spans="1:17" ht="68" x14ac:dyDescent="0.2">
      <c r="A61" s="20" t="s">
        <v>111</v>
      </c>
      <c r="B61" s="21" t="str">
        <f t="shared" si="2"/>
        <v>Rate of IPT initiation from TB compartment  LTBI, infected recently (at risk for rapid progression) and HIV compartment  PLHIV and on ART for gender Female under policy Standard (baseline)</v>
      </c>
      <c r="C61" s="8" t="s">
        <v>40</v>
      </c>
      <c r="D61" s="8" t="s">
        <v>41</v>
      </c>
      <c r="E61" s="8">
        <v>3</v>
      </c>
      <c r="G61" s="9">
        <v>4</v>
      </c>
      <c r="H61" s="9">
        <v>2</v>
      </c>
      <c r="I61" s="9">
        <v>1</v>
      </c>
      <c r="J61" s="9" t="str">
        <f t="shared" si="0"/>
        <v>kappa_3,4,2(1)</v>
      </c>
      <c r="K61" s="9" t="s">
        <v>478</v>
      </c>
      <c r="L61" s="9">
        <v>0.06</v>
      </c>
      <c r="O61" s="51" t="s">
        <v>45</v>
      </c>
      <c r="P61" s="52"/>
      <c r="Q61" s="53" t="s">
        <v>367</v>
      </c>
    </row>
    <row r="62" spans="1:17" ht="68" x14ac:dyDescent="0.2">
      <c r="A62" s="20" t="s">
        <v>86</v>
      </c>
      <c r="B62" s="21" t="str">
        <f t="shared" si="2"/>
        <v>Rate of IPT initiation from TB compartment  LTBI, infected recently (at risk for rapid progression) and HIV compartment  PLHIV and on ART for gender Female under policy Community ART</v>
      </c>
      <c r="C62" s="8" t="s">
        <v>40</v>
      </c>
      <c r="D62" s="8" t="s">
        <v>41</v>
      </c>
      <c r="E62" s="8">
        <v>3</v>
      </c>
      <c r="G62" s="9">
        <v>4</v>
      </c>
      <c r="H62" s="9">
        <v>2</v>
      </c>
      <c r="I62" s="9">
        <v>2</v>
      </c>
      <c r="J62" s="9" t="str">
        <f t="shared" si="0"/>
        <v>kappa_3,4,2(2)</v>
      </c>
      <c r="K62" s="9" t="s">
        <v>479</v>
      </c>
      <c r="L62" s="9">
        <v>0.06</v>
      </c>
      <c r="O62" s="51" t="s">
        <v>45</v>
      </c>
      <c r="P62" s="52"/>
      <c r="Q62" s="53" t="s">
        <v>367</v>
      </c>
    </row>
    <row r="63" spans="1:17" ht="68" x14ac:dyDescent="0.2">
      <c r="A63" s="20" t="s">
        <v>60</v>
      </c>
      <c r="B63" s="21" t="str">
        <f t="shared" si="2"/>
        <v>Rate of IPT initiation from TB compartment  LTBI, infected recently (at risk for rapid progression) and HIV compartment  PLHIV and on ART for gender Female under policy Community ART + IPT</v>
      </c>
      <c r="C63" s="8" t="s">
        <v>40</v>
      </c>
      <c r="D63" s="8" t="s">
        <v>41</v>
      </c>
      <c r="E63" s="8">
        <v>3</v>
      </c>
      <c r="G63" s="9">
        <v>4</v>
      </c>
      <c r="H63" s="9">
        <v>2</v>
      </c>
      <c r="I63" s="9">
        <v>3</v>
      </c>
      <c r="J63" s="9" t="str">
        <f t="shared" si="0"/>
        <v>kappa_3,4,2(3)</v>
      </c>
      <c r="K63" s="9" t="s">
        <v>480</v>
      </c>
      <c r="L63" s="9">
        <v>0.91</v>
      </c>
      <c r="O63" s="51" t="s">
        <v>45</v>
      </c>
      <c r="P63" s="52"/>
      <c r="Q63" s="53" t="s">
        <v>367</v>
      </c>
    </row>
    <row r="64" spans="1:17" ht="51" x14ac:dyDescent="0.2">
      <c r="A64" s="20" t="s">
        <v>112</v>
      </c>
      <c r="B64" s="21" t="str">
        <f t="shared" si="2"/>
        <v>Rate of IPT initiation from TB compartment  LTBI, infected remotely and HIV compartment  HIV-negative for gender Male under policy Standard (baseline)</v>
      </c>
      <c r="C64" s="8" t="s">
        <v>40</v>
      </c>
      <c r="D64" s="8" t="s">
        <v>41</v>
      </c>
      <c r="E64" s="8">
        <v>4</v>
      </c>
      <c r="G64" s="9">
        <v>1</v>
      </c>
      <c r="H64" s="9">
        <v>1</v>
      </c>
      <c r="I64" s="9">
        <v>1</v>
      </c>
      <c r="J64" s="9" t="str">
        <f t="shared" si="0"/>
        <v>kappa_4,1,1(1)</v>
      </c>
      <c r="K64" s="9" t="s">
        <v>481</v>
      </c>
      <c r="L64" s="9">
        <v>0</v>
      </c>
      <c r="O64" s="51"/>
      <c r="P64" s="52" t="s">
        <v>88</v>
      </c>
      <c r="Q64" s="53" t="s">
        <v>367</v>
      </c>
    </row>
    <row r="65" spans="1:17" ht="51" x14ac:dyDescent="0.2">
      <c r="A65" s="20" t="s">
        <v>87</v>
      </c>
      <c r="B65" s="21" t="str">
        <f t="shared" si="2"/>
        <v>Rate of IPT initiation from TB compartment  LTBI, infected remotely and HIV compartment  HIV-negative for gender Male under policy Community ART</v>
      </c>
      <c r="C65" s="8" t="s">
        <v>40</v>
      </c>
      <c r="D65" s="8" t="s">
        <v>41</v>
      </c>
      <c r="E65" s="8">
        <v>4</v>
      </c>
      <c r="G65" s="9">
        <v>1</v>
      </c>
      <c r="H65" s="9">
        <v>1</v>
      </c>
      <c r="I65" s="9">
        <v>2</v>
      </c>
      <c r="J65" s="9" t="str">
        <f t="shared" si="0"/>
        <v>kappa_4,1,1(2)</v>
      </c>
      <c r="K65" s="9" t="s">
        <v>482</v>
      </c>
      <c r="L65" s="9">
        <v>0</v>
      </c>
      <c r="O65" s="51"/>
      <c r="P65" s="52" t="s">
        <v>88</v>
      </c>
      <c r="Q65" s="53" t="s">
        <v>367</v>
      </c>
    </row>
    <row r="66" spans="1:17" ht="51" x14ac:dyDescent="0.2">
      <c r="A66" s="20" t="s">
        <v>61</v>
      </c>
      <c r="B66" s="21" t="str">
        <f t="shared" si="2"/>
        <v>Rate of IPT initiation from TB compartment  LTBI, infected remotely and HIV compartment  HIV-negative for gender Male under policy Community ART + IPT</v>
      </c>
      <c r="C66" s="8" t="s">
        <v>40</v>
      </c>
      <c r="D66" s="8" t="s">
        <v>41</v>
      </c>
      <c r="E66" s="8">
        <v>4</v>
      </c>
      <c r="G66" s="9">
        <v>1</v>
      </c>
      <c r="H66" s="9">
        <v>1</v>
      </c>
      <c r="I66" s="9">
        <v>3</v>
      </c>
      <c r="J66" s="9" t="str">
        <f t="shared" ref="J66:J129" si="3">CONCATENATE(C66, "_", E66, IF(E66&lt;&gt;"",",",""), F66, IF(F66&lt;&gt;"",",",""),  G66, IF(G66&lt;&gt;"",",",""),  H66, IF(I66&lt;&gt;"","(",""), I66, IF(I66&lt;&gt;"",")",""))</f>
        <v>kappa_4,1,1(3)</v>
      </c>
      <c r="K66" s="9" t="s">
        <v>483</v>
      </c>
      <c r="L66" s="9">
        <v>0</v>
      </c>
      <c r="O66" s="51"/>
      <c r="P66" s="52" t="s">
        <v>42</v>
      </c>
      <c r="Q66" s="53" t="s">
        <v>367</v>
      </c>
    </row>
    <row r="67" spans="1:17" ht="51" x14ac:dyDescent="0.2">
      <c r="A67" s="20" t="s">
        <v>113</v>
      </c>
      <c r="B67" s="21" t="str">
        <f t="shared" si="2"/>
        <v>Rate of IPT initiation from TB compartment  LTBI, infected remotely and HIV compartment  HIV-negative for gender Female under policy Standard (baseline)</v>
      </c>
      <c r="C67" s="8" t="s">
        <v>40</v>
      </c>
      <c r="D67" s="8" t="s">
        <v>41</v>
      </c>
      <c r="E67" s="8">
        <v>4</v>
      </c>
      <c r="G67" s="9">
        <v>1</v>
      </c>
      <c r="H67" s="9">
        <v>2</v>
      </c>
      <c r="I67" s="9">
        <v>1</v>
      </c>
      <c r="J67" s="9" t="str">
        <f t="shared" si="3"/>
        <v>kappa_4,1,2(1)</v>
      </c>
      <c r="K67" s="9" t="s">
        <v>484</v>
      </c>
      <c r="L67" s="9">
        <v>0</v>
      </c>
      <c r="O67" s="51"/>
      <c r="P67" s="52" t="s">
        <v>88</v>
      </c>
      <c r="Q67" s="53" t="s">
        <v>367</v>
      </c>
    </row>
    <row r="68" spans="1:17" ht="51" x14ac:dyDescent="0.2">
      <c r="A68" s="20" t="s">
        <v>89</v>
      </c>
      <c r="B68" s="21" t="str">
        <f t="shared" si="2"/>
        <v>Rate of IPT initiation from TB compartment  LTBI, infected remotely and HIV compartment  HIV-negative for gender Female under policy Community ART</v>
      </c>
      <c r="C68" s="8" t="s">
        <v>40</v>
      </c>
      <c r="D68" s="8" t="s">
        <v>41</v>
      </c>
      <c r="E68" s="8">
        <v>4</v>
      </c>
      <c r="G68" s="9">
        <v>1</v>
      </c>
      <c r="H68" s="9">
        <v>2</v>
      </c>
      <c r="I68" s="9">
        <v>2</v>
      </c>
      <c r="J68" s="9" t="str">
        <f t="shared" si="3"/>
        <v>kappa_4,1,2(2)</v>
      </c>
      <c r="K68" s="9" t="s">
        <v>485</v>
      </c>
      <c r="L68" s="9">
        <v>0</v>
      </c>
      <c r="O68" s="51"/>
      <c r="P68" s="52" t="s">
        <v>88</v>
      </c>
      <c r="Q68" s="53" t="s">
        <v>367</v>
      </c>
    </row>
    <row r="69" spans="1:17" ht="51" x14ac:dyDescent="0.2">
      <c r="A69" s="20" t="s">
        <v>62</v>
      </c>
      <c r="B69" s="21" t="str">
        <f t="shared" si="2"/>
        <v>Rate of IPT initiation from TB compartment  LTBI, infected remotely and HIV compartment  HIV-negative for gender Female under policy Community ART + IPT</v>
      </c>
      <c r="C69" s="8" t="s">
        <v>40</v>
      </c>
      <c r="D69" s="8" t="s">
        <v>41</v>
      </c>
      <c r="E69" s="8">
        <v>4</v>
      </c>
      <c r="G69" s="9">
        <v>1</v>
      </c>
      <c r="H69" s="9">
        <v>2</v>
      </c>
      <c r="I69" s="9">
        <v>3</v>
      </c>
      <c r="J69" s="9" t="str">
        <f t="shared" si="3"/>
        <v>kappa_4,1,2(3)</v>
      </c>
      <c r="K69" s="9" t="s">
        <v>486</v>
      </c>
      <c r="L69" s="9">
        <v>0</v>
      </c>
      <c r="O69" s="51"/>
      <c r="P69" s="52" t="s">
        <v>42</v>
      </c>
      <c r="Q69" s="53" t="s">
        <v>367</v>
      </c>
    </row>
    <row r="70" spans="1:17" ht="51" x14ac:dyDescent="0.2">
      <c r="A70" s="20" t="s">
        <v>114</v>
      </c>
      <c r="B70" s="21" t="str">
        <f t="shared" si="2"/>
        <v>Rate of IPT initiation from TB compartment  LTBI, infected remotely and HIV compartment  PLHIV not on ART, CD4&gt;200 for gender Male under policy Standard (baseline)</v>
      </c>
      <c r="C70" s="8" t="s">
        <v>40</v>
      </c>
      <c r="D70" s="8" t="s">
        <v>41</v>
      </c>
      <c r="E70" s="8">
        <v>4</v>
      </c>
      <c r="G70" s="9">
        <v>2</v>
      </c>
      <c r="H70" s="9">
        <v>1</v>
      </c>
      <c r="I70" s="9">
        <v>1</v>
      </c>
      <c r="J70" s="9" t="str">
        <f t="shared" si="3"/>
        <v>kappa_4,2,1(1)</v>
      </c>
      <c r="K70" s="9" t="s">
        <v>487</v>
      </c>
      <c r="L70" s="9">
        <v>0.06</v>
      </c>
      <c r="O70" s="51" t="s">
        <v>45</v>
      </c>
      <c r="P70" s="52"/>
      <c r="Q70" s="53" t="s">
        <v>367</v>
      </c>
    </row>
    <row r="71" spans="1:17" ht="51" x14ac:dyDescent="0.2">
      <c r="A71" s="20" t="s">
        <v>90</v>
      </c>
      <c r="B71" s="21" t="str">
        <f t="shared" si="2"/>
        <v>Rate of IPT initiation from TB compartment  LTBI, infected remotely and HIV compartment  PLHIV not on ART, CD4&gt;200 for gender Male under policy Community ART</v>
      </c>
      <c r="C71" s="8" t="s">
        <v>40</v>
      </c>
      <c r="D71" s="8" t="s">
        <v>41</v>
      </c>
      <c r="E71" s="8">
        <v>4</v>
      </c>
      <c r="G71" s="9">
        <v>2</v>
      </c>
      <c r="H71" s="9">
        <v>1</v>
      </c>
      <c r="I71" s="9">
        <v>2</v>
      </c>
      <c r="J71" s="9" t="str">
        <f t="shared" si="3"/>
        <v>kappa_4,2,1(2)</v>
      </c>
      <c r="K71" s="9" t="s">
        <v>488</v>
      </c>
      <c r="L71" s="9">
        <v>0.06</v>
      </c>
      <c r="O71" s="51" t="s">
        <v>45</v>
      </c>
      <c r="P71" s="52"/>
      <c r="Q71" s="53" t="s">
        <v>367</v>
      </c>
    </row>
    <row r="72" spans="1:17" ht="51" x14ac:dyDescent="0.2">
      <c r="A72" s="20" t="s">
        <v>63</v>
      </c>
      <c r="B72" s="21" t="str">
        <f t="shared" si="2"/>
        <v>Rate of IPT initiation from TB compartment  LTBI, infected remotely and HIV compartment  PLHIV not on ART, CD4&gt;200 for gender Male under policy Community ART + IPT</v>
      </c>
      <c r="C72" s="8" t="s">
        <v>40</v>
      </c>
      <c r="D72" s="8" t="s">
        <v>41</v>
      </c>
      <c r="E72" s="8">
        <v>4</v>
      </c>
      <c r="G72" s="9">
        <v>2</v>
      </c>
      <c r="H72" s="9">
        <v>1</v>
      </c>
      <c r="I72" s="9">
        <v>3</v>
      </c>
      <c r="J72" s="9" t="str">
        <f t="shared" si="3"/>
        <v>kappa_4,2,1(3)</v>
      </c>
      <c r="K72" s="9" t="s">
        <v>489</v>
      </c>
      <c r="L72" s="9">
        <v>0.91</v>
      </c>
      <c r="O72" s="51" t="s">
        <v>45</v>
      </c>
      <c r="P72" s="52"/>
      <c r="Q72" s="53" t="s">
        <v>367</v>
      </c>
    </row>
    <row r="73" spans="1:17" ht="51" x14ac:dyDescent="0.2">
      <c r="A73" s="20" t="s">
        <v>115</v>
      </c>
      <c r="B73" s="21" t="str">
        <f t="shared" si="2"/>
        <v>Rate of IPT initiation from TB compartment  LTBI, infected remotely and HIV compartment  PLHIV not on ART, CD4&gt;200 for gender Female under policy Standard (baseline)</v>
      </c>
      <c r="C73" s="8" t="s">
        <v>40</v>
      </c>
      <c r="D73" s="8" t="s">
        <v>41</v>
      </c>
      <c r="E73" s="8">
        <v>4</v>
      </c>
      <c r="G73" s="9">
        <v>2</v>
      </c>
      <c r="H73" s="9">
        <v>2</v>
      </c>
      <c r="I73" s="9">
        <v>1</v>
      </c>
      <c r="J73" s="9" t="str">
        <f t="shared" si="3"/>
        <v>kappa_4,2,2(1)</v>
      </c>
      <c r="K73" s="9" t="s">
        <v>490</v>
      </c>
      <c r="L73" s="9">
        <v>0.06</v>
      </c>
      <c r="O73" s="51" t="s">
        <v>45</v>
      </c>
      <c r="P73" s="52"/>
      <c r="Q73" s="53" t="s">
        <v>367</v>
      </c>
    </row>
    <row r="74" spans="1:17" ht="51" x14ac:dyDescent="0.2">
      <c r="A74" s="20" t="s">
        <v>91</v>
      </c>
      <c r="B74" s="21" t="str">
        <f t="shared" si="2"/>
        <v>Rate of IPT initiation from TB compartment  LTBI, infected remotely and HIV compartment  PLHIV not on ART, CD4&gt;200 for gender Female under policy Community ART</v>
      </c>
      <c r="C74" s="8" t="s">
        <v>40</v>
      </c>
      <c r="D74" s="8" t="s">
        <v>41</v>
      </c>
      <c r="E74" s="8">
        <v>4</v>
      </c>
      <c r="G74" s="9">
        <v>2</v>
      </c>
      <c r="H74" s="9">
        <v>2</v>
      </c>
      <c r="I74" s="9">
        <v>2</v>
      </c>
      <c r="J74" s="9" t="str">
        <f t="shared" si="3"/>
        <v>kappa_4,2,2(2)</v>
      </c>
      <c r="K74" s="9" t="s">
        <v>491</v>
      </c>
      <c r="L74" s="9">
        <v>0.06</v>
      </c>
      <c r="O74" s="51" t="s">
        <v>45</v>
      </c>
      <c r="P74" s="52"/>
      <c r="Q74" s="53" t="s">
        <v>367</v>
      </c>
    </row>
    <row r="75" spans="1:17" ht="51" x14ac:dyDescent="0.2">
      <c r="A75" s="20" t="s">
        <v>64</v>
      </c>
      <c r="B75" s="21" t="str">
        <f t="shared" si="2"/>
        <v>Rate of IPT initiation from TB compartment  LTBI, infected remotely and HIV compartment  PLHIV not on ART, CD4&gt;200 for gender Female under policy Community ART + IPT</v>
      </c>
      <c r="C75" s="8" t="s">
        <v>40</v>
      </c>
      <c r="D75" s="8" t="s">
        <v>41</v>
      </c>
      <c r="E75" s="8">
        <v>4</v>
      </c>
      <c r="G75" s="9">
        <v>2</v>
      </c>
      <c r="H75" s="9">
        <v>2</v>
      </c>
      <c r="I75" s="9">
        <v>3</v>
      </c>
      <c r="J75" s="9" t="str">
        <f t="shared" si="3"/>
        <v>kappa_4,2,2(3)</v>
      </c>
      <c r="K75" s="9" t="s">
        <v>492</v>
      </c>
      <c r="L75" s="9">
        <v>0.91</v>
      </c>
      <c r="O75" s="51" t="s">
        <v>45</v>
      </c>
      <c r="P75" s="52"/>
      <c r="Q75" s="53" t="s">
        <v>367</v>
      </c>
    </row>
    <row r="76" spans="1:17" ht="51" x14ac:dyDescent="0.2">
      <c r="A76" s="20" t="s">
        <v>116</v>
      </c>
      <c r="B76" s="21" t="str">
        <f t="shared" si="2"/>
        <v>Rate of IPT initiation from TB compartment  LTBI, infected remotely and HIV compartment  PLHIV not on ART, CD4≤200 for gender Male under policy Standard (baseline)</v>
      </c>
      <c r="C76" s="8" t="s">
        <v>40</v>
      </c>
      <c r="D76" s="8" t="s">
        <v>41</v>
      </c>
      <c r="E76" s="8">
        <v>4</v>
      </c>
      <c r="G76" s="9">
        <v>3</v>
      </c>
      <c r="H76" s="9">
        <v>1</v>
      </c>
      <c r="I76" s="9">
        <v>1</v>
      </c>
      <c r="J76" s="9" t="str">
        <f t="shared" si="3"/>
        <v>kappa_4,3,1(1)</v>
      </c>
      <c r="K76" s="9" t="s">
        <v>493</v>
      </c>
      <c r="L76" s="9">
        <v>0.06</v>
      </c>
      <c r="O76" s="51" t="s">
        <v>45</v>
      </c>
      <c r="P76" s="52"/>
      <c r="Q76" s="53" t="s">
        <v>367</v>
      </c>
    </row>
    <row r="77" spans="1:17" ht="51" x14ac:dyDescent="0.2">
      <c r="A77" s="20" t="s">
        <v>92</v>
      </c>
      <c r="B77" s="21" t="str">
        <f t="shared" si="2"/>
        <v>Rate of IPT initiation from TB compartment  LTBI, infected remotely and HIV compartment  PLHIV not on ART, CD4≤200 for gender Male under policy Community ART</v>
      </c>
      <c r="C77" s="8" t="s">
        <v>40</v>
      </c>
      <c r="D77" s="8" t="s">
        <v>41</v>
      </c>
      <c r="E77" s="8">
        <v>4</v>
      </c>
      <c r="G77" s="9">
        <v>3</v>
      </c>
      <c r="H77" s="9">
        <v>1</v>
      </c>
      <c r="I77" s="9">
        <v>2</v>
      </c>
      <c r="J77" s="9" t="str">
        <f t="shared" si="3"/>
        <v>kappa_4,3,1(2)</v>
      </c>
      <c r="K77" s="9" t="s">
        <v>494</v>
      </c>
      <c r="L77" s="9">
        <v>0.06</v>
      </c>
      <c r="O77" s="51" t="s">
        <v>45</v>
      </c>
      <c r="P77" s="52"/>
      <c r="Q77" s="53" t="s">
        <v>367</v>
      </c>
    </row>
    <row r="78" spans="1:17" ht="51" x14ac:dyDescent="0.2">
      <c r="A78" s="20" t="s">
        <v>65</v>
      </c>
      <c r="B78" s="21" t="str">
        <f t="shared" si="2"/>
        <v>Rate of IPT initiation from TB compartment  LTBI, infected remotely and HIV compartment  PLHIV not on ART, CD4≤200 for gender Male under policy Community ART + IPT</v>
      </c>
      <c r="C78" s="8" t="s">
        <v>40</v>
      </c>
      <c r="D78" s="8" t="s">
        <v>41</v>
      </c>
      <c r="E78" s="8">
        <v>4</v>
      </c>
      <c r="G78" s="9">
        <v>3</v>
      </c>
      <c r="H78" s="9">
        <v>1</v>
      </c>
      <c r="I78" s="9">
        <v>3</v>
      </c>
      <c r="J78" s="9" t="str">
        <f t="shared" si="3"/>
        <v>kappa_4,3,1(3)</v>
      </c>
      <c r="K78" s="9" t="s">
        <v>495</v>
      </c>
      <c r="L78" s="9">
        <v>0.91</v>
      </c>
      <c r="O78" s="51" t="s">
        <v>45</v>
      </c>
      <c r="P78" s="52"/>
      <c r="Q78" s="53" t="s">
        <v>367</v>
      </c>
    </row>
    <row r="79" spans="1:17" ht="51" x14ac:dyDescent="0.2">
      <c r="A79" s="20" t="s">
        <v>117</v>
      </c>
      <c r="B79" s="21" t="str">
        <f t="shared" si="2"/>
        <v>Rate of IPT initiation from TB compartment  LTBI, infected remotely and HIV compartment  PLHIV not on ART, CD4≤200 for gender Female under policy Standard (baseline)</v>
      </c>
      <c r="C79" s="8" t="s">
        <v>40</v>
      </c>
      <c r="D79" s="8" t="s">
        <v>41</v>
      </c>
      <c r="E79" s="8">
        <v>4</v>
      </c>
      <c r="G79" s="9">
        <v>3</v>
      </c>
      <c r="H79" s="9">
        <v>2</v>
      </c>
      <c r="I79" s="9">
        <v>1</v>
      </c>
      <c r="J79" s="9" t="str">
        <f t="shared" si="3"/>
        <v>kappa_4,3,2(1)</v>
      </c>
      <c r="K79" s="9" t="s">
        <v>496</v>
      </c>
      <c r="L79" s="9">
        <v>0.06</v>
      </c>
      <c r="O79" s="51" t="s">
        <v>45</v>
      </c>
      <c r="P79" s="52"/>
      <c r="Q79" s="53" t="s">
        <v>367</v>
      </c>
    </row>
    <row r="80" spans="1:17" ht="51" x14ac:dyDescent="0.2">
      <c r="A80" s="20" t="s">
        <v>93</v>
      </c>
      <c r="B80" s="21" t="str">
        <f t="shared" ref="B80:B87" si="4">CONCATENATE("Rate of IPT initiation from TB compartment ",VLOOKUP(E80,TB_SET,2)," and HIV compartment ",VLOOKUP(G80,HIV_SET,2)," for gender ",VLOOKUP(H80,G_SET,2), " under policy ", VLOOKUP(I80, P_SET,2))</f>
        <v>Rate of IPT initiation from TB compartment  LTBI, infected remotely and HIV compartment  PLHIV not on ART, CD4≤200 for gender Female under policy Community ART</v>
      </c>
      <c r="C80" s="8" t="s">
        <v>40</v>
      </c>
      <c r="D80" s="8" t="s">
        <v>41</v>
      </c>
      <c r="E80" s="8">
        <v>4</v>
      </c>
      <c r="G80" s="9">
        <v>3</v>
      </c>
      <c r="H80" s="9">
        <v>2</v>
      </c>
      <c r="I80" s="9">
        <v>2</v>
      </c>
      <c r="J80" s="9" t="str">
        <f t="shared" si="3"/>
        <v>kappa_4,3,2(2)</v>
      </c>
      <c r="K80" s="9" t="s">
        <v>497</v>
      </c>
      <c r="L80" s="9">
        <v>0.06</v>
      </c>
      <c r="O80" s="51" t="s">
        <v>45</v>
      </c>
      <c r="P80" s="52"/>
      <c r="Q80" s="53" t="s">
        <v>367</v>
      </c>
    </row>
    <row r="81" spans="1:17" ht="51" x14ac:dyDescent="0.2">
      <c r="A81" s="20" t="s">
        <v>66</v>
      </c>
      <c r="B81" s="21" t="str">
        <f t="shared" si="4"/>
        <v>Rate of IPT initiation from TB compartment  LTBI, infected remotely and HIV compartment  PLHIV not on ART, CD4≤200 for gender Female under policy Community ART + IPT</v>
      </c>
      <c r="C81" s="8" t="s">
        <v>40</v>
      </c>
      <c r="D81" s="8" t="s">
        <v>41</v>
      </c>
      <c r="E81" s="8">
        <v>4</v>
      </c>
      <c r="G81" s="9">
        <v>3</v>
      </c>
      <c r="H81" s="9">
        <v>2</v>
      </c>
      <c r="I81" s="9">
        <v>3</v>
      </c>
      <c r="J81" s="9" t="str">
        <f t="shared" si="3"/>
        <v>kappa_4,3,2(3)</v>
      </c>
      <c r="K81" s="9" t="s">
        <v>498</v>
      </c>
      <c r="L81" s="9">
        <v>0.91</v>
      </c>
      <c r="O81" s="51" t="s">
        <v>45</v>
      </c>
      <c r="P81" s="52"/>
      <c r="Q81" s="53" t="s">
        <v>367</v>
      </c>
    </row>
    <row r="82" spans="1:17" ht="51" x14ac:dyDescent="0.2">
      <c r="A82" s="20" t="s">
        <v>118</v>
      </c>
      <c r="B82" s="21" t="str">
        <f t="shared" si="4"/>
        <v>Rate of IPT initiation from TB compartment  LTBI, infected remotely and HIV compartment  PLHIV and on ART for gender Male under policy Standard (baseline)</v>
      </c>
      <c r="C82" s="8" t="s">
        <v>40</v>
      </c>
      <c r="D82" s="8" t="s">
        <v>41</v>
      </c>
      <c r="E82" s="8">
        <v>4</v>
      </c>
      <c r="G82" s="9">
        <v>4</v>
      </c>
      <c r="H82" s="9">
        <v>1</v>
      </c>
      <c r="I82" s="9">
        <v>1</v>
      </c>
      <c r="J82" s="9" t="str">
        <f t="shared" si="3"/>
        <v>kappa_4,4,1(1)</v>
      </c>
      <c r="K82" s="9" t="s">
        <v>499</v>
      </c>
      <c r="L82" s="9">
        <v>0.06</v>
      </c>
      <c r="O82" s="51" t="s">
        <v>45</v>
      </c>
      <c r="P82" s="52"/>
      <c r="Q82" s="53" t="s">
        <v>367</v>
      </c>
    </row>
    <row r="83" spans="1:17" ht="51" x14ac:dyDescent="0.2">
      <c r="A83" s="20" t="s">
        <v>94</v>
      </c>
      <c r="B83" s="21" t="str">
        <f t="shared" si="4"/>
        <v>Rate of IPT initiation from TB compartment  LTBI, infected remotely and HIV compartment  PLHIV and on ART for gender Male under policy Community ART</v>
      </c>
      <c r="C83" s="8" t="s">
        <v>40</v>
      </c>
      <c r="D83" s="8" t="s">
        <v>41</v>
      </c>
      <c r="E83" s="8">
        <v>4</v>
      </c>
      <c r="G83" s="9">
        <v>4</v>
      </c>
      <c r="H83" s="9">
        <v>1</v>
      </c>
      <c r="I83" s="9">
        <v>2</v>
      </c>
      <c r="J83" s="9" t="str">
        <f t="shared" si="3"/>
        <v>kappa_4,4,1(2)</v>
      </c>
      <c r="K83" s="9" t="s">
        <v>500</v>
      </c>
      <c r="L83" s="9">
        <v>0.06</v>
      </c>
      <c r="O83" s="51" t="s">
        <v>45</v>
      </c>
      <c r="P83" s="52"/>
      <c r="Q83" s="53" t="s">
        <v>367</v>
      </c>
    </row>
    <row r="84" spans="1:17" ht="51" x14ac:dyDescent="0.2">
      <c r="A84" s="20" t="s">
        <v>67</v>
      </c>
      <c r="B84" s="21" t="str">
        <f t="shared" si="4"/>
        <v>Rate of IPT initiation from TB compartment  LTBI, infected remotely and HIV compartment  PLHIV and on ART for gender Male under policy Community ART + IPT</v>
      </c>
      <c r="C84" s="8" t="s">
        <v>40</v>
      </c>
      <c r="D84" s="8" t="s">
        <v>41</v>
      </c>
      <c r="E84" s="8">
        <v>4</v>
      </c>
      <c r="G84" s="9">
        <v>4</v>
      </c>
      <c r="H84" s="9">
        <v>1</v>
      </c>
      <c r="I84" s="9">
        <v>3</v>
      </c>
      <c r="J84" s="9" t="str">
        <f t="shared" si="3"/>
        <v>kappa_4,4,1(3)</v>
      </c>
      <c r="K84" s="9" t="s">
        <v>501</v>
      </c>
      <c r="L84" s="9">
        <v>0.91</v>
      </c>
      <c r="O84" s="51" t="s">
        <v>45</v>
      </c>
      <c r="P84" s="52"/>
      <c r="Q84" s="53" t="s">
        <v>367</v>
      </c>
    </row>
    <row r="85" spans="1:17" ht="51" x14ac:dyDescent="0.2">
      <c r="A85" s="20" t="s">
        <v>119</v>
      </c>
      <c r="B85" s="21" t="str">
        <f t="shared" si="4"/>
        <v>Rate of IPT initiation from TB compartment  LTBI, infected remotely and HIV compartment  PLHIV and on ART for gender Female under policy Standard (baseline)</v>
      </c>
      <c r="C85" s="8" t="s">
        <v>40</v>
      </c>
      <c r="D85" s="8" t="s">
        <v>41</v>
      </c>
      <c r="E85" s="8">
        <v>4</v>
      </c>
      <c r="G85" s="9">
        <v>4</v>
      </c>
      <c r="H85" s="9">
        <v>2</v>
      </c>
      <c r="I85" s="9">
        <v>1</v>
      </c>
      <c r="J85" s="9" t="str">
        <f t="shared" si="3"/>
        <v>kappa_4,4,2(1)</v>
      </c>
      <c r="K85" s="9" t="s">
        <v>502</v>
      </c>
      <c r="L85" s="9">
        <v>0.06</v>
      </c>
      <c r="O85" s="51" t="s">
        <v>45</v>
      </c>
      <c r="P85" s="52"/>
      <c r="Q85" s="53" t="s">
        <v>367</v>
      </c>
    </row>
    <row r="86" spans="1:17" ht="51" x14ac:dyDescent="0.2">
      <c r="A86" s="20" t="s">
        <v>95</v>
      </c>
      <c r="B86" s="21" t="str">
        <f t="shared" si="4"/>
        <v>Rate of IPT initiation from TB compartment  LTBI, infected remotely and HIV compartment  PLHIV and on ART for gender Female under policy Community ART</v>
      </c>
      <c r="C86" s="8" t="s">
        <v>40</v>
      </c>
      <c r="D86" s="8" t="s">
        <v>41</v>
      </c>
      <c r="E86" s="8">
        <v>4</v>
      </c>
      <c r="G86" s="9">
        <v>4</v>
      </c>
      <c r="H86" s="9">
        <v>2</v>
      </c>
      <c r="I86" s="9">
        <v>2</v>
      </c>
      <c r="J86" s="9" t="str">
        <f t="shared" si="3"/>
        <v>kappa_4,4,2(2)</v>
      </c>
      <c r="K86" s="9" t="s">
        <v>503</v>
      </c>
      <c r="L86" s="9">
        <v>0.06</v>
      </c>
      <c r="O86" s="51" t="s">
        <v>45</v>
      </c>
      <c r="P86" s="52"/>
      <c r="Q86" s="53" t="s">
        <v>367</v>
      </c>
    </row>
    <row r="87" spans="1:17" ht="51" x14ac:dyDescent="0.2">
      <c r="A87" s="20" t="s">
        <v>68</v>
      </c>
      <c r="B87" s="21" t="str">
        <f t="shared" si="4"/>
        <v>Rate of IPT initiation from TB compartment  LTBI, infected remotely and HIV compartment  PLHIV and on ART for gender Female under policy Community ART + IPT</v>
      </c>
      <c r="C87" s="8" t="s">
        <v>40</v>
      </c>
      <c r="D87" s="8" t="s">
        <v>41</v>
      </c>
      <c r="E87" s="8">
        <v>4</v>
      </c>
      <c r="G87" s="9">
        <v>4</v>
      </c>
      <c r="H87" s="9">
        <v>2</v>
      </c>
      <c r="I87" s="9">
        <v>3</v>
      </c>
      <c r="J87" s="9" t="str">
        <f t="shared" si="3"/>
        <v>kappa_4,4,2(3)</v>
      </c>
      <c r="K87" s="9" t="s">
        <v>504</v>
      </c>
      <c r="L87" s="9">
        <v>0.91</v>
      </c>
      <c r="O87" s="51" t="s">
        <v>45</v>
      </c>
      <c r="P87" s="52"/>
      <c r="Q87" s="53" t="s">
        <v>367</v>
      </c>
    </row>
    <row r="88" spans="1:17" ht="32" x14ac:dyDescent="0.2">
      <c r="A88" s="33" t="s">
        <v>319</v>
      </c>
      <c r="C88" s="8" t="s">
        <v>122</v>
      </c>
      <c r="D88" s="8" t="s">
        <v>41</v>
      </c>
      <c r="E88" s="8"/>
      <c r="J88" s="9" t="str">
        <f t="shared" si="3"/>
        <v>omega_</v>
      </c>
      <c r="K88" s="9" t="s">
        <v>505</v>
      </c>
      <c r="L88" s="9">
        <v>2</v>
      </c>
      <c r="O88" s="51"/>
      <c r="P88" s="52" t="s">
        <v>123</v>
      </c>
      <c r="Q88" s="53" t="s">
        <v>368</v>
      </c>
    </row>
    <row r="89" spans="1:17" ht="48" x14ac:dyDescent="0.2">
      <c r="A89" s="20" t="s">
        <v>124</v>
      </c>
      <c r="B89" s="9" t="s">
        <v>125</v>
      </c>
      <c r="C89" s="8" t="s">
        <v>126</v>
      </c>
      <c r="D89" s="8" t="s">
        <v>41</v>
      </c>
      <c r="E89" s="8">
        <v>34</v>
      </c>
      <c r="J89" s="9" t="str">
        <f t="shared" si="3"/>
        <v>pi_34,</v>
      </c>
      <c r="K89" s="9" t="s">
        <v>506</v>
      </c>
      <c r="L89" s="23">
        <v>0.5</v>
      </c>
      <c r="O89" s="51"/>
      <c r="P89" s="52" t="s">
        <v>127</v>
      </c>
      <c r="Q89" s="53" t="s">
        <v>368</v>
      </c>
    </row>
    <row r="90" spans="1:17" ht="17" x14ac:dyDescent="0.2">
      <c r="A90" s="20" t="s">
        <v>128</v>
      </c>
      <c r="B90" s="9" t="s">
        <v>128</v>
      </c>
      <c r="C90" s="8" t="s">
        <v>126</v>
      </c>
      <c r="D90" s="8" t="s">
        <v>41</v>
      </c>
      <c r="E90" s="8">
        <v>36</v>
      </c>
      <c r="J90" s="9" t="str">
        <f t="shared" si="3"/>
        <v>pi_36,</v>
      </c>
      <c r="K90" s="9" t="s">
        <v>507</v>
      </c>
      <c r="L90" s="23">
        <v>0.05</v>
      </c>
      <c r="O90" s="51"/>
      <c r="P90" s="52" t="s">
        <v>636</v>
      </c>
      <c r="Q90" s="53" t="s">
        <v>368</v>
      </c>
    </row>
    <row r="91" spans="1:17" ht="17" x14ac:dyDescent="0.2">
      <c r="A91" s="20" t="s">
        <v>129</v>
      </c>
      <c r="B91" s="9" t="s">
        <v>128</v>
      </c>
      <c r="C91" s="8" t="s">
        <v>126</v>
      </c>
      <c r="D91" s="8" t="s">
        <v>41</v>
      </c>
      <c r="E91" s="8">
        <v>46</v>
      </c>
      <c r="J91" s="9" t="str">
        <f t="shared" si="3"/>
        <v>pi_46,</v>
      </c>
      <c r="K91" s="9" t="s">
        <v>508</v>
      </c>
      <c r="L91" s="23">
        <v>1E-3</v>
      </c>
      <c r="O91" s="51"/>
      <c r="P91" s="52" t="s">
        <v>636</v>
      </c>
      <c r="Q91" s="53" t="s">
        <v>368</v>
      </c>
    </row>
    <row r="92" spans="1:17" ht="17" x14ac:dyDescent="0.2">
      <c r="A92" s="20" t="s">
        <v>130</v>
      </c>
      <c r="B92" s="9" t="s">
        <v>130</v>
      </c>
      <c r="C92" s="8" t="s">
        <v>126</v>
      </c>
      <c r="D92" s="8" t="s">
        <v>41</v>
      </c>
      <c r="E92" s="8">
        <v>56</v>
      </c>
      <c r="J92" s="9" t="str">
        <f t="shared" si="3"/>
        <v>pi_56,</v>
      </c>
      <c r="K92" s="9" t="s">
        <v>509</v>
      </c>
      <c r="L92" s="23">
        <v>0.02</v>
      </c>
      <c r="O92" s="51"/>
      <c r="P92" s="52"/>
      <c r="Q92" s="53" t="s">
        <v>368</v>
      </c>
    </row>
    <row r="93" spans="1:17" ht="34" x14ac:dyDescent="0.2">
      <c r="A93" s="22" t="s">
        <v>238</v>
      </c>
      <c r="B93" s="22" t="s">
        <v>238</v>
      </c>
      <c r="C93" s="9" t="s">
        <v>126</v>
      </c>
      <c r="D93" s="9" t="s">
        <v>41</v>
      </c>
      <c r="E93" s="9">
        <v>67</v>
      </c>
      <c r="J93" s="9" t="str">
        <f t="shared" si="3"/>
        <v>pi_67,</v>
      </c>
      <c r="K93" s="9" t="s">
        <v>510</v>
      </c>
      <c r="L93" s="23">
        <v>2</v>
      </c>
      <c r="O93" s="51"/>
      <c r="P93" s="52"/>
      <c r="Q93" s="53" t="s">
        <v>368</v>
      </c>
    </row>
    <row r="94" spans="1:17" ht="34" x14ac:dyDescent="0.2">
      <c r="A94" s="20" t="s">
        <v>131</v>
      </c>
      <c r="B94" s="9" t="str">
        <f>CONCATENATE("Relative risk for TB progression from LTBI to active for HIV compartment ", VLOOKUP(G94, HIV_SET, 2))</f>
        <v>Relative risk for TB progression from LTBI to active for HIV compartment  HIV-negative</v>
      </c>
      <c r="C94" s="8" t="s">
        <v>132</v>
      </c>
      <c r="D94" s="8" t="s">
        <v>41</v>
      </c>
      <c r="E94" s="8"/>
      <c r="G94" s="9">
        <v>1</v>
      </c>
      <c r="J94" s="9" t="str">
        <f t="shared" si="3"/>
        <v>theta_1,</v>
      </c>
      <c r="K94" s="9" t="s">
        <v>511</v>
      </c>
      <c r="L94" s="9">
        <v>1</v>
      </c>
      <c r="O94" s="51"/>
      <c r="P94" s="52" t="s">
        <v>323</v>
      </c>
      <c r="Q94" s="53" t="s">
        <v>368</v>
      </c>
    </row>
    <row r="95" spans="1:17" ht="34" x14ac:dyDescent="0.2">
      <c r="A95" s="20" t="s">
        <v>133</v>
      </c>
      <c r="B95" s="9" t="str">
        <f>CONCATENATE("Relative risk for TB progression from LTBI to active for HIV compartment ", VLOOKUP(G95, HIV_SET, 2))</f>
        <v>Relative risk for TB progression from LTBI to active for HIV compartment  PLHIV not on ART, CD4&gt;200</v>
      </c>
      <c r="C95" s="8" t="s">
        <v>132</v>
      </c>
      <c r="D95" s="8" t="s">
        <v>41</v>
      </c>
      <c r="E95" s="8"/>
      <c r="G95" s="9">
        <v>2</v>
      </c>
      <c r="J95" s="9" t="str">
        <f t="shared" si="3"/>
        <v>theta_2,</v>
      </c>
      <c r="K95" s="9" t="s">
        <v>512</v>
      </c>
      <c r="L95" s="9">
        <v>6</v>
      </c>
      <c r="O95" s="51"/>
      <c r="P95" s="52" t="s">
        <v>323</v>
      </c>
      <c r="Q95" s="53" t="s">
        <v>368</v>
      </c>
    </row>
    <row r="96" spans="1:17" ht="34" x14ac:dyDescent="0.2">
      <c r="A96" s="20" t="s">
        <v>134</v>
      </c>
      <c r="B96" s="9" t="str">
        <f>CONCATENATE("Relative risk for TB progression from LTBI to active for HIV compartment ", VLOOKUP(G96, HIV_SET, 2))</f>
        <v>Relative risk for TB progression from LTBI to active for HIV compartment  PLHIV not on ART, CD4≤200</v>
      </c>
      <c r="C96" s="8" t="s">
        <v>132</v>
      </c>
      <c r="D96" s="8" t="s">
        <v>41</v>
      </c>
      <c r="E96" s="8"/>
      <c r="G96" s="9">
        <v>3</v>
      </c>
      <c r="J96" s="9" t="str">
        <f t="shared" si="3"/>
        <v>theta_3,</v>
      </c>
      <c r="K96" s="9" t="s">
        <v>513</v>
      </c>
      <c r="L96" s="9">
        <v>10</v>
      </c>
      <c r="O96" s="51"/>
      <c r="P96" s="52" t="s">
        <v>323</v>
      </c>
      <c r="Q96" s="53" t="s">
        <v>368</v>
      </c>
    </row>
    <row r="97" spans="1:17" ht="34" x14ac:dyDescent="0.2">
      <c r="A97" s="20" t="s">
        <v>135</v>
      </c>
      <c r="B97" s="9" t="str">
        <f>CONCATENATE("Relative risk for TB progression from LTBI to active for HIV compartment ", VLOOKUP(G97, HIV_SET, 2))</f>
        <v>Relative risk for TB progression from LTBI to active for HIV compartment  PLHIV and on ART</v>
      </c>
      <c r="C97" s="8" t="s">
        <v>132</v>
      </c>
      <c r="D97" s="8" t="s">
        <v>41</v>
      </c>
      <c r="E97" s="8"/>
      <c r="G97" s="9">
        <v>4</v>
      </c>
      <c r="J97" s="9" t="str">
        <f t="shared" si="3"/>
        <v>theta_4,</v>
      </c>
      <c r="K97" s="9" t="s">
        <v>514</v>
      </c>
      <c r="L97" s="40">
        <f>AVERAGE(VLOOKUP("theta_2,",model_matched_parameters,3,FALSE),VLOOKUP("theta_3,",model_matched_parameters,3,FALSE))*(1/3)</f>
        <v>2.6666666666666665</v>
      </c>
      <c r="O97" s="51" t="s">
        <v>324</v>
      </c>
      <c r="P97" s="52" t="s">
        <v>29</v>
      </c>
      <c r="Q97" s="53" t="s">
        <v>368</v>
      </c>
    </row>
    <row r="98" spans="1:17" ht="32" x14ac:dyDescent="0.2">
      <c r="A98" s="11" t="s">
        <v>369</v>
      </c>
      <c r="B98" s="9" t="str">
        <f t="shared" ref="B98:B103" si="5">CONCATENATE("IPT Adherence  under policy ", VLOOKUP(I98, P_SET,2), " for gender ", VLOOKUP(H98,G_SET,2))</f>
        <v>IPT Adherence  under policy Standard (baseline) for gender Male</v>
      </c>
      <c r="C98" s="9" t="s">
        <v>320</v>
      </c>
      <c r="D98" s="9" t="s">
        <v>41</v>
      </c>
      <c r="H98" s="9">
        <v>1</v>
      </c>
      <c r="I98" s="9">
        <v>1</v>
      </c>
      <c r="J98" s="9" t="str">
        <f t="shared" si="3"/>
        <v>varpi_1(1)</v>
      </c>
      <c r="K98" s="9" t="s">
        <v>515</v>
      </c>
      <c r="L98" s="34">
        <v>0.2</v>
      </c>
      <c r="O98" s="51"/>
      <c r="P98" s="52"/>
      <c r="Q98" s="53" t="s">
        <v>367</v>
      </c>
    </row>
    <row r="99" spans="1:17" ht="32" x14ac:dyDescent="0.2">
      <c r="A99" s="11" t="s">
        <v>370</v>
      </c>
      <c r="B99" s="9" t="str">
        <f t="shared" si="5"/>
        <v>IPT Adherence  under policy Community ART for gender Male</v>
      </c>
      <c r="C99" s="9" t="s">
        <v>320</v>
      </c>
      <c r="D99" s="9" t="s">
        <v>41</v>
      </c>
      <c r="H99" s="9">
        <v>1</v>
      </c>
      <c r="I99" s="9">
        <v>2</v>
      </c>
      <c r="J99" s="9" t="str">
        <f t="shared" si="3"/>
        <v>varpi_1(2)</v>
      </c>
      <c r="K99" s="9" t="s">
        <v>516</v>
      </c>
      <c r="L99" s="34">
        <v>0.2</v>
      </c>
      <c r="O99" s="51"/>
      <c r="P99" s="52"/>
      <c r="Q99" s="53" t="s">
        <v>367</v>
      </c>
    </row>
    <row r="100" spans="1:17" ht="32" x14ac:dyDescent="0.2">
      <c r="A100" s="11" t="s">
        <v>371</v>
      </c>
      <c r="B100" s="9" t="str">
        <f t="shared" si="5"/>
        <v>IPT Adherence  under policy Community ART + IPT for gender Male</v>
      </c>
      <c r="C100" s="9" t="s">
        <v>320</v>
      </c>
      <c r="D100" s="9" t="s">
        <v>41</v>
      </c>
      <c r="H100" s="9">
        <v>1</v>
      </c>
      <c r="I100" s="9">
        <v>3</v>
      </c>
      <c r="J100" s="9" t="str">
        <f t="shared" si="3"/>
        <v>varpi_1(3)</v>
      </c>
      <c r="K100" s="9" t="s">
        <v>517</v>
      </c>
      <c r="L100" s="34">
        <v>0.8</v>
      </c>
      <c r="O100" s="51"/>
      <c r="P100" s="52"/>
      <c r="Q100" s="53" t="s">
        <v>367</v>
      </c>
    </row>
    <row r="101" spans="1:17" ht="32" x14ac:dyDescent="0.2">
      <c r="A101" s="11" t="s">
        <v>372</v>
      </c>
      <c r="B101" s="9" t="str">
        <f t="shared" si="5"/>
        <v>IPT Adherence  under policy Standard (baseline) for gender Female</v>
      </c>
      <c r="C101" s="9" t="s">
        <v>320</v>
      </c>
      <c r="D101" s="9" t="s">
        <v>41</v>
      </c>
      <c r="H101" s="9">
        <v>2</v>
      </c>
      <c r="I101" s="9">
        <v>1</v>
      </c>
      <c r="J101" s="9" t="str">
        <f t="shared" si="3"/>
        <v>varpi_2(1)</v>
      </c>
      <c r="K101" s="9" t="s">
        <v>518</v>
      </c>
      <c r="L101" s="34">
        <v>0.2</v>
      </c>
      <c r="N101" s="10"/>
      <c r="O101" s="53"/>
      <c r="P101" s="52"/>
      <c r="Q101" s="53" t="s">
        <v>367</v>
      </c>
    </row>
    <row r="102" spans="1:17" ht="32" x14ac:dyDescent="0.2">
      <c r="A102" s="11" t="s">
        <v>373</v>
      </c>
      <c r="B102" s="9" t="str">
        <f t="shared" si="5"/>
        <v>IPT Adherence  under policy Community ART for gender Female</v>
      </c>
      <c r="C102" s="9" t="s">
        <v>320</v>
      </c>
      <c r="D102" s="9" t="s">
        <v>41</v>
      </c>
      <c r="H102" s="9">
        <v>2</v>
      </c>
      <c r="I102" s="9">
        <v>2</v>
      </c>
      <c r="J102" s="9" t="str">
        <f t="shared" si="3"/>
        <v>varpi_2(2)</v>
      </c>
      <c r="K102" s="9" t="s">
        <v>519</v>
      </c>
      <c r="L102" s="34">
        <v>0.2</v>
      </c>
      <c r="N102" s="10"/>
      <c r="O102" s="53"/>
      <c r="P102" s="52"/>
      <c r="Q102" s="53" t="s">
        <v>367</v>
      </c>
    </row>
    <row r="103" spans="1:17" ht="32" x14ac:dyDescent="0.2">
      <c r="A103" s="11" t="s">
        <v>374</v>
      </c>
      <c r="B103" s="9" t="str">
        <f t="shared" si="5"/>
        <v>IPT Adherence  under policy Community ART + IPT for gender Female</v>
      </c>
      <c r="C103" s="9" t="s">
        <v>320</v>
      </c>
      <c r="D103" s="9" t="s">
        <v>41</v>
      </c>
      <c r="H103" s="9">
        <v>2</v>
      </c>
      <c r="I103" s="9">
        <v>3</v>
      </c>
      <c r="J103" s="9" t="str">
        <f t="shared" si="3"/>
        <v>varpi_2(3)</v>
      </c>
      <c r="K103" s="9" t="s">
        <v>520</v>
      </c>
      <c r="L103" s="34">
        <v>0.8</v>
      </c>
      <c r="N103" s="10"/>
      <c r="O103" s="53"/>
      <c r="P103" s="52"/>
      <c r="Q103" s="53" t="s">
        <v>367</v>
      </c>
    </row>
    <row r="104" spans="1:17" ht="80" x14ac:dyDescent="0.2">
      <c r="A104" s="20" t="s">
        <v>375</v>
      </c>
      <c r="B104" s="9" t="str">
        <f t="shared" ref="B104:B127" si="6">CONCATENATE("Rate of populations moving from HIV compartment ",VLOOKUP(ROUND(G104/10,2),HIV_SET,2)," to ", VLOOKUP(MOD(G104,10),HIV_SET,2), " for gender ", VLOOKUP(H104,G_SET,2), " per year under policy ", VLOOKUP(I104, P_SET,2))</f>
        <v>Rate of populations moving from HIV compartment  HIV-negative to  PLHIV not on ART, CD4&gt;200 for gender Male per year under policy Standard (baseline)</v>
      </c>
      <c r="C104" s="8" t="s">
        <v>136</v>
      </c>
      <c r="D104" s="8" t="s">
        <v>137</v>
      </c>
      <c r="E104" s="8"/>
      <c r="G104" s="9">
        <v>12</v>
      </c>
      <c r="H104" s="9">
        <v>1</v>
      </c>
      <c r="I104" s="9">
        <v>1</v>
      </c>
      <c r="J104" s="9" t="str">
        <f t="shared" si="3"/>
        <v>eta_12,1(1)</v>
      </c>
      <c r="K104" s="9" t="s">
        <v>521</v>
      </c>
      <c r="L104" s="11">
        <v>6.8999999999999999E-3</v>
      </c>
      <c r="O104" s="54" t="s">
        <v>400</v>
      </c>
      <c r="P104" s="55" t="s">
        <v>399</v>
      </c>
      <c r="Q104" s="53" t="s">
        <v>367</v>
      </c>
    </row>
    <row r="105" spans="1:17" ht="80" x14ac:dyDescent="0.2">
      <c r="A105" s="20" t="s">
        <v>376</v>
      </c>
      <c r="B105" s="9" t="str">
        <f t="shared" si="6"/>
        <v>Rate of populations moving from HIV compartment  HIV-negative to  PLHIV not on ART, CD4&gt;200 for gender Male per year under policy Community ART</v>
      </c>
      <c r="C105" s="8" t="s">
        <v>136</v>
      </c>
      <c r="D105" s="8" t="s">
        <v>137</v>
      </c>
      <c r="E105" s="8"/>
      <c r="G105" s="9">
        <v>12</v>
      </c>
      <c r="H105" s="9">
        <v>1</v>
      </c>
      <c r="I105" s="9">
        <v>2</v>
      </c>
      <c r="J105" s="9" t="str">
        <f t="shared" si="3"/>
        <v>eta_12,1(2)</v>
      </c>
      <c r="K105" s="9" t="s">
        <v>522</v>
      </c>
      <c r="L105" s="11">
        <v>6.8999999999999999E-3</v>
      </c>
      <c r="O105" s="54" t="s">
        <v>400</v>
      </c>
      <c r="P105" s="55" t="s">
        <v>399</v>
      </c>
      <c r="Q105" s="53" t="s">
        <v>367</v>
      </c>
    </row>
    <row r="106" spans="1:17" ht="80" x14ac:dyDescent="0.2">
      <c r="A106" s="20" t="s">
        <v>377</v>
      </c>
      <c r="B106" s="9" t="str">
        <f t="shared" si="6"/>
        <v>Rate of populations moving from HIV compartment  HIV-negative to  PLHIV not on ART, CD4&gt;200 for gender Male per year under policy Community ART + IPT</v>
      </c>
      <c r="C106" s="8" t="s">
        <v>136</v>
      </c>
      <c r="D106" s="8" t="s">
        <v>137</v>
      </c>
      <c r="E106" s="8"/>
      <c r="G106" s="9">
        <v>12</v>
      </c>
      <c r="H106" s="9">
        <v>1</v>
      </c>
      <c r="I106" s="9">
        <v>3</v>
      </c>
      <c r="J106" s="9" t="str">
        <f t="shared" si="3"/>
        <v>eta_12,1(3)</v>
      </c>
      <c r="K106" s="9" t="s">
        <v>523</v>
      </c>
      <c r="L106" s="11">
        <v>6.8999999999999999E-3</v>
      </c>
      <c r="O106" s="54" t="s">
        <v>400</v>
      </c>
      <c r="P106" s="55" t="s">
        <v>399</v>
      </c>
      <c r="Q106" s="53" t="s">
        <v>367</v>
      </c>
    </row>
    <row r="107" spans="1:17" ht="51" customHeight="1" x14ac:dyDescent="0.15">
      <c r="A107" s="20" t="s">
        <v>378</v>
      </c>
      <c r="B107" s="9" t="str">
        <f t="shared" si="6"/>
        <v>Rate of populations moving from HIV compartment  PLHIV not on ART, CD4&gt;200 to  PLHIV not on ART, CD4≤200 for gender Male per year under policy Standard (baseline)</v>
      </c>
      <c r="C107" s="8" t="s">
        <v>136</v>
      </c>
      <c r="D107" s="8" t="s">
        <v>137</v>
      </c>
      <c r="E107" s="8"/>
      <c r="G107" s="9">
        <v>23</v>
      </c>
      <c r="H107" s="9">
        <v>1</v>
      </c>
      <c r="I107" s="9">
        <v>1</v>
      </c>
      <c r="J107" s="9" t="str">
        <f t="shared" si="3"/>
        <v>eta_23,1(1)</v>
      </c>
      <c r="K107" s="9" t="s">
        <v>524</v>
      </c>
      <c r="L107" s="23">
        <f>1/(0.25+1.71+1.05+4.71)</f>
        <v>0.1295336787564767</v>
      </c>
      <c r="O107" s="56" t="s">
        <v>403</v>
      </c>
      <c r="P107" s="52" t="s">
        <v>401</v>
      </c>
      <c r="Q107" s="53" t="s">
        <v>368</v>
      </c>
    </row>
    <row r="108" spans="1:17" ht="51" customHeight="1" x14ac:dyDescent="0.15">
      <c r="A108" s="20" t="s">
        <v>379</v>
      </c>
      <c r="B108" s="9" t="str">
        <f t="shared" si="6"/>
        <v>Rate of populations moving from HIV compartment  PLHIV not on ART, CD4&gt;200 to  PLHIV not on ART, CD4≤200 for gender Male per year under policy Community ART</v>
      </c>
      <c r="C108" s="8" t="s">
        <v>136</v>
      </c>
      <c r="D108" s="8" t="s">
        <v>137</v>
      </c>
      <c r="E108" s="8"/>
      <c r="G108" s="9">
        <v>23</v>
      </c>
      <c r="H108" s="9">
        <v>1</v>
      </c>
      <c r="I108" s="9">
        <v>2</v>
      </c>
      <c r="J108" s="9" t="str">
        <f t="shared" si="3"/>
        <v>eta_23,1(2)</v>
      </c>
      <c r="K108" s="9" t="s">
        <v>525</v>
      </c>
      <c r="L108" s="23">
        <f t="shared" ref="L108:L109" si="7">1/(0.25+1.71+1.05+4.71)</f>
        <v>0.1295336787564767</v>
      </c>
      <c r="O108" s="56" t="s">
        <v>403</v>
      </c>
      <c r="P108" s="52" t="s">
        <v>401</v>
      </c>
      <c r="Q108" s="53" t="s">
        <v>368</v>
      </c>
    </row>
    <row r="109" spans="1:17" ht="51" customHeight="1" x14ac:dyDescent="0.15">
      <c r="A109" s="20" t="s">
        <v>380</v>
      </c>
      <c r="B109" s="9" t="str">
        <f t="shared" si="6"/>
        <v>Rate of populations moving from HIV compartment  PLHIV not on ART, CD4&gt;200 to  PLHIV not on ART, CD4≤200 for gender Male per year under policy Community ART + IPT</v>
      </c>
      <c r="C109" s="8" t="s">
        <v>136</v>
      </c>
      <c r="D109" s="8" t="s">
        <v>137</v>
      </c>
      <c r="E109" s="8"/>
      <c r="G109" s="9">
        <v>23</v>
      </c>
      <c r="H109" s="9">
        <v>1</v>
      </c>
      <c r="I109" s="9">
        <v>3</v>
      </c>
      <c r="J109" s="9" t="str">
        <f t="shared" si="3"/>
        <v>eta_23,1(3)</v>
      </c>
      <c r="K109" s="9" t="s">
        <v>526</v>
      </c>
      <c r="L109" s="23">
        <f t="shared" si="7"/>
        <v>0.1295336787564767</v>
      </c>
      <c r="O109" s="56" t="s">
        <v>403</v>
      </c>
      <c r="P109" s="52" t="s">
        <v>401</v>
      </c>
      <c r="Q109" s="53" t="s">
        <v>368</v>
      </c>
    </row>
    <row r="110" spans="1:17" ht="48" customHeight="1" x14ac:dyDescent="0.15">
      <c r="A110" s="20" t="s">
        <v>381</v>
      </c>
      <c r="B110" s="9" t="str">
        <f t="shared" si="6"/>
        <v>Rate of populations moving from HIV compartment  PLHIV not on ART, CD4&gt;200 to  PLHIV and on ART for gender Male per year under policy Standard (baseline)</v>
      </c>
      <c r="C110" s="8" t="s">
        <v>136</v>
      </c>
      <c r="D110" s="8" t="s">
        <v>137</v>
      </c>
      <c r="E110" s="8"/>
      <c r="G110" s="9">
        <v>24</v>
      </c>
      <c r="H110" s="9">
        <v>1</v>
      </c>
      <c r="I110" s="9">
        <v>1</v>
      </c>
      <c r="J110" s="9" t="str">
        <f t="shared" si="3"/>
        <v>eta_24,1(1)</v>
      </c>
      <c r="K110" s="9" t="s">
        <v>527</v>
      </c>
      <c r="L110" s="23">
        <v>0.4</v>
      </c>
      <c r="O110" s="56"/>
      <c r="P110" s="52"/>
      <c r="Q110" s="53" t="s">
        <v>367</v>
      </c>
    </row>
    <row r="111" spans="1:17" ht="48" x14ac:dyDescent="0.2">
      <c r="A111" s="20" t="s">
        <v>382</v>
      </c>
      <c r="B111" s="9" t="str">
        <f t="shared" si="6"/>
        <v>Rate of populations moving from HIV compartment  PLHIV not on ART, CD4&gt;200 to  PLHIV and on ART for gender Male per year under policy Community ART</v>
      </c>
      <c r="C111" s="8" t="s">
        <v>136</v>
      </c>
      <c r="D111" s="8" t="s">
        <v>137</v>
      </c>
      <c r="E111" s="8"/>
      <c r="G111" s="9">
        <v>24</v>
      </c>
      <c r="H111" s="9">
        <v>1</v>
      </c>
      <c r="I111" s="9">
        <v>2</v>
      </c>
      <c r="J111" s="9" t="str">
        <f t="shared" si="3"/>
        <v>eta_24,1(2)</v>
      </c>
      <c r="K111" s="9" t="s">
        <v>528</v>
      </c>
      <c r="L111" s="23">
        <f>VLOOKUP("eta_24,1(1)",model_matched_parameters,3, FALSE)*VLOOKUP("eta_2,4(2)",indirect_model_parameters,2,FALSE)</f>
        <v>0.44000000000000006</v>
      </c>
      <c r="O111" s="57" t="s">
        <v>404</v>
      </c>
      <c r="P111" s="52" t="s">
        <v>418</v>
      </c>
      <c r="Q111" s="53" t="s">
        <v>367</v>
      </c>
    </row>
    <row r="112" spans="1:17" ht="51" x14ac:dyDescent="0.2">
      <c r="A112" s="20" t="s">
        <v>383</v>
      </c>
      <c r="B112" s="9" t="str">
        <f t="shared" si="6"/>
        <v>Rate of populations moving from HIV compartment  PLHIV not on ART, CD4&gt;200 to  PLHIV and on ART for gender Male per year under policy Community ART + IPT</v>
      </c>
      <c r="C112" s="8" t="s">
        <v>136</v>
      </c>
      <c r="D112" s="8" t="s">
        <v>137</v>
      </c>
      <c r="E112" s="8"/>
      <c r="G112" s="9">
        <v>24</v>
      </c>
      <c r="H112" s="9">
        <v>1</v>
      </c>
      <c r="I112" s="9">
        <v>3</v>
      </c>
      <c r="J112" s="9" t="str">
        <f t="shared" si="3"/>
        <v>eta_24,1(3)</v>
      </c>
      <c r="K112" s="9" t="s">
        <v>529</v>
      </c>
      <c r="L112" s="23">
        <f>VLOOKUP("eta_24,1(1)",model_matched_parameters,3, FALSE)*VLOOKUP("eta_2,4(2)",indirect_model_parameters,2,FALSE)</f>
        <v>0.44000000000000006</v>
      </c>
      <c r="O112" s="51" t="s">
        <v>634</v>
      </c>
      <c r="P112" s="52" t="s">
        <v>635</v>
      </c>
      <c r="Q112" s="53" t="s">
        <v>367</v>
      </c>
    </row>
    <row r="113" spans="1:17" ht="48" x14ac:dyDescent="0.2">
      <c r="A113" s="20" t="s">
        <v>384</v>
      </c>
      <c r="B113" s="9" t="str">
        <f t="shared" si="6"/>
        <v>Rate of populations moving from HIV compartment  PLHIV not on ART, CD4≤200 to  PLHIV and on ART for gender Male per year under policy Standard (baseline)</v>
      </c>
      <c r="C113" s="8" t="s">
        <v>136</v>
      </c>
      <c r="D113" s="8" t="s">
        <v>137</v>
      </c>
      <c r="E113" s="8"/>
      <c r="G113" s="9">
        <v>34</v>
      </c>
      <c r="H113" s="9">
        <v>1</v>
      </c>
      <c r="I113" s="9">
        <v>1</v>
      </c>
      <c r="J113" s="9" t="str">
        <f t="shared" si="3"/>
        <v>eta_34,1(1)</v>
      </c>
      <c r="K113" s="9" t="s">
        <v>530</v>
      </c>
      <c r="L113" s="47">
        <v>0.4</v>
      </c>
      <c r="O113" s="51"/>
      <c r="P113" s="52"/>
      <c r="Q113" s="53" t="s">
        <v>367</v>
      </c>
    </row>
    <row r="114" spans="1:17" ht="48" x14ac:dyDescent="0.2">
      <c r="A114" s="20" t="s">
        <v>385</v>
      </c>
      <c r="B114" s="9" t="str">
        <f t="shared" si="6"/>
        <v>Rate of populations moving from HIV compartment  PLHIV not on ART, CD4≤200 to  PLHIV and on ART for gender Male per year under policy Community ART</v>
      </c>
      <c r="C114" s="8" t="s">
        <v>136</v>
      </c>
      <c r="D114" s="8" t="s">
        <v>137</v>
      </c>
      <c r="E114" s="8"/>
      <c r="G114" s="9">
        <v>34</v>
      </c>
      <c r="H114" s="9">
        <v>1</v>
      </c>
      <c r="I114" s="9">
        <v>2</v>
      </c>
      <c r="J114" s="9" t="str">
        <f t="shared" si="3"/>
        <v>eta_34,1(2)</v>
      </c>
      <c r="K114" s="9" t="s">
        <v>531</v>
      </c>
      <c r="L114" s="23">
        <f>L113*indirect_model_parameters!$G$6</f>
        <v>0.44000000000000006</v>
      </c>
      <c r="O114" s="51" t="s">
        <v>417</v>
      </c>
      <c r="P114" s="52"/>
      <c r="Q114" s="53" t="s">
        <v>367</v>
      </c>
    </row>
    <row r="115" spans="1:17" ht="51" x14ac:dyDescent="0.2">
      <c r="A115" s="20" t="s">
        <v>386</v>
      </c>
      <c r="B115" s="9" t="str">
        <f t="shared" si="6"/>
        <v>Rate of populations moving from HIV compartment  PLHIV not on ART, CD4≤200 to  PLHIV and on ART for gender Male per year under policy Community ART + IPT</v>
      </c>
      <c r="C115" s="8" t="s">
        <v>136</v>
      </c>
      <c r="D115" s="8" t="s">
        <v>137</v>
      </c>
      <c r="E115" s="8"/>
      <c r="G115" s="9">
        <v>34</v>
      </c>
      <c r="H115" s="9">
        <v>1</v>
      </c>
      <c r="I115" s="9">
        <v>3</v>
      </c>
      <c r="J115" s="9" t="str">
        <f t="shared" si="3"/>
        <v>eta_34,1(3)</v>
      </c>
      <c r="K115" s="9" t="s">
        <v>532</v>
      </c>
      <c r="L115" s="23">
        <f>L113*indirect_model_parameters!$G$7</f>
        <v>0.48</v>
      </c>
      <c r="O115" s="51" t="s">
        <v>417</v>
      </c>
      <c r="P115" s="52" t="s">
        <v>138</v>
      </c>
      <c r="Q115" s="53" t="s">
        <v>367</v>
      </c>
    </row>
    <row r="116" spans="1:17" ht="80" x14ac:dyDescent="0.2">
      <c r="A116" s="20" t="s">
        <v>387</v>
      </c>
      <c r="B116" s="9" t="str">
        <f t="shared" si="6"/>
        <v>Rate of populations moving from HIV compartment  HIV-negative to  PLHIV not on ART, CD4&gt;200 for gender Female per year under policy Standard (baseline)</v>
      </c>
      <c r="C116" s="8" t="s">
        <v>136</v>
      </c>
      <c r="D116" s="8" t="s">
        <v>137</v>
      </c>
      <c r="E116" s="8"/>
      <c r="G116" s="9">
        <v>12</v>
      </c>
      <c r="H116" s="9">
        <v>2</v>
      </c>
      <c r="I116" s="9">
        <v>1</v>
      </c>
      <c r="J116" s="9" t="str">
        <f t="shared" si="3"/>
        <v>eta_12,2(1)</v>
      </c>
      <c r="K116" s="9" t="s">
        <v>533</v>
      </c>
      <c r="L116" s="11">
        <v>9.2999999999999992E-3</v>
      </c>
      <c r="O116" s="54" t="s">
        <v>400</v>
      </c>
      <c r="P116" s="55" t="s">
        <v>399</v>
      </c>
      <c r="Q116" s="53" t="s">
        <v>367</v>
      </c>
    </row>
    <row r="117" spans="1:17" ht="80" x14ac:dyDescent="0.2">
      <c r="A117" s="20" t="s">
        <v>388</v>
      </c>
      <c r="B117" s="9" t="str">
        <f t="shared" si="6"/>
        <v>Rate of populations moving from HIV compartment  HIV-negative to  PLHIV not on ART, CD4&gt;200 for gender Female per year under policy Community ART</v>
      </c>
      <c r="C117" s="8" t="s">
        <v>136</v>
      </c>
      <c r="D117" s="8" t="s">
        <v>137</v>
      </c>
      <c r="E117" s="8"/>
      <c r="G117" s="9">
        <v>12</v>
      </c>
      <c r="H117" s="9">
        <v>2</v>
      </c>
      <c r="I117" s="9">
        <v>2</v>
      </c>
      <c r="J117" s="9" t="str">
        <f t="shared" si="3"/>
        <v>eta_12,2(2)</v>
      </c>
      <c r="K117" s="9" t="s">
        <v>534</v>
      </c>
      <c r="L117" s="11">
        <v>9.2999999999999992E-3</v>
      </c>
      <c r="O117" s="54" t="s">
        <v>400</v>
      </c>
      <c r="P117" s="55" t="s">
        <v>399</v>
      </c>
      <c r="Q117" s="53" t="s">
        <v>367</v>
      </c>
    </row>
    <row r="118" spans="1:17" ht="80" x14ac:dyDescent="0.2">
      <c r="A118" s="20" t="s">
        <v>389</v>
      </c>
      <c r="B118" s="9" t="str">
        <f t="shared" si="6"/>
        <v>Rate of populations moving from HIV compartment  HIV-negative to  PLHIV not on ART, CD4&gt;200 for gender Female per year under policy Community ART + IPT</v>
      </c>
      <c r="C118" s="8" t="s">
        <v>136</v>
      </c>
      <c r="D118" s="8" t="s">
        <v>137</v>
      </c>
      <c r="E118" s="8"/>
      <c r="G118" s="9">
        <v>12</v>
      </c>
      <c r="H118" s="9">
        <v>2</v>
      </c>
      <c r="I118" s="9">
        <v>3</v>
      </c>
      <c r="J118" s="9" t="str">
        <f t="shared" si="3"/>
        <v>eta_12,2(3)</v>
      </c>
      <c r="K118" s="9" t="s">
        <v>535</v>
      </c>
      <c r="L118" s="11">
        <v>9.2999999999999992E-3</v>
      </c>
      <c r="O118" s="54" t="s">
        <v>400</v>
      </c>
      <c r="P118" s="55" t="s">
        <v>399</v>
      </c>
      <c r="Q118" s="53" t="s">
        <v>367</v>
      </c>
    </row>
    <row r="119" spans="1:17" ht="48" customHeight="1" x14ac:dyDescent="0.15">
      <c r="A119" s="20" t="s">
        <v>390</v>
      </c>
      <c r="B119" s="9" t="str">
        <f t="shared" si="6"/>
        <v>Rate of populations moving from HIV compartment  PLHIV not on ART, CD4&gt;200 to  PLHIV not on ART, CD4≤200 for gender Female per year under policy Standard (baseline)</v>
      </c>
      <c r="C119" s="8" t="s">
        <v>136</v>
      </c>
      <c r="D119" s="8" t="s">
        <v>137</v>
      </c>
      <c r="E119" s="8"/>
      <c r="G119" s="9">
        <v>23</v>
      </c>
      <c r="H119" s="9">
        <v>2</v>
      </c>
      <c r="I119" s="9">
        <v>1</v>
      </c>
      <c r="J119" s="9" t="str">
        <f t="shared" si="3"/>
        <v>eta_23,2(1)</v>
      </c>
      <c r="K119" s="9" t="s">
        <v>536</v>
      </c>
      <c r="L119" s="11">
        <v>9.7560975609756101E-2</v>
      </c>
      <c r="O119" s="56" t="s">
        <v>403</v>
      </c>
      <c r="P119" s="52" t="s">
        <v>402</v>
      </c>
      <c r="Q119" s="53" t="s">
        <v>368</v>
      </c>
    </row>
    <row r="120" spans="1:17" ht="51" customHeight="1" x14ac:dyDescent="0.15">
      <c r="A120" s="20" t="s">
        <v>391</v>
      </c>
      <c r="B120" s="9" t="str">
        <f t="shared" si="6"/>
        <v>Rate of populations moving from HIV compartment  PLHIV not on ART, CD4&gt;200 to  PLHIV not on ART, CD4≤200 for gender Female per year under policy Community ART</v>
      </c>
      <c r="C120" s="8" t="s">
        <v>136</v>
      </c>
      <c r="D120" s="8" t="s">
        <v>137</v>
      </c>
      <c r="E120" s="8"/>
      <c r="G120" s="9">
        <v>23</v>
      </c>
      <c r="H120" s="9">
        <v>2</v>
      </c>
      <c r="I120" s="9">
        <v>2</v>
      </c>
      <c r="J120" s="9" t="str">
        <f t="shared" si="3"/>
        <v>eta_23,2(2)</v>
      </c>
      <c r="K120" s="9" t="s">
        <v>537</v>
      </c>
      <c r="L120" s="11">
        <v>9.7560975609756101E-2</v>
      </c>
      <c r="O120" s="56" t="s">
        <v>403</v>
      </c>
      <c r="P120" s="52" t="s">
        <v>402</v>
      </c>
      <c r="Q120" s="53" t="s">
        <v>368</v>
      </c>
    </row>
    <row r="121" spans="1:17" ht="51" customHeight="1" x14ac:dyDescent="0.15">
      <c r="A121" s="20" t="s">
        <v>392</v>
      </c>
      <c r="B121" s="9" t="str">
        <f t="shared" si="6"/>
        <v>Rate of populations moving from HIV compartment  PLHIV not on ART, CD4&gt;200 to  PLHIV not on ART, CD4≤200 for gender Female per year under policy Community ART + IPT</v>
      </c>
      <c r="C121" s="8" t="s">
        <v>136</v>
      </c>
      <c r="D121" s="8" t="s">
        <v>137</v>
      </c>
      <c r="E121" s="8"/>
      <c r="G121" s="9">
        <v>23</v>
      </c>
      <c r="H121" s="9">
        <v>2</v>
      </c>
      <c r="I121" s="9">
        <v>3</v>
      </c>
      <c r="J121" s="9" t="str">
        <f t="shared" si="3"/>
        <v>eta_23,2(3)</v>
      </c>
      <c r="K121" s="9" t="s">
        <v>538</v>
      </c>
      <c r="L121" s="11">
        <v>9.7560975609756101E-2</v>
      </c>
      <c r="O121" s="56" t="s">
        <v>403</v>
      </c>
      <c r="P121" s="52" t="s">
        <v>402</v>
      </c>
      <c r="Q121" s="53" t="s">
        <v>368</v>
      </c>
    </row>
    <row r="122" spans="1:17" ht="51" x14ac:dyDescent="0.2">
      <c r="A122" s="20" t="s">
        <v>393</v>
      </c>
      <c r="B122" s="9" t="str">
        <f t="shared" si="6"/>
        <v>Rate of populations moving from HIV compartment  PLHIV not on ART, CD4&gt;200 to  PLHIV and on ART for gender Female per year under policy Standard (baseline)</v>
      </c>
      <c r="C122" s="8" t="s">
        <v>136</v>
      </c>
      <c r="D122" s="8" t="s">
        <v>137</v>
      </c>
      <c r="E122" s="8"/>
      <c r="G122" s="9">
        <v>24</v>
      </c>
      <c r="H122" s="9">
        <v>2</v>
      </c>
      <c r="I122" s="9">
        <v>1</v>
      </c>
      <c r="J122" s="9" t="str">
        <f t="shared" si="3"/>
        <v>eta_24,2(1)</v>
      </c>
      <c r="K122" s="9" t="s">
        <v>539</v>
      </c>
      <c r="L122" s="23">
        <v>0.4</v>
      </c>
      <c r="O122" s="51"/>
      <c r="P122" s="52"/>
      <c r="Q122" s="53" t="s">
        <v>367</v>
      </c>
    </row>
    <row r="123" spans="1:17" ht="48" x14ac:dyDescent="0.2">
      <c r="A123" s="20" t="s">
        <v>394</v>
      </c>
      <c r="B123" s="9" t="str">
        <f t="shared" si="6"/>
        <v>Rate of populations moving from HIV compartment  PLHIV not on ART, CD4&gt;200 to  PLHIV and on ART for gender Female per year under policy Community ART</v>
      </c>
      <c r="C123" s="8" t="s">
        <v>136</v>
      </c>
      <c r="D123" s="8" t="s">
        <v>137</v>
      </c>
      <c r="E123" s="8"/>
      <c r="G123" s="9">
        <v>24</v>
      </c>
      <c r="H123" s="9">
        <v>2</v>
      </c>
      <c r="I123" s="9">
        <v>2</v>
      </c>
      <c r="J123" s="9" t="str">
        <f t="shared" si="3"/>
        <v>eta_24,2(2)</v>
      </c>
      <c r="K123" s="9" t="s">
        <v>540</v>
      </c>
      <c r="L123" s="23">
        <f>L122*indirect_model_parameters!$G$6</f>
        <v>0.44000000000000006</v>
      </c>
      <c r="O123" s="51"/>
      <c r="P123" s="52"/>
      <c r="Q123" s="53" t="s">
        <v>367</v>
      </c>
    </row>
    <row r="124" spans="1:17" ht="51" x14ac:dyDescent="0.2">
      <c r="A124" s="20" t="s">
        <v>395</v>
      </c>
      <c r="B124" s="9" t="str">
        <f t="shared" si="6"/>
        <v>Rate of populations moving from HIV compartment  PLHIV not on ART, CD4&gt;200 to  PLHIV and on ART for gender Female per year under policy Community ART + IPT</v>
      </c>
      <c r="C124" s="8" t="s">
        <v>136</v>
      </c>
      <c r="D124" s="8" t="s">
        <v>137</v>
      </c>
      <c r="E124" s="8"/>
      <c r="G124" s="9">
        <v>24</v>
      </c>
      <c r="H124" s="9">
        <v>2</v>
      </c>
      <c r="I124" s="9">
        <v>3</v>
      </c>
      <c r="J124" s="9" t="str">
        <f t="shared" si="3"/>
        <v>eta_24,2(3)</v>
      </c>
      <c r="K124" s="9" t="s">
        <v>541</v>
      </c>
      <c r="L124" s="23">
        <f>L122*indirect_model_parameters!$G$7</f>
        <v>0.48</v>
      </c>
      <c r="O124" s="51"/>
      <c r="P124" s="52" t="s">
        <v>139</v>
      </c>
      <c r="Q124" s="53" t="s">
        <v>367</v>
      </c>
    </row>
    <row r="125" spans="1:17" ht="51" x14ac:dyDescent="0.2">
      <c r="A125" s="20" t="s">
        <v>396</v>
      </c>
      <c r="B125" s="9" t="str">
        <f t="shared" si="6"/>
        <v>Rate of populations moving from HIV compartment  PLHIV not on ART, CD4≤200 to  PLHIV and on ART for gender Female per year under policy Standard (baseline)</v>
      </c>
      <c r="C125" s="8" t="s">
        <v>136</v>
      </c>
      <c r="D125" s="8" t="s">
        <v>137</v>
      </c>
      <c r="E125" s="8"/>
      <c r="G125" s="9">
        <v>34</v>
      </c>
      <c r="H125" s="9">
        <v>2</v>
      </c>
      <c r="I125" s="9">
        <v>1</v>
      </c>
      <c r="J125" s="9" t="str">
        <f t="shared" si="3"/>
        <v>eta_34,2(1)</v>
      </c>
      <c r="K125" s="9" t="s">
        <v>542</v>
      </c>
      <c r="L125" s="23">
        <v>0.4</v>
      </c>
      <c r="O125" s="51"/>
      <c r="P125" s="52"/>
      <c r="Q125" s="53" t="s">
        <v>367</v>
      </c>
    </row>
    <row r="126" spans="1:17" ht="48" x14ac:dyDescent="0.2">
      <c r="A126" s="20" t="s">
        <v>397</v>
      </c>
      <c r="B126" s="9" t="str">
        <f t="shared" si="6"/>
        <v>Rate of populations moving from HIV compartment  PLHIV not on ART, CD4≤200 to  PLHIV and on ART for gender Female per year under policy Community ART</v>
      </c>
      <c r="C126" s="8" t="s">
        <v>136</v>
      </c>
      <c r="D126" s="8" t="s">
        <v>137</v>
      </c>
      <c r="E126" s="8"/>
      <c r="G126" s="9">
        <v>34</v>
      </c>
      <c r="H126" s="9">
        <v>2</v>
      </c>
      <c r="I126" s="9">
        <v>2</v>
      </c>
      <c r="J126" s="9" t="str">
        <f t="shared" si="3"/>
        <v>eta_34,2(2)</v>
      </c>
      <c r="K126" s="9" t="s">
        <v>543</v>
      </c>
      <c r="L126" s="23">
        <f>L125*indirect_model_parameters!$G$6</f>
        <v>0.44000000000000006</v>
      </c>
      <c r="O126" s="51"/>
      <c r="P126" s="52"/>
      <c r="Q126" s="53" t="s">
        <v>367</v>
      </c>
    </row>
    <row r="127" spans="1:17" ht="51" x14ac:dyDescent="0.2">
      <c r="A127" s="20" t="s">
        <v>398</v>
      </c>
      <c r="B127" s="9" t="str">
        <f t="shared" si="6"/>
        <v>Rate of populations moving from HIV compartment  PLHIV not on ART, CD4≤200 to  PLHIV and on ART for gender Female per year under policy Community ART + IPT</v>
      </c>
      <c r="C127" s="8" t="s">
        <v>136</v>
      </c>
      <c r="D127" s="8" t="s">
        <v>137</v>
      </c>
      <c r="E127" s="8"/>
      <c r="G127" s="9">
        <v>34</v>
      </c>
      <c r="H127" s="9">
        <v>2</v>
      </c>
      <c r="I127" s="9">
        <v>3</v>
      </c>
      <c r="J127" s="9" t="str">
        <f t="shared" si="3"/>
        <v>eta_34,2(3)</v>
      </c>
      <c r="K127" s="9" t="s">
        <v>544</v>
      </c>
      <c r="L127" s="23">
        <f>L125*indirect_model_parameters!$G$7</f>
        <v>0.48</v>
      </c>
      <c r="O127" s="51"/>
      <c r="P127" s="52" t="s">
        <v>138</v>
      </c>
      <c r="Q127" s="53" t="s">
        <v>367</v>
      </c>
    </row>
    <row r="128" spans="1:17" ht="34" x14ac:dyDescent="0.2">
      <c r="A128" s="20" t="s">
        <v>406</v>
      </c>
      <c r="B128" s="9" t="str">
        <f t="shared" ref="B128:B159" si="8">CONCATENATE("Rate of entry due to aging into HIV compartment ", VLOOKUP(G128, HIV_SET, 2), " and gender compartment ", VLOOKUP(H128, G_SET, 2), ", per year")</f>
        <v>Rate of entry due to aging into HIV compartment  HIV-negative and gender compartment Male, per year</v>
      </c>
      <c r="C128" s="8" t="s">
        <v>405</v>
      </c>
      <c r="D128" s="8" t="s">
        <v>142</v>
      </c>
      <c r="E128" s="8">
        <v>1</v>
      </c>
      <c r="F128" s="9">
        <v>1</v>
      </c>
      <c r="G128" s="9">
        <v>1</v>
      </c>
      <c r="H128" s="9">
        <v>1</v>
      </c>
      <c r="J128" s="9" t="str">
        <f t="shared" si="3"/>
        <v>alpha^in_1,1,1,1</v>
      </c>
      <c r="K128" s="9" t="s">
        <v>545</v>
      </c>
      <c r="L128" s="50">
        <f>VLOOKUP(J128,aging_in!$G$5:$H$37,2)</f>
        <v>0.15495352324023928</v>
      </c>
      <c r="O128" s="51"/>
      <c r="P128" s="52" t="s">
        <v>411</v>
      </c>
      <c r="Q128" s="53" t="s">
        <v>367</v>
      </c>
    </row>
    <row r="129" spans="1:17" ht="34" x14ac:dyDescent="0.2">
      <c r="A129" s="20" t="s">
        <v>407</v>
      </c>
      <c r="B129" s="9" t="str">
        <f t="shared" si="8"/>
        <v>Rate of entry due to aging into HIV compartment  HIV-negative and gender compartment Female, per year</v>
      </c>
      <c r="C129" s="8" t="s">
        <v>405</v>
      </c>
      <c r="D129" s="8" t="s">
        <v>142</v>
      </c>
      <c r="E129" s="8">
        <v>1</v>
      </c>
      <c r="F129" s="9">
        <v>1</v>
      </c>
      <c r="G129" s="9">
        <v>1</v>
      </c>
      <c r="H129" s="9">
        <v>2</v>
      </c>
      <c r="J129" s="9" t="str">
        <f t="shared" si="3"/>
        <v>alpha^in_1,1,1,2</v>
      </c>
      <c r="K129" s="9" t="s">
        <v>546</v>
      </c>
      <c r="L129" s="50">
        <f>VLOOKUP(J129,aging_in!$G$5:$H$37,2)</f>
        <v>0.15495352324023928</v>
      </c>
      <c r="O129" s="51"/>
      <c r="P129" s="52" t="s">
        <v>411</v>
      </c>
      <c r="Q129" s="53" t="s">
        <v>367</v>
      </c>
    </row>
    <row r="130" spans="1:17" ht="34" x14ac:dyDescent="0.2">
      <c r="A130" s="20" t="s">
        <v>408</v>
      </c>
      <c r="B130" s="9" t="str">
        <f t="shared" si="8"/>
        <v>Rate of entry due to aging into HIV compartment  PLHIV not on ART, CD4&gt;200 and gender compartment Male, per year</v>
      </c>
      <c r="C130" s="8" t="s">
        <v>405</v>
      </c>
      <c r="D130" s="8" t="s">
        <v>142</v>
      </c>
      <c r="E130" s="8">
        <v>1</v>
      </c>
      <c r="F130" s="9">
        <v>1</v>
      </c>
      <c r="G130" s="9">
        <v>2</v>
      </c>
      <c r="H130" s="9">
        <v>1</v>
      </c>
      <c r="J130" s="9" t="str">
        <f t="shared" ref="J130:J159" si="9">CONCATENATE(C130, "_", E130, IF(E130&lt;&gt;"",",",""), F130, IF(F130&lt;&gt;"",",",""),  G130, IF(G130&lt;&gt;"",",",""),  H130, IF(I130&lt;&gt;"","(",""), I130, IF(I130&lt;&gt;"",")",""))</f>
        <v>alpha^in_1,1,2,1</v>
      </c>
      <c r="K130" s="9" t="s">
        <v>547</v>
      </c>
      <c r="L130" s="50">
        <f>VLOOKUP(J130,aging_in!$G$5:$H$37,2)</f>
        <v>3.6524759049484982E-2</v>
      </c>
      <c r="O130" s="51"/>
      <c r="P130" s="52" t="s">
        <v>411</v>
      </c>
      <c r="Q130" s="53" t="s">
        <v>367</v>
      </c>
    </row>
    <row r="131" spans="1:17" ht="34" x14ac:dyDescent="0.2">
      <c r="A131" s="20" t="s">
        <v>409</v>
      </c>
      <c r="B131" s="9" t="str">
        <f t="shared" si="8"/>
        <v>Rate of entry due to aging into HIV compartment  PLHIV not on ART, CD4&gt;200 and gender compartment Female, per year</v>
      </c>
      <c r="C131" s="8" t="s">
        <v>405</v>
      </c>
      <c r="D131" s="8" t="s">
        <v>142</v>
      </c>
      <c r="E131" s="8">
        <v>1</v>
      </c>
      <c r="F131" s="9">
        <v>1</v>
      </c>
      <c r="G131" s="9">
        <v>2</v>
      </c>
      <c r="H131" s="9">
        <v>2</v>
      </c>
      <c r="J131" s="9" t="str">
        <f t="shared" si="9"/>
        <v>alpha^in_1,1,2,2</v>
      </c>
      <c r="K131" s="9" t="s">
        <v>548</v>
      </c>
      <c r="L131" s="50">
        <f>VLOOKUP(J131,aging_in!$G$5:$H$37,2)</f>
        <v>3.6524759049484982E-2</v>
      </c>
      <c r="O131" s="51"/>
      <c r="P131" s="52" t="s">
        <v>411</v>
      </c>
      <c r="Q131" s="53" t="s">
        <v>367</v>
      </c>
    </row>
    <row r="132" spans="1:17" ht="34" x14ac:dyDescent="0.2">
      <c r="A132" s="20" t="s">
        <v>406</v>
      </c>
      <c r="B132" s="9" t="str">
        <f t="shared" si="8"/>
        <v>Rate of entry due to aging into HIV compartment  HIV-negative and gender compartment Male, per year</v>
      </c>
      <c r="C132" s="8" t="s">
        <v>405</v>
      </c>
      <c r="D132" s="8" t="s">
        <v>142</v>
      </c>
      <c r="E132" s="8">
        <v>3</v>
      </c>
      <c r="F132" s="9">
        <v>1</v>
      </c>
      <c r="G132" s="9">
        <v>1</v>
      </c>
      <c r="H132" s="9">
        <v>1</v>
      </c>
      <c r="J132" s="9" t="str">
        <f t="shared" si="9"/>
        <v>alpha^in_3,1,1,1</v>
      </c>
      <c r="K132" s="9" t="s">
        <v>549</v>
      </c>
      <c r="L132" s="50">
        <f>VLOOKUP(J132,aging_in!$G$5:$H$37,2)</f>
        <v>0.15080665705128402</v>
      </c>
      <c r="O132" s="51"/>
      <c r="P132" s="52" t="s">
        <v>411</v>
      </c>
      <c r="Q132" s="53" t="s">
        <v>367</v>
      </c>
    </row>
    <row r="133" spans="1:17" ht="34" x14ac:dyDescent="0.2">
      <c r="A133" s="20" t="s">
        <v>407</v>
      </c>
      <c r="B133" s="9" t="str">
        <f t="shared" si="8"/>
        <v>Rate of entry due to aging into HIV compartment  HIV-negative and gender compartment Female, per year</v>
      </c>
      <c r="C133" s="8" t="s">
        <v>405</v>
      </c>
      <c r="D133" s="8" t="s">
        <v>142</v>
      </c>
      <c r="E133" s="8">
        <v>3</v>
      </c>
      <c r="F133" s="9">
        <v>1</v>
      </c>
      <c r="G133" s="9">
        <v>1</v>
      </c>
      <c r="H133" s="9">
        <v>2</v>
      </c>
      <c r="J133" s="9" t="str">
        <f t="shared" si="9"/>
        <v>alpha^in_3,1,1,2</v>
      </c>
      <c r="K133" s="9" t="s">
        <v>550</v>
      </c>
      <c r="L133" s="50">
        <f>VLOOKUP(J133,aging_in!$G$5:$H$37,2)</f>
        <v>0.15080665705128402</v>
      </c>
      <c r="O133" s="51"/>
      <c r="P133" s="52" t="s">
        <v>411</v>
      </c>
      <c r="Q133" s="53" t="s">
        <v>367</v>
      </c>
    </row>
    <row r="134" spans="1:17" ht="34" x14ac:dyDescent="0.2">
      <c r="A134" s="20" t="s">
        <v>408</v>
      </c>
      <c r="B134" s="9" t="str">
        <f t="shared" si="8"/>
        <v>Rate of entry due to aging into HIV compartment  PLHIV not on ART, CD4&gt;200 and gender compartment Male, per year</v>
      </c>
      <c r="C134" s="8" t="s">
        <v>405</v>
      </c>
      <c r="D134" s="8" t="s">
        <v>142</v>
      </c>
      <c r="E134" s="8">
        <v>3</v>
      </c>
      <c r="F134" s="9">
        <v>1</v>
      </c>
      <c r="G134" s="9">
        <v>2</v>
      </c>
      <c r="H134" s="9">
        <v>1</v>
      </c>
      <c r="J134" s="9" t="str">
        <f t="shared" si="9"/>
        <v>alpha^in_3,1,2,1</v>
      </c>
      <c r="K134" s="9" t="s">
        <v>551</v>
      </c>
      <c r="L134" s="50">
        <f>VLOOKUP(J134,aging_in!$G$5:$H$37,2)</f>
        <v>2.5202083744144636E-4</v>
      </c>
      <c r="O134" s="51"/>
      <c r="P134" s="52" t="s">
        <v>411</v>
      </c>
      <c r="Q134" s="53" t="s">
        <v>367</v>
      </c>
    </row>
    <row r="135" spans="1:17" ht="34" x14ac:dyDescent="0.2">
      <c r="A135" s="20" t="s">
        <v>409</v>
      </c>
      <c r="B135" s="9" t="str">
        <f t="shared" si="8"/>
        <v>Rate of entry due to aging into HIV compartment  PLHIV not on ART, CD4&gt;200 and gender compartment Female, per year</v>
      </c>
      <c r="C135" s="8" t="s">
        <v>405</v>
      </c>
      <c r="D135" s="8" t="s">
        <v>142</v>
      </c>
      <c r="E135" s="8">
        <v>3</v>
      </c>
      <c r="F135" s="9">
        <v>1</v>
      </c>
      <c r="G135" s="9">
        <v>2</v>
      </c>
      <c r="H135" s="9">
        <v>2</v>
      </c>
      <c r="J135" s="9" t="str">
        <f t="shared" si="9"/>
        <v>alpha^in_3,1,2,2</v>
      </c>
      <c r="K135" s="9" t="s">
        <v>552</v>
      </c>
      <c r="L135" s="50">
        <f>VLOOKUP(J135,aging_in!$G$5:$H$37,2)</f>
        <v>2.5202083744144636E-4</v>
      </c>
      <c r="O135" s="51"/>
      <c r="P135" s="52" t="s">
        <v>411</v>
      </c>
      <c r="Q135" s="53" t="s">
        <v>367</v>
      </c>
    </row>
    <row r="136" spans="1:17" ht="34" x14ac:dyDescent="0.2">
      <c r="A136" s="20" t="s">
        <v>406</v>
      </c>
      <c r="B136" s="9" t="str">
        <f t="shared" si="8"/>
        <v>Rate of entry due to aging into HIV compartment  HIV-negative and gender compartment Male, per year</v>
      </c>
      <c r="C136" s="8" t="s">
        <v>405</v>
      </c>
      <c r="D136" s="8" t="s">
        <v>142</v>
      </c>
      <c r="E136" s="8">
        <v>4</v>
      </c>
      <c r="F136" s="9">
        <v>1</v>
      </c>
      <c r="G136" s="9">
        <v>1</v>
      </c>
      <c r="H136" s="9">
        <v>1</v>
      </c>
      <c r="J136" s="9" t="str">
        <f t="shared" si="9"/>
        <v>alpha^in_4,1,1,1</v>
      </c>
      <c r="K136" s="9" t="s">
        <v>553</v>
      </c>
      <c r="L136" s="50">
        <f>VLOOKUP(J136,aging_in!$G$5:$H$37,2)</f>
        <v>0.15080665705128402</v>
      </c>
      <c r="O136" s="51"/>
      <c r="P136" s="52" t="s">
        <v>411</v>
      </c>
      <c r="Q136" s="53" t="s">
        <v>367</v>
      </c>
    </row>
    <row r="137" spans="1:17" ht="34" x14ac:dyDescent="0.2">
      <c r="A137" s="20" t="s">
        <v>407</v>
      </c>
      <c r="B137" s="9" t="str">
        <f t="shared" si="8"/>
        <v>Rate of entry due to aging into HIV compartment  HIV-negative and gender compartment Female, per year</v>
      </c>
      <c r="C137" s="8" t="s">
        <v>405</v>
      </c>
      <c r="D137" s="8" t="s">
        <v>142</v>
      </c>
      <c r="E137" s="8">
        <v>4</v>
      </c>
      <c r="F137" s="9">
        <v>1</v>
      </c>
      <c r="G137" s="9">
        <v>1</v>
      </c>
      <c r="H137" s="9">
        <v>2</v>
      </c>
      <c r="J137" s="9" t="str">
        <f t="shared" si="9"/>
        <v>alpha^in_4,1,1,2</v>
      </c>
      <c r="K137" s="9" t="s">
        <v>554</v>
      </c>
      <c r="L137" s="50">
        <f>VLOOKUP(J137,aging_in!$G$5:$H$37,2)</f>
        <v>0.15080665705128402</v>
      </c>
      <c r="O137" s="51"/>
      <c r="P137" s="52" t="s">
        <v>411</v>
      </c>
      <c r="Q137" s="53" t="s">
        <v>367</v>
      </c>
    </row>
    <row r="138" spans="1:17" ht="34" x14ac:dyDescent="0.2">
      <c r="A138" s="20" t="s">
        <v>408</v>
      </c>
      <c r="B138" s="9" t="str">
        <f t="shared" si="8"/>
        <v>Rate of entry due to aging into HIV compartment  PLHIV not on ART, CD4&gt;200 and gender compartment Male, per year</v>
      </c>
      <c r="C138" s="8" t="s">
        <v>405</v>
      </c>
      <c r="D138" s="8" t="s">
        <v>142</v>
      </c>
      <c r="E138" s="8">
        <v>4</v>
      </c>
      <c r="F138" s="9">
        <v>1</v>
      </c>
      <c r="G138" s="9">
        <v>2</v>
      </c>
      <c r="H138" s="9">
        <v>1</v>
      </c>
      <c r="J138" s="9" t="str">
        <f t="shared" si="9"/>
        <v>alpha^in_4,1,2,1</v>
      </c>
      <c r="K138" s="9" t="s">
        <v>555</v>
      </c>
      <c r="L138" s="50">
        <f>VLOOKUP(J138,aging_in!$G$5:$H$37,2)</f>
        <v>2.5202083744144636E-4</v>
      </c>
      <c r="O138" s="51"/>
      <c r="P138" s="52" t="s">
        <v>411</v>
      </c>
      <c r="Q138" s="53" t="s">
        <v>367</v>
      </c>
    </row>
    <row r="139" spans="1:17" ht="34" x14ac:dyDescent="0.2">
      <c r="A139" s="20" t="s">
        <v>409</v>
      </c>
      <c r="B139" s="9" t="str">
        <f t="shared" si="8"/>
        <v>Rate of entry due to aging into HIV compartment  PLHIV not on ART, CD4&gt;200 and gender compartment Female, per year</v>
      </c>
      <c r="C139" s="8" t="s">
        <v>405</v>
      </c>
      <c r="D139" s="8" t="s">
        <v>142</v>
      </c>
      <c r="E139" s="8">
        <v>4</v>
      </c>
      <c r="F139" s="9">
        <v>1</v>
      </c>
      <c r="G139" s="9">
        <v>2</v>
      </c>
      <c r="H139" s="9">
        <v>2</v>
      </c>
      <c r="J139" s="9" t="str">
        <f t="shared" si="9"/>
        <v>alpha^in_4,1,2,2</v>
      </c>
      <c r="K139" s="9" t="s">
        <v>556</v>
      </c>
      <c r="L139" s="50">
        <f>VLOOKUP(J139,aging_in!$G$5:$H$37,2)</f>
        <v>2.5202083744144636E-4</v>
      </c>
      <c r="O139" s="51"/>
      <c r="P139" s="52" t="s">
        <v>411</v>
      </c>
      <c r="Q139" s="53" t="s">
        <v>367</v>
      </c>
    </row>
    <row r="140" spans="1:17" ht="34" x14ac:dyDescent="0.2">
      <c r="A140" s="20" t="s">
        <v>406</v>
      </c>
      <c r="B140" s="9" t="str">
        <f t="shared" si="8"/>
        <v>Rate of entry due to aging into HIV compartment  HIV-negative and gender compartment Male, per year</v>
      </c>
      <c r="C140" s="8" t="s">
        <v>405</v>
      </c>
      <c r="D140" s="8" t="s">
        <v>142</v>
      </c>
      <c r="E140" s="8">
        <v>6</v>
      </c>
      <c r="F140" s="9">
        <v>1</v>
      </c>
      <c r="G140" s="9">
        <v>1</v>
      </c>
      <c r="H140" s="9">
        <v>1</v>
      </c>
      <c r="J140" s="9" t="str">
        <f t="shared" si="9"/>
        <v>alpha^in_6,1,1,1</v>
      </c>
      <c r="K140" s="9" t="s">
        <v>639</v>
      </c>
      <c r="L140" s="50">
        <f>VLOOKUP(J140,aging_in!$G$5:$H$37,2)</f>
        <v>3.0776868785976331E-3</v>
      </c>
      <c r="O140" s="51"/>
      <c r="P140" s="52" t="s">
        <v>411</v>
      </c>
      <c r="Q140" s="53" t="s">
        <v>367</v>
      </c>
    </row>
    <row r="141" spans="1:17" ht="34" x14ac:dyDescent="0.2">
      <c r="A141" s="20" t="s">
        <v>407</v>
      </c>
      <c r="B141" s="9" t="str">
        <f t="shared" si="8"/>
        <v>Rate of entry due to aging into HIV compartment  HIV-negative and gender compartment Female, per year</v>
      </c>
      <c r="C141" s="8" t="s">
        <v>405</v>
      </c>
      <c r="D141" s="8" t="s">
        <v>142</v>
      </c>
      <c r="E141" s="8">
        <v>6</v>
      </c>
      <c r="F141" s="9">
        <v>1</v>
      </c>
      <c r="G141" s="9">
        <v>1</v>
      </c>
      <c r="H141" s="9">
        <v>2</v>
      </c>
      <c r="J141" s="9" t="str">
        <f t="shared" si="9"/>
        <v>alpha^in_6,1,1,2</v>
      </c>
      <c r="K141" s="9" t="s">
        <v>640</v>
      </c>
      <c r="L141" s="50">
        <f>VLOOKUP(J141,aging_in!$G$5:$H$37,2)</f>
        <v>3.0776868785976331E-3</v>
      </c>
      <c r="O141" s="51"/>
      <c r="P141" s="52" t="s">
        <v>411</v>
      </c>
      <c r="Q141" s="53" t="s">
        <v>367</v>
      </c>
    </row>
    <row r="142" spans="1:17" ht="34" x14ac:dyDescent="0.2">
      <c r="A142" s="20" t="s">
        <v>408</v>
      </c>
      <c r="B142" s="9" t="str">
        <f t="shared" si="8"/>
        <v>Rate of entry due to aging into HIV compartment  PLHIV not on ART, CD4&gt;200 and gender compartment Male, per year</v>
      </c>
      <c r="C142" s="8" t="s">
        <v>405</v>
      </c>
      <c r="D142" s="8" t="s">
        <v>142</v>
      </c>
      <c r="E142" s="8">
        <v>6</v>
      </c>
      <c r="F142" s="9">
        <v>1</v>
      </c>
      <c r="G142" s="9">
        <v>2</v>
      </c>
      <c r="H142" s="9">
        <v>1</v>
      </c>
      <c r="J142" s="9" t="str">
        <f t="shared" si="9"/>
        <v>alpha^in_6,1,2,1</v>
      </c>
      <c r="K142" s="9" t="s">
        <v>641</v>
      </c>
      <c r="L142" s="50">
        <f>VLOOKUP(J142,aging_in!$G$5:$H$37,2)</f>
        <v>3.0242500492973565E-4</v>
      </c>
      <c r="O142" s="51"/>
      <c r="P142" s="52" t="s">
        <v>411</v>
      </c>
      <c r="Q142" s="53" t="s">
        <v>367</v>
      </c>
    </row>
    <row r="143" spans="1:17" ht="34" x14ac:dyDescent="0.2">
      <c r="A143" s="20" t="s">
        <v>409</v>
      </c>
      <c r="B143" s="9" t="str">
        <f t="shared" si="8"/>
        <v>Rate of entry due to aging into HIV compartment  PLHIV not on ART, CD4&gt;200 and gender compartment Female, per year</v>
      </c>
      <c r="C143" s="8" t="s">
        <v>405</v>
      </c>
      <c r="D143" s="8" t="s">
        <v>142</v>
      </c>
      <c r="E143" s="8">
        <v>6</v>
      </c>
      <c r="F143" s="9">
        <v>1</v>
      </c>
      <c r="G143" s="9">
        <v>2</v>
      </c>
      <c r="H143" s="9">
        <v>2</v>
      </c>
      <c r="J143" s="9" t="str">
        <f t="shared" si="9"/>
        <v>alpha^in_6,1,2,2</v>
      </c>
      <c r="K143" s="9" t="s">
        <v>642</v>
      </c>
      <c r="L143" s="50">
        <f>VLOOKUP(J143,aging_in!$G$5:$H$37,2)</f>
        <v>4.0323333990631427E-4</v>
      </c>
      <c r="O143" s="51"/>
      <c r="P143" s="52" t="s">
        <v>411</v>
      </c>
      <c r="Q143" s="53" t="s">
        <v>367</v>
      </c>
    </row>
    <row r="144" spans="1:17" ht="34" x14ac:dyDescent="0.2">
      <c r="A144" s="20" t="s">
        <v>406</v>
      </c>
      <c r="B144" s="9" t="str">
        <f t="shared" si="8"/>
        <v>Rate of entry due to aging into HIV compartment  HIV-negative and gender compartment Male, per year</v>
      </c>
      <c r="C144" s="8" t="s">
        <v>405</v>
      </c>
      <c r="D144" s="8" t="s">
        <v>142</v>
      </c>
      <c r="E144" s="8">
        <v>1</v>
      </c>
      <c r="F144" s="9">
        <v>2</v>
      </c>
      <c r="G144" s="9">
        <v>1</v>
      </c>
      <c r="H144" s="9">
        <v>1</v>
      </c>
      <c r="J144" s="9" t="str">
        <f t="shared" si="9"/>
        <v>alpha^in_1,2,1,1</v>
      </c>
      <c r="K144" s="9" t="s">
        <v>557</v>
      </c>
      <c r="L144" s="50">
        <f>VLOOKUP(J144,aging_in!$G$5:$H$37,2)</f>
        <v>0</v>
      </c>
      <c r="O144" s="51"/>
      <c r="P144" s="52" t="s">
        <v>411</v>
      </c>
      <c r="Q144" s="53" t="s">
        <v>367</v>
      </c>
    </row>
    <row r="145" spans="1:17" ht="34" x14ac:dyDescent="0.2">
      <c r="A145" s="20" t="s">
        <v>407</v>
      </c>
      <c r="B145" s="9" t="str">
        <f t="shared" si="8"/>
        <v>Rate of entry due to aging into HIV compartment  HIV-negative and gender compartment Female, per year</v>
      </c>
      <c r="C145" s="8" t="s">
        <v>405</v>
      </c>
      <c r="D145" s="8" t="s">
        <v>142</v>
      </c>
      <c r="E145" s="8">
        <v>1</v>
      </c>
      <c r="F145" s="9">
        <v>2</v>
      </c>
      <c r="G145" s="9">
        <v>1</v>
      </c>
      <c r="H145" s="9">
        <v>2</v>
      </c>
      <c r="J145" s="9" t="str">
        <f t="shared" si="9"/>
        <v>alpha^in_1,2,1,2</v>
      </c>
      <c r="K145" s="9" t="s">
        <v>558</v>
      </c>
      <c r="L145" s="50">
        <f>VLOOKUP(J145,aging_in!$G$5:$H$37,2)</f>
        <v>0</v>
      </c>
      <c r="O145" s="51"/>
      <c r="P145" s="52" t="s">
        <v>411</v>
      </c>
      <c r="Q145" s="53" t="s">
        <v>367</v>
      </c>
    </row>
    <row r="146" spans="1:17" ht="34" x14ac:dyDescent="0.2">
      <c r="A146" s="20" t="s">
        <v>408</v>
      </c>
      <c r="B146" s="9" t="str">
        <f t="shared" si="8"/>
        <v>Rate of entry due to aging into HIV compartment  PLHIV not on ART, CD4&gt;200 and gender compartment Male, per year</v>
      </c>
      <c r="C146" s="8" t="s">
        <v>405</v>
      </c>
      <c r="D146" s="8" t="s">
        <v>142</v>
      </c>
      <c r="E146" s="8">
        <v>1</v>
      </c>
      <c r="F146" s="9">
        <v>2</v>
      </c>
      <c r="G146" s="9">
        <v>2</v>
      </c>
      <c r="H146" s="9">
        <v>1</v>
      </c>
      <c r="J146" s="9" t="str">
        <f t="shared" si="9"/>
        <v>alpha^in_1,2,2,1</v>
      </c>
      <c r="K146" s="9" t="s">
        <v>559</v>
      </c>
      <c r="L146" s="50">
        <f>VLOOKUP(J146,aging_in!$G$5:$H$37,2)</f>
        <v>0</v>
      </c>
      <c r="O146" s="51"/>
      <c r="P146" s="52" t="s">
        <v>411</v>
      </c>
      <c r="Q146" s="53" t="s">
        <v>367</v>
      </c>
    </row>
    <row r="147" spans="1:17" ht="34" x14ac:dyDescent="0.2">
      <c r="A147" s="20" t="s">
        <v>409</v>
      </c>
      <c r="B147" s="9" t="str">
        <f t="shared" si="8"/>
        <v>Rate of entry due to aging into HIV compartment  PLHIV not on ART, CD4&gt;200 and gender compartment Female, per year</v>
      </c>
      <c r="C147" s="8" t="s">
        <v>405</v>
      </c>
      <c r="D147" s="8" t="s">
        <v>142</v>
      </c>
      <c r="E147" s="8">
        <v>1</v>
      </c>
      <c r="F147" s="9">
        <v>2</v>
      </c>
      <c r="G147" s="9">
        <v>2</v>
      </c>
      <c r="H147" s="9">
        <v>2</v>
      </c>
      <c r="J147" s="9" t="str">
        <f t="shared" si="9"/>
        <v>alpha^in_1,2,2,2</v>
      </c>
      <c r="K147" s="9" t="s">
        <v>560</v>
      </c>
      <c r="L147" s="50">
        <f>VLOOKUP(J147,aging_in!$G$5:$H$37,2)</f>
        <v>0</v>
      </c>
      <c r="O147" s="51"/>
      <c r="P147" s="52" t="s">
        <v>411</v>
      </c>
      <c r="Q147" s="53" t="s">
        <v>367</v>
      </c>
    </row>
    <row r="148" spans="1:17" ht="34" x14ac:dyDescent="0.2">
      <c r="A148" s="20" t="s">
        <v>406</v>
      </c>
      <c r="B148" s="9" t="str">
        <f t="shared" si="8"/>
        <v>Rate of entry due to aging into HIV compartment  HIV-negative and gender compartment Male, per year</v>
      </c>
      <c r="C148" s="8" t="s">
        <v>405</v>
      </c>
      <c r="D148" s="8" t="s">
        <v>142</v>
      </c>
      <c r="E148" s="8">
        <v>3</v>
      </c>
      <c r="F148" s="9">
        <v>2</v>
      </c>
      <c r="G148" s="9">
        <v>1</v>
      </c>
      <c r="H148" s="9">
        <v>1</v>
      </c>
      <c r="J148" s="9" t="str">
        <f t="shared" si="9"/>
        <v>alpha^in_3,2,1,1</v>
      </c>
      <c r="K148" s="9" t="s">
        <v>561</v>
      </c>
      <c r="L148" s="50">
        <f>VLOOKUP(J148,aging_in!$G$5:$H$37,2)</f>
        <v>1.0477957241504983E-3</v>
      </c>
      <c r="O148" s="51"/>
      <c r="P148" s="52" t="s">
        <v>411</v>
      </c>
      <c r="Q148" s="53" t="s">
        <v>367</v>
      </c>
    </row>
    <row r="149" spans="1:17" ht="34" x14ac:dyDescent="0.2">
      <c r="A149" s="20" t="s">
        <v>407</v>
      </c>
      <c r="B149" s="9" t="str">
        <f t="shared" si="8"/>
        <v>Rate of entry due to aging into HIV compartment  HIV-negative and gender compartment Female, per year</v>
      </c>
      <c r="C149" s="8" t="s">
        <v>405</v>
      </c>
      <c r="D149" s="8" t="s">
        <v>142</v>
      </c>
      <c r="E149" s="8">
        <v>3</v>
      </c>
      <c r="F149" s="9">
        <v>2</v>
      </c>
      <c r="G149" s="9">
        <v>1</v>
      </c>
      <c r="H149" s="9">
        <v>2</v>
      </c>
      <c r="J149" s="9" t="str">
        <f t="shared" si="9"/>
        <v>alpha^in_3,2,1,2</v>
      </c>
      <c r="K149" s="9" t="s">
        <v>562</v>
      </c>
      <c r="L149" s="50">
        <f>VLOOKUP(J149,aging_in!$G$5:$H$37,2)</f>
        <v>1.0477957241504983E-3</v>
      </c>
      <c r="O149" s="51"/>
      <c r="P149" s="52" t="s">
        <v>411</v>
      </c>
      <c r="Q149" s="53" t="s">
        <v>367</v>
      </c>
    </row>
    <row r="150" spans="1:17" ht="34" x14ac:dyDescent="0.2">
      <c r="A150" s="20" t="s">
        <v>408</v>
      </c>
      <c r="B150" s="9" t="str">
        <f t="shared" si="8"/>
        <v>Rate of entry due to aging into HIV compartment  PLHIV not on ART, CD4&gt;200 and gender compartment Male, per year</v>
      </c>
      <c r="C150" s="8" t="s">
        <v>405</v>
      </c>
      <c r="D150" s="8" t="s">
        <v>142</v>
      </c>
      <c r="E150" s="8">
        <v>3</v>
      </c>
      <c r="F150" s="9">
        <v>2</v>
      </c>
      <c r="G150" s="9">
        <v>2</v>
      </c>
      <c r="H150" s="9">
        <v>1</v>
      </c>
      <c r="J150" s="9" t="str">
        <f t="shared" si="9"/>
        <v>alpha^in_3,2,2,1</v>
      </c>
      <c r="K150" s="9" t="s">
        <v>563</v>
      </c>
      <c r="L150" s="50">
        <f>VLOOKUP(J150,aging_in!$G$5:$H$37,2)</f>
        <v>2.5202083744144636E-4</v>
      </c>
      <c r="O150" s="51"/>
      <c r="P150" s="52" t="s">
        <v>411</v>
      </c>
      <c r="Q150" s="53" t="s">
        <v>367</v>
      </c>
    </row>
    <row r="151" spans="1:17" ht="34" x14ac:dyDescent="0.2">
      <c r="A151" s="20" t="s">
        <v>409</v>
      </c>
      <c r="B151" s="9" t="str">
        <f t="shared" si="8"/>
        <v>Rate of entry due to aging into HIV compartment  PLHIV not on ART, CD4&gt;200 and gender compartment Female, per year</v>
      </c>
      <c r="C151" s="8" t="s">
        <v>405</v>
      </c>
      <c r="D151" s="8" t="s">
        <v>142</v>
      </c>
      <c r="E151" s="8">
        <v>3</v>
      </c>
      <c r="F151" s="9">
        <v>2</v>
      </c>
      <c r="G151" s="9">
        <v>2</v>
      </c>
      <c r="H151" s="9">
        <v>2</v>
      </c>
      <c r="J151" s="9" t="str">
        <f t="shared" si="9"/>
        <v>alpha^in_3,2,2,2</v>
      </c>
      <c r="K151" s="9" t="s">
        <v>564</v>
      </c>
      <c r="L151" s="50">
        <f>VLOOKUP(J151,aging_in!$G$5:$H$37,2)</f>
        <v>2.5202083744144636E-4</v>
      </c>
      <c r="O151" s="51"/>
      <c r="P151" s="52" t="s">
        <v>411</v>
      </c>
      <c r="Q151" s="53" t="s">
        <v>367</v>
      </c>
    </row>
    <row r="152" spans="1:17" ht="34" x14ac:dyDescent="0.2">
      <c r="A152" s="20" t="s">
        <v>406</v>
      </c>
      <c r="B152" s="9" t="str">
        <f t="shared" si="8"/>
        <v>Rate of entry due to aging into HIV compartment  HIV-negative and gender compartment Male, per year</v>
      </c>
      <c r="C152" s="8" t="s">
        <v>405</v>
      </c>
      <c r="D152" s="8" t="s">
        <v>142</v>
      </c>
      <c r="E152" s="8">
        <v>4</v>
      </c>
      <c r="F152" s="9">
        <v>2</v>
      </c>
      <c r="G152" s="9">
        <v>1</v>
      </c>
      <c r="H152" s="9">
        <v>1</v>
      </c>
      <c r="J152" s="9" t="str">
        <f t="shared" si="9"/>
        <v>alpha^in_4,2,1,1</v>
      </c>
      <c r="K152" s="9" t="s">
        <v>565</v>
      </c>
      <c r="L152" s="50">
        <f>VLOOKUP(J152,aging_in!$G$5:$H$37,2)</f>
        <v>1.0477957241504983E-3</v>
      </c>
      <c r="O152" s="51"/>
      <c r="P152" s="52" t="s">
        <v>411</v>
      </c>
      <c r="Q152" s="53" t="s">
        <v>367</v>
      </c>
    </row>
    <row r="153" spans="1:17" ht="34" x14ac:dyDescent="0.2">
      <c r="A153" s="20" t="s">
        <v>407</v>
      </c>
      <c r="B153" s="9" t="str">
        <f t="shared" si="8"/>
        <v>Rate of entry due to aging into HIV compartment  HIV-negative and gender compartment Female, per year</v>
      </c>
      <c r="C153" s="8" t="s">
        <v>405</v>
      </c>
      <c r="D153" s="8" t="s">
        <v>142</v>
      </c>
      <c r="E153" s="8">
        <v>4</v>
      </c>
      <c r="F153" s="9">
        <v>2</v>
      </c>
      <c r="G153" s="9">
        <v>1</v>
      </c>
      <c r="H153" s="9">
        <v>2</v>
      </c>
      <c r="J153" s="9" t="str">
        <f t="shared" si="9"/>
        <v>alpha^in_4,2,1,2</v>
      </c>
      <c r="K153" s="9" t="s">
        <v>566</v>
      </c>
      <c r="L153" s="50">
        <f>VLOOKUP(J153,aging_in!$G$5:$H$37,2)</f>
        <v>1.0477957241504983E-3</v>
      </c>
      <c r="O153" s="51"/>
      <c r="P153" s="52" t="s">
        <v>411</v>
      </c>
      <c r="Q153" s="53" t="s">
        <v>367</v>
      </c>
    </row>
    <row r="154" spans="1:17" ht="34" x14ac:dyDescent="0.2">
      <c r="A154" s="20" t="s">
        <v>408</v>
      </c>
      <c r="B154" s="9" t="str">
        <f t="shared" si="8"/>
        <v>Rate of entry due to aging into HIV compartment  PLHIV not on ART, CD4&gt;200 and gender compartment Male, per year</v>
      </c>
      <c r="C154" s="8" t="s">
        <v>405</v>
      </c>
      <c r="D154" s="8" t="s">
        <v>142</v>
      </c>
      <c r="E154" s="8">
        <v>4</v>
      </c>
      <c r="F154" s="9">
        <v>2</v>
      </c>
      <c r="G154" s="9">
        <v>2</v>
      </c>
      <c r="H154" s="9">
        <v>1</v>
      </c>
      <c r="J154" s="9" t="str">
        <f t="shared" si="9"/>
        <v>alpha^in_4,2,2,1</v>
      </c>
      <c r="K154" s="9" t="s">
        <v>567</v>
      </c>
      <c r="L154" s="50">
        <f>VLOOKUP(J154,aging_in!$G$5:$H$37,2)</f>
        <v>2.5202083744144636E-4</v>
      </c>
      <c r="O154" s="51"/>
      <c r="P154" s="52" t="s">
        <v>411</v>
      </c>
      <c r="Q154" s="53" t="s">
        <v>367</v>
      </c>
    </row>
    <row r="155" spans="1:17" ht="34" x14ac:dyDescent="0.2">
      <c r="A155" s="20" t="s">
        <v>409</v>
      </c>
      <c r="B155" s="9" t="str">
        <f t="shared" si="8"/>
        <v>Rate of entry due to aging into HIV compartment  PLHIV not on ART, CD4&gt;200 and gender compartment Female, per year</v>
      </c>
      <c r="C155" s="8" t="s">
        <v>405</v>
      </c>
      <c r="D155" s="8" t="s">
        <v>142</v>
      </c>
      <c r="E155" s="8">
        <v>4</v>
      </c>
      <c r="F155" s="9">
        <v>2</v>
      </c>
      <c r="G155" s="9">
        <v>2</v>
      </c>
      <c r="H155" s="9">
        <v>2</v>
      </c>
      <c r="J155" s="9" t="str">
        <f t="shared" si="9"/>
        <v>alpha^in_4,2,2,2</v>
      </c>
      <c r="K155" s="9" t="s">
        <v>568</v>
      </c>
      <c r="L155" s="50">
        <f>VLOOKUP(J155,aging_in!$G$5:$H$37,2)</f>
        <v>2.5202083744144636E-4</v>
      </c>
      <c r="O155" s="51"/>
      <c r="P155" s="52" t="s">
        <v>411</v>
      </c>
      <c r="Q155" s="53" t="s">
        <v>367</v>
      </c>
    </row>
    <row r="156" spans="1:17" ht="34" x14ac:dyDescent="0.2">
      <c r="A156" s="20" t="s">
        <v>406</v>
      </c>
      <c r="B156" s="9" t="str">
        <f t="shared" si="8"/>
        <v>Rate of entry due to aging into HIV compartment  HIV-negative and gender compartment Male, per year</v>
      </c>
      <c r="C156" s="8" t="s">
        <v>405</v>
      </c>
      <c r="D156" s="8" t="s">
        <v>142</v>
      </c>
      <c r="E156" s="8">
        <v>6</v>
      </c>
      <c r="F156" s="9">
        <v>2</v>
      </c>
      <c r="G156" s="9">
        <v>1</v>
      </c>
      <c r="H156" s="9">
        <v>1</v>
      </c>
      <c r="J156" s="9" t="str">
        <f t="shared" si="9"/>
        <v>alpha^in_6,2,1,1</v>
      </c>
      <c r="K156" s="9" t="s">
        <v>643</v>
      </c>
      <c r="L156" s="50">
        <f>VLOOKUP(J156,aging_in!$G$5:$H$37,2)</f>
        <v>2.1383586207153025E-5</v>
      </c>
      <c r="O156" s="51"/>
      <c r="P156" s="52" t="s">
        <v>411</v>
      </c>
      <c r="Q156" s="53" t="s">
        <v>367</v>
      </c>
    </row>
    <row r="157" spans="1:17" ht="34" x14ac:dyDescent="0.2">
      <c r="A157" s="20" t="s">
        <v>407</v>
      </c>
      <c r="B157" s="9" t="str">
        <f t="shared" si="8"/>
        <v>Rate of entry due to aging into HIV compartment  HIV-negative and gender compartment Female, per year</v>
      </c>
      <c r="C157" s="8" t="s">
        <v>405</v>
      </c>
      <c r="D157" s="8" t="s">
        <v>142</v>
      </c>
      <c r="E157" s="8">
        <v>6</v>
      </c>
      <c r="F157" s="9">
        <v>2</v>
      </c>
      <c r="G157" s="9">
        <v>1</v>
      </c>
      <c r="H157" s="9">
        <v>2</v>
      </c>
      <c r="J157" s="9" t="str">
        <f t="shared" si="9"/>
        <v>alpha^in_6,2,1,2</v>
      </c>
      <c r="K157" s="9" t="s">
        <v>644</v>
      </c>
      <c r="L157" s="50">
        <f>VLOOKUP(J157,aging_in!$G$5:$H$37,2)</f>
        <v>2.1383586207153025E-5</v>
      </c>
      <c r="O157" s="51"/>
      <c r="P157" s="52" t="s">
        <v>411</v>
      </c>
      <c r="Q157" s="53" t="s">
        <v>367</v>
      </c>
    </row>
    <row r="158" spans="1:17" ht="34" x14ac:dyDescent="0.2">
      <c r="A158" s="20" t="s">
        <v>408</v>
      </c>
      <c r="B158" s="9" t="str">
        <f t="shared" si="8"/>
        <v>Rate of entry due to aging into HIV compartment  PLHIV not on ART, CD4&gt;200 and gender compartment Male, per year</v>
      </c>
      <c r="C158" s="8" t="s">
        <v>405</v>
      </c>
      <c r="D158" s="8" t="s">
        <v>142</v>
      </c>
      <c r="E158" s="8">
        <v>6</v>
      </c>
      <c r="F158" s="9">
        <v>2</v>
      </c>
      <c r="G158" s="9">
        <v>2</v>
      </c>
      <c r="H158" s="9">
        <v>1</v>
      </c>
      <c r="J158" s="9" t="str">
        <f t="shared" si="9"/>
        <v>alpha^in_6,2,2,1</v>
      </c>
      <c r="K158" s="9" t="s">
        <v>645</v>
      </c>
      <c r="L158" s="50">
        <f>VLOOKUP(J158,aging_in!$G$5:$H$37,2)</f>
        <v>3.0242500492973565E-4</v>
      </c>
      <c r="O158" s="51"/>
      <c r="P158" s="52" t="s">
        <v>411</v>
      </c>
      <c r="Q158" s="53" t="s">
        <v>367</v>
      </c>
    </row>
    <row r="159" spans="1:17" ht="34" x14ac:dyDescent="0.2">
      <c r="A159" s="20" t="s">
        <v>409</v>
      </c>
      <c r="B159" s="9" t="str">
        <f t="shared" si="8"/>
        <v>Rate of entry due to aging into HIV compartment  PLHIV not on ART, CD4&gt;200 and gender compartment Female, per year</v>
      </c>
      <c r="C159" s="8" t="s">
        <v>405</v>
      </c>
      <c r="D159" s="8" t="s">
        <v>142</v>
      </c>
      <c r="E159" s="8">
        <v>6</v>
      </c>
      <c r="F159" s="9">
        <v>2</v>
      </c>
      <c r="G159" s="9">
        <v>2</v>
      </c>
      <c r="H159" s="9">
        <v>2</v>
      </c>
      <c r="J159" s="9" t="str">
        <f t="shared" si="9"/>
        <v>alpha^in_6,2,2,2</v>
      </c>
      <c r="K159" s="9" t="s">
        <v>646</v>
      </c>
      <c r="L159" s="50">
        <f>VLOOKUP(J159,aging_in!$G$5:$H$37,2)</f>
        <v>4.0323333990631427E-4</v>
      </c>
      <c r="O159" s="51"/>
      <c r="P159" s="52" t="s">
        <v>411</v>
      </c>
      <c r="Q159" s="53" t="s">
        <v>367</v>
      </c>
    </row>
    <row r="160" spans="1:17" ht="48" x14ac:dyDescent="0.2">
      <c r="A160" s="20" t="s">
        <v>140</v>
      </c>
      <c r="B160" s="9" t="str">
        <f t="shared" ref="B160:B191" si="10">CONCATENATE("Mortality rates from populations in TB compartment ",VLOOKUP(E160,TB_SET,2)," and HIV compartment ",VLOOKUP(G160,HIV_SET,2)," and gender compartment ",VLOOKUP(H160,G_SET,2)," per year")</f>
        <v>Mortality rates from populations in TB compartment  Uninfected, not on IPT and HIV compartment  HIV-negative and gender compartment Male per year</v>
      </c>
      <c r="C160" s="8" t="s">
        <v>141</v>
      </c>
      <c r="D160" s="8" t="s">
        <v>142</v>
      </c>
      <c r="E160" s="8">
        <v>1</v>
      </c>
      <c r="G160" s="9">
        <v>1</v>
      </c>
      <c r="H160" s="9">
        <v>1</v>
      </c>
      <c r="J160" s="9" t="str">
        <f t="shared" ref="J160:J193" si="11">CONCATENATE(C160, "_", E160, IF(E160&lt;&gt;"",",",""), F160, IF(F160&lt;&gt;"",",",""),  G160, IF(G160&lt;&gt;"",",",""),  H160, IF(I160&lt;&gt;"","(",""), I160, IF(I160&lt;&gt;"",")",""))</f>
        <v>mu_1,1,1</v>
      </c>
      <c r="K160" s="9" t="s">
        <v>569</v>
      </c>
      <c r="L160" s="11">
        <v>3.3E-3</v>
      </c>
      <c r="O160" s="51"/>
      <c r="P160" s="52" t="s">
        <v>280</v>
      </c>
      <c r="Q160" s="53" t="s">
        <v>367</v>
      </c>
    </row>
    <row r="161" spans="1:17" ht="48" x14ac:dyDescent="0.2">
      <c r="A161" s="20" t="s">
        <v>143</v>
      </c>
      <c r="B161" s="9" t="str">
        <f t="shared" si="10"/>
        <v>Mortality rates from populations in TB compartment  Uninfected, not on IPT and HIV compartment  HIV-negative and gender compartment Female per year</v>
      </c>
      <c r="C161" s="8" t="s">
        <v>141</v>
      </c>
      <c r="D161" s="8" t="s">
        <v>142</v>
      </c>
      <c r="E161" s="8">
        <v>1</v>
      </c>
      <c r="G161" s="9">
        <v>1</v>
      </c>
      <c r="H161" s="9">
        <v>2</v>
      </c>
      <c r="J161" s="9" t="str">
        <f t="shared" si="11"/>
        <v>mu_1,1,2</v>
      </c>
      <c r="K161" s="9" t="s">
        <v>570</v>
      </c>
      <c r="L161" s="11">
        <f>0.0019</f>
        <v>1.9E-3</v>
      </c>
      <c r="O161" s="51"/>
      <c r="P161" s="52" t="s">
        <v>281</v>
      </c>
      <c r="Q161" s="53" t="s">
        <v>367</v>
      </c>
    </row>
    <row r="162" spans="1:17" ht="51" x14ac:dyDescent="0.2">
      <c r="A162" s="20" t="s">
        <v>144</v>
      </c>
      <c r="B162" s="9" t="str">
        <f t="shared" si="10"/>
        <v>Mortality rates from populations in TB compartment  Uninfected, not on IPT and HIV compartment  PLHIV not on ART, CD4&gt;200 and gender compartment Male per year</v>
      </c>
      <c r="C162" s="8" t="s">
        <v>141</v>
      </c>
      <c r="D162" s="8" t="s">
        <v>142</v>
      </c>
      <c r="E162" s="8">
        <v>1</v>
      </c>
      <c r="G162" s="9">
        <v>2</v>
      </c>
      <c r="H162" s="9">
        <v>1</v>
      </c>
      <c r="J162" s="9" t="str">
        <f t="shared" si="11"/>
        <v>mu_1,2,1</v>
      </c>
      <c r="K162" s="9" t="s">
        <v>571</v>
      </c>
      <c r="L162" s="11">
        <f>L160*5</f>
        <v>1.6500000000000001E-2</v>
      </c>
      <c r="O162" s="51"/>
      <c r="P162" s="52" t="s">
        <v>274</v>
      </c>
      <c r="Q162" s="53" t="s">
        <v>367</v>
      </c>
    </row>
    <row r="163" spans="1:17" ht="51" x14ac:dyDescent="0.2">
      <c r="A163" s="20" t="s">
        <v>145</v>
      </c>
      <c r="B163" s="9" t="str">
        <f t="shared" si="10"/>
        <v>Mortality rates from populations in TB compartment  Uninfected, not on IPT and HIV compartment  PLHIV not on ART, CD4&gt;200 and gender compartment Female per year</v>
      </c>
      <c r="C163" s="8" t="s">
        <v>141</v>
      </c>
      <c r="D163" s="8" t="s">
        <v>142</v>
      </c>
      <c r="E163" s="8">
        <v>1</v>
      </c>
      <c r="G163" s="9">
        <v>2</v>
      </c>
      <c r="H163" s="9">
        <v>2</v>
      </c>
      <c r="J163" s="9" t="str">
        <f t="shared" si="11"/>
        <v>mu_1,2,2</v>
      </c>
      <c r="K163" s="9" t="s">
        <v>572</v>
      </c>
      <c r="L163" s="11">
        <f>L161*5</f>
        <v>9.4999999999999998E-3</v>
      </c>
      <c r="O163" s="51"/>
      <c r="P163" s="52" t="s">
        <v>274</v>
      </c>
      <c r="Q163" s="53" t="s">
        <v>367</v>
      </c>
    </row>
    <row r="164" spans="1:17" ht="51" x14ac:dyDescent="0.2">
      <c r="A164" s="20" t="s">
        <v>146</v>
      </c>
      <c r="B164" s="9" t="str">
        <f t="shared" si="10"/>
        <v>Mortality rates from populations in TB compartment  Uninfected, not on IPT and HIV compartment  PLHIV not on ART, CD4≤200 and gender compartment Male per year</v>
      </c>
      <c r="C164" s="8" t="s">
        <v>141</v>
      </c>
      <c r="D164" s="8" t="s">
        <v>142</v>
      </c>
      <c r="E164" s="8">
        <v>1</v>
      </c>
      <c r="G164" s="9">
        <v>3</v>
      </c>
      <c r="H164" s="9">
        <v>1</v>
      </c>
      <c r="J164" s="9" t="str">
        <f t="shared" si="11"/>
        <v>mu_1,3,1</v>
      </c>
      <c r="K164" s="9" t="s">
        <v>573</v>
      </c>
      <c r="L164" s="11">
        <f>L160*10</f>
        <v>3.3000000000000002E-2</v>
      </c>
      <c r="O164" s="51"/>
      <c r="P164" s="52" t="s">
        <v>276</v>
      </c>
      <c r="Q164" s="53" t="s">
        <v>367</v>
      </c>
    </row>
    <row r="165" spans="1:17" ht="51" x14ac:dyDescent="0.2">
      <c r="A165" s="20" t="s">
        <v>147</v>
      </c>
      <c r="B165" s="9" t="str">
        <f t="shared" si="10"/>
        <v>Mortality rates from populations in TB compartment  Uninfected, not on IPT and HIV compartment  PLHIV not on ART, CD4≤200 and gender compartment Female per year</v>
      </c>
      <c r="C165" s="8" t="s">
        <v>141</v>
      </c>
      <c r="D165" s="8" t="s">
        <v>142</v>
      </c>
      <c r="E165" s="8">
        <v>1</v>
      </c>
      <c r="G165" s="9">
        <v>3</v>
      </c>
      <c r="H165" s="9">
        <v>2</v>
      </c>
      <c r="J165" s="9" t="str">
        <f t="shared" si="11"/>
        <v>mu_1,3,2</v>
      </c>
      <c r="K165" s="9" t="s">
        <v>574</v>
      </c>
      <c r="L165" s="11">
        <f>L161*10</f>
        <v>1.9E-2</v>
      </c>
      <c r="O165" s="51"/>
      <c r="P165" s="52" t="s">
        <v>276</v>
      </c>
      <c r="Q165" s="53" t="s">
        <v>367</v>
      </c>
    </row>
    <row r="166" spans="1:17" ht="48" x14ac:dyDescent="0.2">
      <c r="A166" s="20" t="s">
        <v>148</v>
      </c>
      <c r="B166" s="9" t="str">
        <f t="shared" si="10"/>
        <v>Mortality rates from populations in TB compartment  Uninfected, not on IPT and HIV compartment  PLHIV and on ART and gender compartment Male per year</v>
      </c>
      <c r="C166" s="8" t="s">
        <v>141</v>
      </c>
      <c r="D166" s="8" t="s">
        <v>142</v>
      </c>
      <c r="E166" s="8">
        <v>1</v>
      </c>
      <c r="G166" s="9">
        <v>4</v>
      </c>
      <c r="H166" s="9">
        <v>1</v>
      </c>
      <c r="J166" s="9" t="str">
        <f t="shared" si="11"/>
        <v>mu_1,4,1</v>
      </c>
      <c r="K166" s="9" t="s">
        <v>575</v>
      </c>
      <c r="L166" s="11">
        <f>L160*1.2</f>
        <v>3.96E-3</v>
      </c>
      <c r="O166" s="51"/>
      <c r="P166" s="52" t="s">
        <v>275</v>
      </c>
      <c r="Q166" s="53" t="s">
        <v>367</v>
      </c>
    </row>
    <row r="167" spans="1:17" ht="48" x14ac:dyDescent="0.2">
      <c r="A167" s="20" t="s">
        <v>149</v>
      </c>
      <c r="B167" s="9" t="str">
        <f t="shared" si="10"/>
        <v>Mortality rates from populations in TB compartment  Uninfected, not on IPT and HIV compartment  PLHIV and on ART and gender compartment Female per year</v>
      </c>
      <c r="C167" s="8" t="s">
        <v>141</v>
      </c>
      <c r="D167" s="8" t="s">
        <v>142</v>
      </c>
      <c r="E167" s="8">
        <v>1</v>
      </c>
      <c r="G167" s="9">
        <v>4</v>
      </c>
      <c r="H167" s="9">
        <v>2</v>
      </c>
      <c r="J167" s="9" t="str">
        <f t="shared" si="11"/>
        <v>mu_1,4,2</v>
      </c>
      <c r="K167" s="9" t="s">
        <v>576</v>
      </c>
      <c r="L167" s="11">
        <f>L161*1.2</f>
        <v>2.2799999999999999E-3</v>
      </c>
      <c r="O167" s="51"/>
      <c r="P167" s="52" t="s">
        <v>275</v>
      </c>
      <c r="Q167" s="53" t="s">
        <v>367</v>
      </c>
    </row>
    <row r="168" spans="1:17" ht="48" x14ac:dyDescent="0.2">
      <c r="A168" s="20" t="s">
        <v>150</v>
      </c>
      <c r="B168" s="9" t="str">
        <f t="shared" si="10"/>
        <v>Mortality rates from populations in TB compartment  Uninfected, on IPT and HIV compartment  HIV-negative and gender compartment Male per year</v>
      </c>
      <c r="C168" s="8" t="s">
        <v>141</v>
      </c>
      <c r="D168" s="8" t="s">
        <v>142</v>
      </c>
      <c r="E168" s="8">
        <v>2</v>
      </c>
      <c r="G168" s="9">
        <v>1</v>
      </c>
      <c r="H168" s="9">
        <v>1</v>
      </c>
      <c r="J168" s="9" t="str">
        <f t="shared" si="11"/>
        <v>mu_2,1,1</v>
      </c>
      <c r="K168" s="9" t="s">
        <v>577</v>
      </c>
      <c r="L168" s="11">
        <f t="shared" ref="L168:L175" si="12">L160</f>
        <v>3.3E-3</v>
      </c>
      <c r="O168" s="51"/>
      <c r="P168" s="52" t="s">
        <v>273</v>
      </c>
      <c r="Q168" s="53" t="s">
        <v>367</v>
      </c>
    </row>
    <row r="169" spans="1:17" ht="48" x14ac:dyDescent="0.2">
      <c r="A169" s="20" t="s">
        <v>151</v>
      </c>
      <c r="B169" s="9" t="str">
        <f t="shared" si="10"/>
        <v>Mortality rates from populations in TB compartment  Uninfected, on IPT and HIV compartment  HIV-negative and gender compartment Female per year</v>
      </c>
      <c r="C169" s="8" t="s">
        <v>141</v>
      </c>
      <c r="D169" s="8" t="s">
        <v>142</v>
      </c>
      <c r="E169" s="8">
        <v>2</v>
      </c>
      <c r="G169" s="9">
        <v>1</v>
      </c>
      <c r="H169" s="9">
        <v>2</v>
      </c>
      <c r="J169" s="9" t="str">
        <f t="shared" si="11"/>
        <v>mu_2,1,2</v>
      </c>
      <c r="K169" s="9" t="s">
        <v>578</v>
      </c>
      <c r="L169" s="11">
        <f t="shared" si="12"/>
        <v>1.9E-3</v>
      </c>
      <c r="O169" s="51"/>
      <c r="P169" s="52" t="s">
        <v>273</v>
      </c>
      <c r="Q169" s="53" t="s">
        <v>367</v>
      </c>
    </row>
    <row r="170" spans="1:17" ht="51" x14ac:dyDescent="0.2">
      <c r="A170" s="20" t="s">
        <v>152</v>
      </c>
      <c r="B170" s="9" t="str">
        <f t="shared" si="10"/>
        <v>Mortality rates from populations in TB compartment  Uninfected, on IPT and HIV compartment  PLHIV not on ART, CD4&gt;200 and gender compartment Male per year</v>
      </c>
      <c r="C170" s="8" t="s">
        <v>141</v>
      </c>
      <c r="D170" s="8" t="s">
        <v>142</v>
      </c>
      <c r="E170" s="8">
        <v>2</v>
      </c>
      <c r="G170" s="9">
        <v>2</v>
      </c>
      <c r="H170" s="9">
        <v>1</v>
      </c>
      <c r="J170" s="9" t="str">
        <f t="shared" si="11"/>
        <v>mu_2,2,1</v>
      </c>
      <c r="K170" s="9" t="s">
        <v>579</v>
      </c>
      <c r="L170" s="11">
        <f t="shared" si="12"/>
        <v>1.6500000000000001E-2</v>
      </c>
      <c r="O170" s="51"/>
      <c r="P170" s="52" t="s">
        <v>277</v>
      </c>
      <c r="Q170" s="53" t="s">
        <v>367</v>
      </c>
    </row>
    <row r="171" spans="1:17" ht="51" x14ac:dyDescent="0.2">
      <c r="A171" s="20" t="s">
        <v>153</v>
      </c>
      <c r="B171" s="9" t="str">
        <f t="shared" si="10"/>
        <v>Mortality rates from populations in TB compartment  Uninfected, on IPT and HIV compartment  PLHIV not on ART, CD4&gt;200 and gender compartment Female per year</v>
      </c>
      <c r="C171" s="8" t="s">
        <v>141</v>
      </c>
      <c r="D171" s="8" t="s">
        <v>142</v>
      </c>
      <c r="E171" s="8">
        <v>2</v>
      </c>
      <c r="G171" s="9">
        <v>2</v>
      </c>
      <c r="H171" s="9">
        <v>2</v>
      </c>
      <c r="J171" s="9" t="str">
        <f t="shared" si="11"/>
        <v>mu_2,2,2</v>
      </c>
      <c r="K171" s="9" t="s">
        <v>580</v>
      </c>
      <c r="L171" s="11">
        <f t="shared" si="12"/>
        <v>9.4999999999999998E-3</v>
      </c>
      <c r="O171" s="51"/>
      <c r="P171" s="52" t="s">
        <v>277</v>
      </c>
      <c r="Q171" s="53" t="s">
        <v>367</v>
      </c>
    </row>
    <row r="172" spans="1:17" ht="51" x14ac:dyDescent="0.2">
      <c r="A172" s="20" t="s">
        <v>154</v>
      </c>
      <c r="B172" s="9" t="str">
        <f t="shared" si="10"/>
        <v>Mortality rates from populations in TB compartment  Uninfected, on IPT and HIV compartment  PLHIV not on ART, CD4≤200 and gender compartment Male per year</v>
      </c>
      <c r="C172" s="8" t="s">
        <v>141</v>
      </c>
      <c r="D172" s="8" t="s">
        <v>142</v>
      </c>
      <c r="E172" s="8">
        <v>2</v>
      </c>
      <c r="G172" s="9">
        <v>3</v>
      </c>
      <c r="H172" s="9">
        <v>1</v>
      </c>
      <c r="J172" s="9" t="str">
        <f t="shared" si="11"/>
        <v>mu_2,3,1</v>
      </c>
      <c r="K172" s="9" t="s">
        <v>581</v>
      </c>
      <c r="L172" s="11">
        <f t="shared" si="12"/>
        <v>3.3000000000000002E-2</v>
      </c>
      <c r="O172" s="51"/>
      <c r="P172" s="52" t="s">
        <v>278</v>
      </c>
      <c r="Q172" s="53" t="s">
        <v>367</v>
      </c>
    </row>
    <row r="173" spans="1:17" ht="51" x14ac:dyDescent="0.2">
      <c r="A173" s="29" t="s">
        <v>155</v>
      </c>
      <c r="B173" s="9" t="str">
        <f t="shared" si="10"/>
        <v>Mortality rates from populations in TB compartment  Uninfected, on IPT and HIV compartment  PLHIV not on ART, CD4≤200 and gender compartment Female per year</v>
      </c>
      <c r="C173" s="8" t="s">
        <v>141</v>
      </c>
      <c r="D173" s="8" t="s">
        <v>142</v>
      </c>
      <c r="E173" s="8">
        <v>2</v>
      </c>
      <c r="G173" s="9">
        <v>3</v>
      </c>
      <c r="H173" s="9">
        <v>2</v>
      </c>
      <c r="J173" s="9" t="str">
        <f t="shared" si="11"/>
        <v>mu_2,3,2</v>
      </c>
      <c r="K173" s="9" t="s">
        <v>582</v>
      </c>
      <c r="L173" s="11">
        <f t="shared" si="12"/>
        <v>1.9E-2</v>
      </c>
      <c r="O173" s="51"/>
      <c r="P173" s="52" t="s">
        <v>278</v>
      </c>
      <c r="Q173" s="53" t="s">
        <v>367</v>
      </c>
    </row>
    <row r="174" spans="1:17" ht="48" x14ac:dyDescent="0.2">
      <c r="A174" s="20" t="s">
        <v>156</v>
      </c>
      <c r="B174" s="9" t="str">
        <f t="shared" si="10"/>
        <v>Mortality rates from populations in TB compartment  Uninfected, on IPT and HIV compartment  PLHIV and on ART and gender compartment Male per year</v>
      </c>
      <c r="C174" s="8" t="s">
        <v>141</v>
      </c>
      <c r="D174" s="8" t="s">
        <v>142</v>
      </c>
      <c r="E174" s="8">
        <v>2</v>
      </c>
      <c r="G174" s="9">
        <v>4</v>
      </c>
      <c r="H174" s="9">
        <v>1</v>
      </c>
      <c r="J174" s="9" t="str">
        <f t="shared" si="11"/>
        <v>mu_2,4,1</v>
      </c>
      <c r="K174" s="9" t="s">
        <v>583</v>
      </c>
      <c r="L174" s="11">
        <f t="shared" si="12"/>
        <v>3.96E-3</v>
      </c>
      <c r="O174" s="51"/>
      <c r="P174" s="52" t="s">
        <v>279</v>
      </c>
      <c r="Q174" s="53" t="s">
        <v>367</v>
      </c>
    </row>
    <row r="175" spans="1:17" ht="48" x14ac:dyDescent="0.2">
      <c r="A175" s="20" t="s">
        <v>157</v>
      </c>
      <c r="B175" s="9" t="str">
        <f t="shared" si="10"/>
        <v>Mortality rates from populations in TB compartment  Uninfected, on IPT and HIV compartment  PLHIV and on ART and gender compartment Female per year</v>
      </c>
      <c r="C175" s="8" t="s">
        <v>141</v>
      </c>
      <c r="D175" s="8" t="s">
        <v>142</v>
      </c>
      <c r="E175" s="8">
        <v>2</v>
      </c>
      <c r="G175" s="9">
        <v>4</v>
      </c>
      <c r="H175" s="9">
        <v>2</v>
      </c>
      <c r="J175" s="9" t="str">
        <f t="shared" si="11"/>
        <v>mu_2,4,2</v>
      </c>
      <c r="K175" s="9" t="s">
        <v>584</v>
      </c>
      <c r="L175" s="11">
        <f t="shared" si="12"/>
        <v>2.2799999999999999E-3</v>
      </c>
      <c r="O175" s="51"/>
      <c r="P175" s="52" t="s">
        <v>279</v>
      </c>
      <c r="Q175" s="53" t="s">
        <v>367</v>
      </c>
    </row>
    <row r="176" spans="1:17" ht="51" x14ac:dyDescent="0.2">
      <c r="A176" s="20" t="s">
        <v>158</v>
      </c>
      <c r="B176" s="9" t="str">
        <f t="shared" si="10"/>
        <v>Mortality rates from populations in TB compartment  LTBI, infected recently (at risk for rapid progression) and HIV compartment  HIV-negative and gender compartment Male per year</v>
      </c>
      <c r="C176" s="8" t="s">
        <v>141</v>
      </c>
      <c r="D176" s="8" t="s">
        <v>142</v>
      </c>
      <c r="E176" s="8">
        <v>3</v>
      </c>
      <c r="G176" s="9">
        <v>1</v>
      </c>
      <c r="H176" s="9">
        <v>1</v>
      </c>
      <c r="J176" s="9" t="str">
        <f t="shared" si="11"/>
        <v>mu_3,1,1</v>
      </c>
      <c r="K176" s="9" t="s">
        <v>585</v>
      </c>
      <c r="L176" s="11">
        <f t="shared" ref="L176:L183" si="13">L160</f>
        <v>3.3E-3</v>
      </c>
      <c r="O176" s="51"/>
      <c r="P176" s="52" t="s">
        <v>273</v>
      </c>
      <c r="Q176" s="53" t="s">
        <v>367</v>
      </c>
    </row>
    <row r="177" spans="1:17" ht="51" x14ac:dyDescent="0.2">
      <c r="A177" s="20" t="s">
        <v>159</v>
      </c>
      <c r="B177" s="9" t="str">
        <f t="shared" si="10"/>
        <v>Mortality rates from populations in TB compartment  LTBI, infected recently (at risk for rapid progression) and HIV compartment  HIV-negative and gender compartment Female per year</v>
      </c>
      <c r="C177" s="8" t="s">
        <v>141</v>
      </c>
      <c r="D177" s="8" t="s">
        <v>142</v>
      </c>
      <c r="E177" s="8">
        <v>3</v>
      </c>
      <c r="G177" s="9">
        <v>1</v>
      </c>
      <c r="H177" s="9">
        <v>2</v>
      </c>
      <c r="J177" s="9" t="str">
        <f t="shared" si="11"/>
        <v>mu_3,1,2</v>
      </c>
      <c r="K177" s="9" t="s">
        <v>586</v>
      </c>
      <c r="L177" s="11">
        <f t="shared" si="13"/>
        <v>1.9E-3</v>
      </c>
      <c r="O177" s="51"/>
      <c r="P177" s="52" t="s">
        <v>273</v>
      </c>
      <c r="Q177" s="53" t="s">
        <v>367</v>
      </c>
    </row>
    <row r="178" spans="1:17" ht="51" x14ac:dyDescent="0.2">
      <c r="A178" s="20" t="s">
        <v>160</v>
      </c>
      <c r="B178" s="9" t="str">
        <f t="shared" si="10"/>
        <v>Mortality rates from populations in TB compartment  LTBI, infected recently (at risk for rapid progression) and HIV compartment  PLHIV not on ART, CD4&gt;200 and gender compartment Male per year</v>
      </c>
      <c r="C178" s="8" t="s">
        <v>141</v>
      </c>
      <c r="D178" s="8" t="s">
        <v>142</v>
      </c>
      <c r="E178" s="8">
        <v>3</v>
      </c>
      <c r="G178" s="9">
        <v>2</v>
      </c>
      <c r="H178" s="9">
        <v>1</v>
      </c>
      <c r="J178" s="9" t="str">
        <f t="shared" si="11"/>
        <v>mu_3,2,1</v>
      </c>
      <c r="K178" s="9" t="s">
        <v>587</v>
      </c>
      <c r="L178" s="11">
        <f t="shared" si="13"/>
        <v>1.6500000000000001E-2</v>
      </c>
      <c r="O178" s="51"/>
      <c r="P178" s="52" t="s">
        <v>277</v>
      </c>
      <c r="Q178" s="53" t="s">
        <v>367</v>
      </c>
    </row>
    <row r="179" spans="1:17" ht="51" x14ac:dyDescent="0.2">
      <c r="A179" s="20" t="s">
        <v>161</v>
      </c>
      <c r="B179" s="9" t="str">
        <f t="shared" si="10"/>
        <v>Mortality rates from populations in TB compartment  LTBI, infected recently (at risk for rapid progression) and HIV compartment  PLHIV not on ART, CD4&gt;200 and gender compartment Female per year</v>
      </c>
      <c r="C179" s="8" t="s">
        <v>141</v>
      </c>
      <c r="D179" s="8" t="s">
        <v>142</v>
      </c>
      <c r="E179" s="8">
        <v>3</v>
      </c>
      <c r="G179" s="9">
        <v>2</v>
      </c>
      <c r="H179" s="9">
        <v>2</v>
      </c>
      <c r="J179" s="9" t="str">
        <f t="shared" si="11"/>
        <v>mu_3,2,2</v>
      </c>
      <c r="K179" s="9" t="s">
        <v>588</v>
      </c>
      <c r="L179" s="11">
        <f t="shared" si="13"/>
        <v>9.4999999999999998E-3</v>
      </c>
      <c r="O179" s="51"/>
      <c r="P179" s="52" t="s">
        <v>277</v>
      </c>
      <c r="Q179" s="53" t="s">
        <v>367</v>
      </c>
    </row>
    <row r="180" spans="1:17" ht="51" x14ac:dyDescent="0.2">
      <c r="A180" s="20" t="s">
        <v>162</v>
      </c>
      <c r="B180" s="9" t="str">
        <f t="shared" si="10"/>
        <v>Mortality rates from populations in TB compartment  LTBI, infected recently (at risk for rapid progression) and HIV compartment  PLHIV not on ART, CD4≤200 and gender compartment Male per year</v>
      </c>
      <c r="C180" s="8" t="s">
        <v>141</v>
      </c>
      <c r="D180" s="8" t="s">
        <v>142</v>
      </c>
      <c r="E180" s="8">
        <v>3</v>
      </c>
      <c r="G180" s="9">
        <v>3</v>
      </c>
      <c r="H180" s="9">
        <v>1</v>
      </c>
      <c r="J180" s="9" t="str">
        <f t="shared" si="11"/>
        <v>mu_3,3,1</v>
      </c>
      <c r="K180" s="9" t="s">
        <v>589</v>
      </c>
      <c r="L180" s="11">
        <f t="shared" si="13"/>
        <v>3.3000000000000002E-2</v>
      </c>
      <c r="O180" s="51"/>
      <c r="P180" s="52" t="s">
        <v>278</v>
      </c>
      <c r="Q180" s="53" t="s">
        <v>367</v>
      </c>
    </row>
    <row r="181" spans="1:17" ht="51" x14ac:dyDescent="0.2">
      <c r="A181" s="20" t="s">
        <v>163</v>
      </c>
      <c r="B181" s="9" t="str">
        <f t="shared" si="10"/>
        <v>Mortality rates from populations in TB compartment  LTBI, infected recently (at risk for rapid progression) and HIV compartment  PLHIV not on ART, CD4≤200 and gender compartment Female per year</v>
      </c>
      <c r="C181" s="8" t="s">
        <v>141</v>
      </c>
      <c r="D181" s="8" t="s">
        <v>142</v>
      </c>
      <c r="E181" s="8">
        <v>3</v>
      </c>
      <c r="G181" s="9">
        <v>3</v>
      </c>
      <c r="H181" s="9">
        <v>2</v>
      </c>
      <c r="J181" s="9" t="str">
        <f t="shared" si="11"/>
        <v>mu_3,3,2</v>
      </c>
      <c r="K181" s="9" t="s">
        <v>590</v>
      </c>
      <c r="L181" s="11">
        <f t="shared" si="13"/>
        <v>1.9E-2</v>
      </c>
      <c r="O181" s="51"/>
      <c r="P181" s="52" t="s">
        <v>278</v>
      </c>
      <c r="Q181" s="53" t="s">
        <v>367</v>
      </c>
    </row>
    <row r="182" spans="1:17" ht="51" x14ac:dyDescent="0.2">
      <c r="A182" s="20" t="s">
        <v>164</v>
      </c>
      <c r="B182" s="9" t="str">
        <f t="shared" si="10"/>
        <v>Mortality rates from populations in TB compartment  LTBI, infected recently (at risk for rapid progression) and HIV compartment  PLHIV and on ART and gender compartment Male per year</v>
      </c>
      <c r="C182" s="8" t="s">
        <v>141</v>
      </c>
      <c r="D182" s="8" t="s">
        <v>142</v>
      </c>
      <c r="E182" s="8">
        <v>3</v>
      </c>
      <c r="G182" s="9">
        <v>4</v>
      </c>
      <c r="H182" s="9">
        <v>1</v>
      </c>
      <c r="J182" s="9" t="str">
        <f t="shared" si="11"/>
        <v>mu_3,4,1</v>
      </c>
      <c r="K182" s="9" t="s">
        <v>591</v>
      </c>
      <c r="L182" s="11">
        <f t="shared" si="13"/>
        <v>3.96E-3</v>
      </c>
      <c r="O182" s="51"/>
      <c r="P182" s="52" t="s">
        <v>279</v>
      </c>
      <c r="Q182" s="53" t="s">
        <v>367</v>
      </c>
    </row>
    <row r="183" spans="1:17" ht="51" x14ac:dyDescent="0.2">
      <c r="A183" s="20" t="s">
        <v>165</v>
      </c>
      <c r="B183" s="9" t="str">
        <f t="shared" si="10"/>
        <v>Mortality rates from populations in TB compartment  LTBI, infected recently (at risk for rapid progression) and HIV compartment  PLHIV and on ART and gender compartment Female per year</v>
      </c>
      <c r="C183" s="8" t="s">
        <v>141</v>
      </c>
      <c r="D183" s="8" t="s">
        <v>142</v>
      </c>
      <c r="E183" s="8">
        <v>3</v>
      </c>
      <c r="G183" s="9">
        <v>4</v>
      </c>
      <c r="H183" s="9">
        <v>2</v>
      </c>
      <c r="J183" s="9" t="str">
        <f t="shared" si="11"/>
        <v>mu_3,4,2</v>
      </c>
      <c r="K183" s="9" t="s">
        <v>592</v>
      </c>
      <c r="L183" s="11">
        <f t="shared" si="13"/>
        <v>2.2799999999999999E-3</v>
      </c>
      <c r="O183" s="51"/>
      <c r="P183" s="52" t="s">
        <v>279</v>
      </c>
      <c r="Q183" s="53" t="s">
        <v>367</v>
      </c>
    </row>
    <row r="184" spans="1:17" ht="48" x14ac:dyDescent="0.2">
      <c r="A184" s="20" t="s">
        <v>166</v>
      </c>
      <c r="B184" s="9" t="str">
        <f t="shared" si="10"/>
        <v>Mortality rates from populations in TB compartment  LTBI, infected remotely and HIV compartment  HIV-negative and gender compartment Male per year</v>
      </c>
      <c r="C184" s="8" t="s">
        <v>141</v>
      </c>
      <c r="D184" s="8" t="s">
        <v>142</v>
      </c>
      <c r="E184" s="8">
        <v>4</v>
      </c>
      <c r="G184" s="9">
        <v>1</v>
      </c>
      <c r="H184" s="9">
        <v>1</v>
      </c>
      <c r="J184" s="9" t="str">
        <f t="shared" si="11"/>
        <v>mu_4,1,1</v>
      </c>
      <c r="K184" s="9" t="s">
        <v>593</v>
      </c>
      <c r="L184" s="11">
        <f t="shared" ref="L184:L191" si="14">L160</f>
        <v>3.3E-3</v>
      </c>
      <c r="O184" s="51"/>
      <c r="P184" s="52" t="s">
        <v>273</v>
      </c>
      <c r="Q184" s="53" t="s">
        <v>367</v>
      </c>
    </row>
    <row r="185" spans="1:17" ht="48" x14ac:dyDescent="0.2">
      <c r="A185" s="20" t="s">
        <v>167</v>
      </c>
      <c r="B185" s="9" t="str">
        <f t="shared" si="10"/>
        <v>Mortality rates from populations in TB compartment  LTBI, infected remotely and HIV compartment  HIV-negative and gender compartment Female per year</v>
      </c>
      <c r="C185" s="8" t="s">
        <v>141</v>
      </c>
      <c r="D185" s="8" t="s">
        <v>142</v>
      </c>
      <c r="E185" s="8">
        <v>4</v>
      </c>
      <c r="G185" s="9">
        <v>1</v>
      </c>
      <c r="H185" s="9">
        <v>2</v>
      </c>
      <c r="J185" s="9" t="str">
        <f t="shared" si="11"/>
        <v>mu_4,1,2</v>
      </c>
      <c r="K185" s="9" t="s">
        <v>594</v>
      </c>
      <c r="L185" s="11">
        <f t="shared" si="14"/>
        <v>1.9E-3</v>
      </c>
      <c r="O185" s="51"/>
      <c r="P185" s="52" t="s">
        <v>273</v>
      </c>
      <c r="Q185" s="53" t="s">
        <v>367</v>
      </c>
    </row>
    <row r="186" spans="1:17" ht="51" x14ac:dyDescent="0.2">
      <c r="A186" s="20" t="s">
        <v>168</v>
      </c>
      <c r="B186" s="9" t="str">
        <f t="shared" si="10"/>
        <v>Mortality rates from populations in TB compartment  LTBI, infected remotely and HIV compartment  PLHIV not on ART, CD4&gt;200 and gender compartment Male per year</v>
      </c>
      <c r="C186" s="8" t="s">
        <v>141</v>
      </c>
      <c r="D186" s="8" t="s">
        <v>142</v>
      </c>
      <c r="E186" s="8">
        <v>4</v>
      </c>
      <c r="G186" s="9">
        <v>2</v>
      </c>
      <c r="H186" s="9">
        <v>1</v>
      </c>
      <c r="J186" s="9" t="str">
        <f t="shared" si="11"/>
        <v>mu_4,2,1</v>
      </c>
      <c r="K186" s="9" t="s">
        <v>595</v>
      </c>
      <c r="L186" s="11">
        <f t="shared" si="14"/>
        <v>1.6500000000000001E-2</v>
      </c>
      <c r="O186" s="51"/>
      <c r="P186" s="52" t="s">
        <v>277</v>
      </c>
      <c r="Q186" s="53" t="s">
        <v>367</v>
      </c>
    </row>
    <row r="187" spans="1:17" ht="51" x14ac:dyDescent="0.2">
      <c r="A187" s="20" t="s">
        <v>169</v>
      </c>
      <c r="B187" s="9" t="str">
        <f t="shared" si="10"/>
        <v>Mortality rates from populations in TB compartment  LTBI, infected remotely and HIV compartment  PLHIV not on ART, CD4&gt;200 and gender compartment Female per year</v>
      </c>
      <c r="C187" s="8" t="s">
        <v>141</v>
      </c>
      <c r="D187" s="8" t="s">
        <v>142</v>
      </c>
      <c r="E187" s="8">
        <v>4</v>
      </c>
      <c r="G187" s="9">
        <v>2</v>
      </c>
      <c r="H187" s="9">
        <v>2</v>
      </c>
      <c r="J187" s="9" t="str">
        <f t="shared" si="11"/>
        <v>mu_4,2,2</v>
      </c>
      <c r="K187" s="9" t="s">
        <v>596</v>
      </c>
      <c r="L187" s="11">
        <f t="shared" si="14"/>
        <v>9.4999999999999998E-3</v>
      </c>
      <c r="O187" s="51"/>
      <c r="P187" s="52" t="s">
        <v>277</v>
      </c>
      <c r="Q187" s="53" t="s">
        <v>367</v>
      </c>
    </row>
    <row r="188" spans="1:17" ht="51" x14ac:dyDescent="0.2">
      <c r="A188" s="20" t="s">
        <v>170</v>
      </c>
      <c r="B188" s="9" t="str">
        <f t="shared" si="10"/>
        <v>Mortality rates from populations in TB compartment  LTBI, infected remotely and HIV compartment  PLHIV not on ART, CD4≤200 and gender compartment Male per year</v>
      </c>
      <c r="C188" s="8" t="s">
        <v>141</v>
      </c>
      <c r="D188" s="8" t="s">
        <v>142</v>
      </c>
      <c r="E188" s="8">
        <v>4</v>
      </c>
      <c r="G188" s="9">
        <v>3</v>
      </c>
      <c r="H188" s="9">
        <v>1</v>
      </c>
      <c r="J188" s="9" t="str">
        <f t="shared" si="11"/>
        <v>mu_4,3,1</v>
      </c>
      <c r="K188" s="9" t="s">
        <v>597</v>
      </c>
      <c r="L188" s="11">
        <f t="shared" si="14"/>
        <v>3.3000000000000002E-2</v>
      </c>
      <c r="O188" s="51"/>
      <c r="P188" s="52" t="s">
        <v>278</v>
      </c>
      <c r="Q188" s="53" t="s">
        <v>367</v>
      </c>
    </row>
    <row r="189" spans="1:17" ht="51" x14ac:dyDescent="0.2">
      <c r="A189" s="20" t="s">
        <v>171</v>
      </c>
      <c r="B189" s="9" t="str">
        <f t="shared" si="10"/>
        <v>Mortality rates from populations in TB compartment  LTBI, infected remotely and HIV compartment  PLHIV not on ART, CD4≤200 and gender compartment Female per year</v>
      </c>
      <c r="C189" s="8" t="s">
        <v>141</v>
      </c>
      <c r="D189" s="8" t="s">
        <v>142</v>
      </c>
      <c r="E189" s="8">
        <v>4</v>
      </c>
      <c r="G189" s="9">
        <v>3</v>
      </c>
      <c r="H189" s="9">
        <v>2</v>
      </c>
      <c r="J189" s="9" t="str">
        <f t="shared" si="11"/>
        <v>mu_4,3,2</v>
      </c>
      <c r="K189" s="9" t="s">
        <v>598</v>
      </c>
      <c r="L189" s="11">
        <f t="shared" si="14"/>
        <v>1.9E-2</v>
      </c>
      <c r="O189" s="51"/>
      <c r="P189" s="52" t="s">
        <v>278</v>
      </c>
      <c r="Q189" s="53" t="s">
        <v>367</v>
      </c>
    </row>
    <row r="190" spans="1:17" ht="51" x14ac:dyDescent="0.2">
      <c r="A190" s="20" t="s">
        <v>172</v>
      </c>
      <c r="B190" s="9" t="str">
        <f t="shared" si="10"/>
        <v>Mortality rates from populations in TB compartment  LTBI, infected remotely and HIV compartment  PLHIV and on ART and gender compartment Male per year</v>
      </c>
      <c r="C190" s="8" t="s">
        <v>141</v>
      </c>
      <c r="D190" s="8" t="s">
        <v>142</v>
      </c>
      <c r="E190" s="8">
        <v>4</v>
      </c>
      <c r="G190" s="9">
        <v>4</v>
      </c>
      <c r="H190" s="9">
        <v>1</v>
      </c>
      <c r="J190" s="9" t="str">
        <f t="shared" si="11"/>
        <v>mu_4,4,1</v>
      </c>
      <c r="K190" s="9" t="s">
        <v>599</v>
      </c>
      <c r="L190" s="11">
        <f t="shared" si="14"/>
        <v>3.96E-3</v>
      </c>
      <c r="O190" s="51"/>
      <c r="P190" s="52" t="s">
        <v>279</v>
      </c>
      <c r="Q190" s="53" t="s">
        <v>367</v>
      </c>
    </row>
    <row r="191" spans="1:17" ht="51" x14ac:dyDescent="0.2">
      <c r="A191" s="20" t="s">
        <v>173</v>
      </c>
      <c r="B191" s="9" t="str">
        <f t="shared" si="10"/>
        <v>Mortality rates from populations in TB compartment  LTBI, infected remotely and HIV compartment  PLHIV and on ART and gender compartment Female per year</v>
      </c>
      <c r="C191" s="8" t="s">
        <v>141</v>
      </c>
      <c r="D191" s="8" t="s">
        <v>142</v>
      </c>
      <c r="E191" s="8">
        <v>4</v>
      </c>
      <c r="G191" s="9">
        <v>4</v>
      </c>
      <c r="H191" s="9">
        <v>2</v>
      </c>
      <c r="J191" s="9" t="str">
        <f t="shared" si="11"/>
        <v>mu_4,4,2</v>
      </c>
      <c r="K191" s="9" t="s">
        <v>600</v>
      </c>
      <c r="L191" s="11">
        <f t="shared" si="14"/>
        <v>2.2799999999999999E-3</v>
      </c>
      <c r="O191" s="51"/>
      <c r="P191" s="52" t="s">
        <v>279</v>
      </c>
      <c r="Q191" s="53" t="s">
        <v>367</v>
      </c>
    </row>
    <row r="192" spans="1:17" ht="48" x14ac:dyDescent="0.2">
      <c r="A192" s="20" t="s">
        <v>174</v>
      </c>
      <c r="B192" s="9" t="str">
        <f t="shared" ref="B192:B223" si="15">CONCATENATE("Mortality rates from populations in TB compartment ",VLOOKUP(E192,TB_SET,2)," and HIV compartment ",VLOOKUP(G192,HIV_SET,2)," and gender compartment ",VLOOKUP(H192,G_SET,2)," per year")</f>
        <v>Mortality rates from populations in TB compartment  LTBI, on IPT and HIV compartment  HIV-negative and gender compartment Male per year</v>
      </c>
      <c r="C192" s="8" t="s">
        <v>141</v>
      </c>
      <c r="D192" s="8" t="s">
        <v>142</v>
      </c>
      <c r="E192" s="8">
        <v>5</v>
      </c>
      <c r="G192" s="9">
        <v>1</v>
      </c>
      <c r="H192" s="9">
        <v>1</v>
      </c>
      <c r="J192" s="9" t="str">
        <f t="shared" si="11"/>
        <v>mu_5,1,1</v>
      </c>
      <c r="K192" s="9" t="s">
        <v>601</v>
      </c>
      <c r="L192" s="11">
        <f t="shared" ref="L192:L199" si="16">L160</f>
        <v>3.3E-3</v>
      </c>
      <c r="O192" s="51"/>
      <c r="P192" s="52" t="s">
        <v>273</v>
      </c>
      <c r="Q192" s="53" t="s">
        <v>367</v>
      </c>
    </row>
    <row r="193" spans="1:17" ht="48" x14ac:dyDescent="0.2">
      <c r="A193" s="20" t="s">
        <v>175</v>
      </c>
      <c r="B193" s="9" t="str">
        <f t="shared" si="15"/>
        <v>Mortality rates from populations in TB compartment  LTBI, on IPT and HIV compartment  HIV-negative and gender compartment Female per year</v>
      </c>
      <c r="C193" s="8" t="s">
        <v>141</v>
      </c>
      <c r="D193" s="8" t="s">
        <v>142</v>
      </c>
      <c r="E193" s="8">
        <v>5</v>
      </c>
      <c r="G193" s="9">
        <v>1</v>
      </c>
      <c r="H193" s="9">
        <v>2</v>
      </c>
      <c r="J193" s="9" t="str">
        <f t="shared" si="11"/>
        <v>mu_5,1,2</v>
      </c>
      <c r="K193" s="9" t="s">
        <v>602</v>
      </c>
      <c r="L193" s="11">
        <f t="shared" si="16"/>
        <v>1.9E-3</v>
      </c>
      <c r="O193" s="51"/>
      <c r="P193" s="52" t="s">
        <v>273</v>
      </c>
      <c r="Q193" s="53" t="s">
        <v>367</v>
      </c>
    </row>
    <row r="194" spans="1:17" ht="51" x14ac:dyDescent="0.2">
      <c r="A194" s="20" t="s">
        <v>176</v>
      </c>
      <c r="B194" s="9" t="str">
        <f t="shared" si="15"/>
        <v>Mortality rates from populations in TB compartment  LTBI, on IPT and HIV compartment  PLHIV not on ART, CD4&gt;200 and gender compartment Male per year</v>
      </c>
      <c r="C194" s="8" t="s">
        <v>141</v>
      </c>
      <c r="D194" s="8" t="s">
        <v>142</v>
      </c>
      <c r="E194" s="8">
        <v>5</v>
      </c>
      <c r="G194" s="9">
        <v>2</v>
      </c>
      <c r="H194" s="9">
        <v>1</v>
      </c>
      <c r="J194" s="9" t="str">
        <f t="shared" ref="J194:J223" si="17">CONCATENATE(C194, "_", E194, IF(E194&lt;&gt;"",",",""), F194, IF(F194&lt;&gt;"",",",""),  G194, IF(G194&lt;&gt;"",",",""),  H194, IF(I194&lt;&gt;"","(",""), I194, IF(I194&lt;&gt;"",")",""))</f>
        <v>mu_5,2,1</v>
      </c>
      <c r="K194" s="9" t="s">
        <v>603</v>
      </c>
      <c r="L194" s="11">
        <f t="shared" si="16"/>
        <v>1.6500000000000001E-2</v>
      </c>
      <c r="O194" s="51"/>
      <c r="P194" s="52" t="s">
        <v>277</v>
      </c>
      <c r="Q194" s="53" t="s">
        <v>367</v>
      </c>
    </row>
    <row r="195" spans="1:17" ht="51" x14ac:dyDescent="0.2">
      <c r="A195" s="20" t="s">
        <v>177</v>
      </c>
      <c r="B195" s="9" t="str">
        <f t="shared" si="15"/>
        <v>Mortality rates from populations in TB compartment  LTBI, on IPT and HIV compartment  PLHIV not on ART, CD4&gt;200 and gender compartment Female per year</v>
      </c>
      <c r="C195" s="8" t="s">
        <v>141</v>
      </c>
      <c r="D195" s="8" t="s">
        <v>142</v>
      </c>
      <c r="E195" s="8">
        <v>5</v>
      </c>
      <c r="G195" s="9">
        <v>2</v>
      </c>
      <c r="H195" s="9">
        <v>2</v>
      </c>
      <c r="J195" s="9" t="str">
        <f t="shared" si="17"/>
        <v>mu_5,2,2</v>
      </c>
      <c r="K195" s="9" t="s">
        <v>604</v>
      </c>
      <c r="L195" s="11">
        <f t="shared" si="16"/>
        <v>9.4999999999999998E-3</v>
      </c>
      <c r="O195" s="51"/>
      <c r="P195" s="52" t="s">
        <v>277</v>
      </c>
      <c r="Q195" s="53" t="s">
        <v>367</v>
      </c>
    </row>
    <row r="196" spans="1:17" ht="51" x14ac:dyDescent="0.2">
      <c r="A196" s="20" t="s">
        <v>178</v>
      </c>
      <c r="B196" s="9" t="str">
        <f t="shared" si="15"/>
        <v>Mortality rates from populations in TB compartment  LTBI, on IPT and HIV compartment  PLHIV not on ART, CD4≤200 and gender compartment Male per year</v>
      </c>
      <c r="C196" s="8" t="s">
        <v>141</v>
      </c>
      <c r="D196" s="8" t="s">
        <v>142</v>
      </c>
      <c r="E196" s="8">
        <v>5</v>
      </c>
      <c r="G196" s="9">
        <v>3</v>
      </c>
      <c r="H196" s="9">
        <v>1</v>
      </c>
      <c r="J196" s="9" t="str">
        <f t="shared" si="17"/>
        <v>mu_5,3,1</v>
      </c>
      <c r="K196" s="9" t="s">
        <v>605</v>
      </c>
      <c r="L196" s="11">
        <f t="shared" si="16"/>
        <v>3.3000000000000002E-2</v>
      </c>
      <c r="O196" s="51"/>
      <c r="P196" s="52" t="s">
        <v>278</v>
      </c>
      <c r="Q196" s="53" t="s">
        <v>367</v>
      </c>
    </row>
    <row r="197" spans="1:17" ht="51" x14ac:dyDescent="0.2">
      <c r="A197" s="20" t="s">
        <v>179</v>
      </c>
      <c r="B197" s="9" t="str">
        <f t="shared" si="15"/>
        <v>Mortality rates from populations in TB compartment  LTBI, on IPT and HIV compartment  PLHIV not on ART, CD4≤200 and gender compartment Female per year</v>
      </c>
      <c r="C197" s="8" t="s">
        <v>141</v>
      </c>
      <c r="D197" s="8" t="s">
        <v>142</v>
      </c>
      <c r="E197" s="8">
        <v>5</v>
      </c>
      <c r="G197" s="9">
        <v>3</v>
      </c>
      <c r="H197" s="9">
        <v>2</v>
      </c>
      <c r="J197" s="9" t="str">
        <f t="shared" si="17"/>
        <v>mu_5,3,2</v>
      </c>
      <c r="K197" s="9" t="s">
        <v>606</v>
      </c>
      <c r="L197" s="11">
        <f t="shared" si="16"/>
        <v>1.9E-2</v>
      </c>
      <c r="O197" s="51"/>
      <c r="P197" s="52" t="s">
        <v>278</v>
      </c>
      <c r="Q197" s="53" t="s">
        <v>367</v>
      </c>
    </row>
    <row r="198" spans="1:17" ht="48" x14ac:dyDescent="0.2">
      <c r="A198" s="20" t="s">
        <v>180</v>
      </c>
      <c r="B198" s="9" t="str">
        <f t="shared" si="15"/>
        <v>Mortality rates from populations in TB compartment  LTBI, on IPT and HIV compartment  PLHIV and on ART and gender compartment Male per year</v>
      </c>
      <c r="C198" s="8" t="s">
        <v>141</v>
      </c>
      <c r="D198" s="8" t="s">
        <v>142</v>
      </c>
      <c r="E198" s="8">
        <v>5</v>
      </c>
      <c r="G198" s="9">
        <v>4</v>
      </c>
      <c r="H198" s="9">
        <v>1</v>
      </c>
      <c r="J198" s="9" t="str">
        <f t="shared" si="17"/>
        <v>mu_5,4,1</v>
      </c>
      <c r="K198" s="9" t="s">
        <v>607</v>
      </c>
      <c r="L198" s="11">
        <f t="shared" si="16"/>
        <v>3.96E-3</v>
      </c>
      <c r="O198" s="51"/>
      <c r="P198" s="52" t="s">
        <v>279</v>
      </c>
      <c r="Q198" s="53" t="s">
        <v>367</v>
      </c>
    </row>
    <row r="199" spans="1:17" ht="48" x14ac:dyDescent="0.2">
      <c r="A199" s="20" t="s">
        <v>181</v>
      </c>
      <c r="B199" s="9" t="str">
        <f t="shared" si="15"/>
        <v>Mortality rates from populations in TB compartment  LTBI, on IPT and HIV compartment  PLHIV and on ART and gender compartment Female per year</v>
      </c>
      <c r="C199" s="8" t="s">
        <v>141</v>
      </c>
      <c r="D199" s="8" t="s">
        <v>142</v>
      </c>
      <c r="E199" s="8">
        <v>5</v>
      </c>
      <c r="G199" s="9">
        <v>4</v>
      </c>
      <c r="H199" s="9">
        <v>2</v>
      </c>
      <c r="J199" s="9" t="str">
        <f t="shared" si="17"/>
        <v>mu_5,4,2</v>
      </c>
      <c r="K199" s="9" t="s">
        <v>608</v>
      </c>
      <c r="L199" s="11">
        <f t="shared" si="16"/>
        <v>2.2799999999999999E-3</v>
      </c>
      <c r="O199" s="51"/>
      <c r="P199" s="52" t="s">
        <v>279</v>
      </c>
      <c r="Q199" s="53" t="s">
        <v>367</v>
      </c>
    </row>
    <row r="200" spans="1:17" ht="48" x14ac:dyDescent="0.2">
      <c r="A200" s="20" t="s">
        <v>182</v>
      </c>
      <c r="B200" s="9" t="str">
        <f t="shared" si="15"/>
        <v>Mortality rates from populations in TB compartment  Active and HIV compartment  HIV-negative and gender compartment Male per year</v>
      </c>
      <c r="C200" s="8" t="s">
        <v>141</v>
      </c>
      <c r="D200" s="8" t="s">
        <v>142</v>
      </c>
      <c r="E200" s="8">
        <v>6</v>
      </c>
      <c r="G200" s="9">
        <v>1</v>
      </c>
      <c r="H200" s="9">
        <v>1</v>
      </c>
      <c r="J200" s="9" t="str">
        <f t="shared" si="17"/>
        <v>mu_6,1,1</v>
      </c>
      <c r="K200" s="9" t="s">
        <v>609</v>
      </c>
      <c r="L200" s="11">
        <f>L160*20</f>
        <v>6.6000000000000003E-2</v>
      </c>
      <c r="O200" s="51"/>
      <c r="P200" s="52" t="s">
        <v>282</v>
      </c>
      <c r="Q200" s="53" t="s">
        <v>367</v>
      </c>
    </row>
    <row r="201" spans="1:17" ht="48" x14ac:dyDescent="0.2">
      <c r="A201" s="20" t="s">
        <v>183</v>
      </c>
      <c r="B201" s="9" t="str">
        <f t="shared" si="15"/>
        <v>Mortality rates from populations in TB compartment  Active and HIV compartment  HIV-negative and gender compartment Female per year</v>
      </c>
      <c r="C201" s="8" t="s">
        <v>141</v>
      </c>
      <c r="D201" s="8" t="s">
        <v>142</v>
      </c>
      <c r="E201" s="8">
        <v>6</v>
      </c>
      <c r="G201" s="9">
        <v>1</v>
      </c>
      <c r="H201" s="9">
        <v>2</v>
      </c>
      <c r="J201" s="9" t="str">
        <f t="shared" si="17"/>
        <v>mu_6,1,2</v>
      </c>
      <c r="K201" s="9" t="s">
        <v>610</v>
      </c>
      <c r="L201" s="11">
        <f>L161*20</f>
        <v>3.7999999999999999E-2</v>
      </c>
      <c r="O201" s="51"/>
      <c r="P201" s="52" t="s">
        <v>282</v>
      </c>
      <c r="Q201" s="53" t="s">
        <v>367</v>
      </c>
    </row>
    <row r="202" spans="1:17" ht="51" x14ac:dyDescent="0.2">
      <c r="A202" s="20" t="s">
        <v>184</v>
      </c>
      <c r="B202" s="9" t="str">
        <f t="shared" si="15"/>
        <v>Mortality rates from populations in TB compartment  Active and HIV compartment  PLHIV not on ART, CD4&gt;200 and gender compartment Male per year</v>
      </c>
      <c r="C202" s="8" t="s">
        <v>141</v>
      </c>
      <c r="D202" s="8" t="s">
        <v>142</v>
      </c>
      <c r="E202" s="8">
        <v>6</v>
      </c>
      <c r="G202" s="9">
        <v>2</v>
      </c>
      <c r="H202" s="9">
        <v>1</v>
      </c>
      <c r="J202" s="9" t="str">
        <f t="shared" si="17"/>
        <v>mu_6,2,1</v>
      </c>
      <c r="K202" s="9" t="s">
        <v>611</v>
      </c>
      <c r="L202" s="11">
        <f>L160*50</f>
        <v>0.16500000000000001</v>
      </c>
      <c r="O202" s="51"/>
      <c r="P202" s="52" t="s">
        <v>283</v>
      </c>
      <c r="Q202" s="53" t="s">
        <v>367</v>
      </c>
    </row>
    <row r="203" spans="1:17" ht="51" x14ac:dyDescent="0.2">
      <c r="A203" s="20" t="s">
        <v>185</v>
      </c>
      <c r="B203" s="9" t="str">
        <f t="shared" si="15"/>
        <v>Mortality rates from populations in TB compartment  Active and HIV compartment  PLHIV not on ART, CD4&gt;200 and gender compartment Female per year</v>
      </c>
      <c r="C203" s="8" t="s">
        <v>141</v>
      </c>
      <c r="D203" s="8" t="s">
        <v>142</v>
      </c>
      <c r="E203" s="8">
        <v>6</v>
      </c>
      <c r="G203" s="9">
        <v>2</v>
      </c>
      <c r="H203" s="9">
        <v>2</v>
      </c>
      <c r="J203" s="9" t="str">
        <f t="shared" si="17"/>
        <v>mu_6,2,2</v>
      </c>
      <c r="K203" s="9" t="s">
        <v>612</v>
      </c>
      <c r="L203" s="11">
        <f>L161*50</f>
        <v>9.5000000000000001E-2</v>
      </c>
      <c r="O203" s="51"/>
      <c r="P203" s="52" t="s">
        <v>283</v>
      </c>
      <c r="Q203" s="53" t="s">
        <v>367</v>
      </c>
    </row>
    <row r="204" spans="1:17" ht="51" x14ac:dyDescent="0.2">
      <c r="A204" s="20" t="s">
        <v>186</v>
      </c>
      <c r="B204" s="9" t="str">
        <f t="shared" si="15"/>
        <v>Mortality rates from populations in TB compartment  Active and HIV compartment  PLHIV not on ART, CD4≤200 and gender compartment Male per year</v>
      </c>
      <c r="C204" s="8" t="s">
        <v>141</v>
      </c>
      <c r="D204" s="8" t="s">
        <v>142</v>
      </c>
      <c r="E204" s="8">
        <v>6</v>
      </c>
      <c r="G204" s="9">
        <v>3</v>
      </c>
      <c r="H204" s="9">
        <v>1</v>
      </c>
      <c r="J204" s="9" t="str">
        <f t="shared" si="17"/>
        <v>mu_6,3,1</v>
      </c>
      <c r="K204" s="9" t="s">
        <v>613</v>
      </c>
      <c r="L204" s="11">
        <f>L160*100</f>
        <v>0.33</v>
      </c>
      <c r="O204" s="51"/>
      <c r="P204" s="52" t="s">
        <v>283</v>
      </c>
      <c r="Q204" s="53" t="s">
        <v>367</v>
      </c>
    </row>
    <row r="205" spans="1:17" ht="51" x14ac:dyDescent="0.2">
      <c r="A205" s="20" t="s">
        <v>187</v>
      </c>
      <c r="B205" s="9" t="str">
        <f t="shared" si="15"/>
        <v>Mortality rates from populations in TB compartment  Active and HIV compartment  PLHIV not on ART, CD4≤200 and gender compartment Female per year</v>
      </c>
      <c r="C205" s="8" t="s">
        <v>141</v>
      </c>
      <c r="D205" s="8" t="s">
        <v>142</v>
      </c>
      <c r="E205" s="8">
        <v>6</v>
      </c>
      <c r="G205" s="9">
        <v>3</v>
      </c>
      <c r="H205" s="9">
        <v>2</v>
      </c>
      <c r="J205" s="9" t="str">
        <f t="shared" si="17"/>
        <v>mu_6,3,2</v>
      </c>
      <c r="K205" s="9" t="s">
        <v>614</v>
      </c>
      <c r="L205" s="11">
        <f>L161*100</f>
        <v>0.19</v>
      </c>
      <c r="O205" s="51"/>
      <c r="P205" s="52" t="s">
        <v>283</v>
      </c>
      <c r="Q205" s="53" t="s">
        <v>367</v>
      </c>
    </row>
    <row r="206" spans="1:17" ht="48" x14ac:dyDescent="0.2">
      <c r="A206" s="20" t="s">
        <v>188</v>
      </c>
      <c r="B206" s="9" t="str">
        <f t="shared" si="15"/>
        <v>Mortality rates from populations in TB compartment  Active and HIV compartment  PLHIV and on ART and gender compartment Male per year</v>
      </c>
      <c r="C206" s="8" t="s">
        <v>141</v>
      </c>
      <c r="D206" s="8" t="s">
        <v>142</v>
      </c>
      <c r="E206" s="8">
        <v>6</v>
      </c>
      <c r="G206" s="9">
        <v>4</v>
      </c>
      <c r="H206" s="9">
        <v>1</v>
      </c>
      <c r="J206" s="9" t="str">
        <f t="shared" si="17"/>
        <v>mu_6,4,1</v>
      </c>
      <c r="K206" s="9" t="s">
        <v>615</v>
      </c>
      <c r="L206" s="11">
        <f>L160*30</f>
        <v>9.9000000000000005E-2</v>
      </c>
      <c r="O206" s="51"/>
      <c r="P206" s="52" t="s">
        <v>283</v>
      </c>
      <c r="Q206" s="53" t="s">
        <v>367</v>
      </c>
    </row>
    <row r="207" spans="1:17" ht="48" x14ac:dyDescent="0.2">
      <c r="A207" s="20" t="s">
        <v>189</v>
      </c>
      <c r="B207" s="9" t="str">
        <f t="shared" si="15"/>
        <v>Mortality rates from populations in TB compartment  Active and HIV compartment  PLHIV and on ART and gender compartment Female per year</v>
      </c>
      <c r="C207" s="8" t="s">
        <v>141</v>
      </c>
      <c r="D207" s="8" t="s">
        <v>142</v>
      </c>
      <c r="E207" s="8">
        <v>6</v>
      </c>
      <c r="G207" s="9">
        <v>4</v>
      </c>
      <c r="H207" s="9">
        <v>2</v>
      </c>
      <c r="J207" s="9" t="str">
        <f t="shared" si="17"/>
        <v>mu_6,4,2</v>
      </c>
      <c r="K207" s="9" t="s">
        <v>616</v>
      </c>
      <c r="L207" s="11">
        <f>L161*30</f>
        <v>5.7000000000000002E-2</v>
      </c>
      <c r="O207" s="51"/>
      <c r="P207" s="52" t="s">
        <v>283</v>
      </c>
      <c r="Q207" s="53" t="s">
        <v>367</v>
      </c>
    </row>
    <row r="208" spans="1:17" ht="48" x14ac:dyDescent="0.2">
      <c r="A208" s="20" t="s">
        <v>190</v>
      </c>
      <c r="B208" s="9" t="str">
        <f t="shared" si="15"/>
        <v>Mortality rates from populations in TB compartment  Recovered/Treated and HIV compartment  HIV-negative and gender compartment Male per year</v>
      </c>
      <c r="C208" s="8" t="s">
        <v>141</v>
      </c>
      <c r="D208" s="8" t="s">
        <v>142</v>
      </c>
      <c r="E208" s="8">
        <v>7</v>
      </c>
      <c r="G208" s="9">
        <v>1</v>
      </c>
      <c r="H208" s="9">
        <v>1</v>
      </c>
      <c r="J208" s="9" t="str">
        <f t="shared" si="17"/>
        <v>mu_7,1,1</v>
      </c>
      <c r="K208" s="9" t="s">
        <v>617</v>
      </c>
      <c r="L208" s="11">
        <f t="shared" ref="L208:L215" si="18">L160</f>
        <v>3.3E-3</v>
      </c>
      <c r="O208" s="51"/>
      <c r="P208" s="52" t="s">
        <v>273</v>
      </c>
      <c r="Q208" s="53" t="s">
        <v>367</v>
      </c>
    </row>
    <row r="209" spans="1:17" ht="48" x14ac:dyDescent="0.2">
      <c r="A209" s="20" t="s">
        <v>191</v>
      </c>
      <c r="B209" s="9" t="str">
        <f t="shared" si="15"/>
        <v>Mortality rates from populations in TB compartment  Recovered/Treated and HIV compartment  HIV-negative and gender compartment Female per year</v>
      </c>
      <c r="C209" s="8" t="s">
        <v>141</v>
      </c>
      <c r="D209" s="8" t="s">
        <v>142</v>
      </c>
      <c r="E209" s="8">
        <v>7</v>
      </c>
      <c r="G209" s="9">
        <v>1</v>
      </c>
      <c r="H209" s="9">
        <v>2</v>
      </c>
      <c r="J209" s="9" t="str">
        <f t="shared" si="17"/>
        <v>mu_7,1,2</v>
      </c>
      <c r="K209" s="9" t="s">
        <v>618</v>
      </c>
      <c r="L209" s="11">
        <f t="shared" si="18"/>
        <v>1.9E-3</v>
      </c>
      <c r="O209" s="51"/>
      <c r="P209" s="52" t="s">
        <v>273</v>
      </c>
      <c r="Q209" s="53" t="s">
        <v>367</v>
      </c>
    </row>
    <row r="210" spans="1:17" ht="51" x14ac:dyDescent="0.2">
      <c r="A210" s="20" t="s">
        <v>192</v>
      </c>
      <c r="B210" s="9" t="str">
        <f t="shared" si="15"/>
        <v>Mortality rates from populations in TB compartment  Recovered/Treated and HIV compartment  PLHIV not on ART, CD4&gt;200 and gender compartment Male per year</v>
      </c>
      <c r="C210" s="8" t="s">
        <v>141</v>
      </c>
      <c r="D210" s="8" t="s">
        <v>142</v>
      </c>
      <c r="E210" s="8">
        <v>7</v>
      </c>
      <c r="G210" s="9">
        <v>2</v>
      </c>
      <c r="H210" s="9">
        <v>1</v>
      </c>
      <c r="J210" s="9" t="str">
        <f t="shared" si="17"/>
        <v>mu_7,2,1</v>
      </c>
      <c r="K210" s="9" t="s">
        <v>619</v>
      </c>
      <c r="L210" s="11">
        <f t="shared" si="18"/>
        <v>1.6500000000000001E-2</v>
      </c>
      <c r="O210" s="51"/>
      <c r="P210" s="52" t="s">
        <v>277</v>
      </c>
      <c r="Q210" s="53" t="s">
        <v>367</v>
      </c>
    </row>
    <row r="211" spans="1:17" ht="51" x14ac:dyDescent="0.2">
      <c r="A211" s="20" t="s">
        <v>193</v>
      </c>
      <c r="B211" s="9" t="str">
        <f t="shared" si="15"/>
        <v>Mortality rates from populations in TB compartment  Recovered/Treated and HIV compartment  PLHIV not on ART, CD4&gt;200 and gender compartment Female per year</v>
      </c>
      <c r="C211" s="8" t="s">
        <v>141</v>
      </c>
      <c r="D211" s="8" t="s">
        <v>142</v>
      </c>
      <c r="E211" s="8">
        <v>7</v>
      </c>
      <c r="G211" s="9">
        <v>2</v>
      </c>
      <c r="H211" s="9">
        <v>2</v>
      </c>
      <c r="J211" s="9" t="str">
        <f t="shared" si="17"/>
        <v>mu_7,2,2</v>
      </c>
      <c r="K211" s="9" t="s">
        <v>620</v>
      </c>
      <c r="L211" s="11">
        <f t="shared" si="18"/>
        <v>9.4999999999999998E-3</v>
      </c>
      <c r="O211" s="51"/>
      <c r="P211" s="52" t="s">
        <v>277</v>
      </c>
      <c r="Q211" s="53" t="s">
        <v>367</v>
      </c>
    </row>
    <row r="212" spans="1:17" ht="51" x14ac:dyDescent="0.2">
      <c r="A212" s="20" t="s">
        <v>194</v>
      </c>
      <c r="B212" s="9" t="str">
        <f t="shared" si="15"/>
        <v>Mortality rates from populations in TB compartment  Recovered/Treated and HIV compartment  PLHIV not on ART, CD4≤200 and gender compartment Male per year</v>
      </c>
      <c r="C212" s="8" t="s">
        <v>141</v>
      </c>
      <c r="D212" s="8" t="s">
        <v>142</v>
      </c>
      <c r="E212" s="8">
        <v>7</v>
      </c>
      <c r="G212" s="9">
        <v>3</v>
      </c>
      <c r="H212" s="9">
        <v>1</v>
      </c>
      <c r="J212" s="9" t="str">
        <f t="shared" si="17"/>
        <v>mu_7,3,1</v>
      </c>
      <c r="K212" s="9" t="s">
        <v>621</v>
      </c>
      <c r="L212" s="11">
        <f t="shared" si="18"/>
        <v>3.3000000000000002E-2</v>
      </c>
      <c r="O212" s="51"/>
      <c r="P212" s="52" t="s">
        <v>278</v>
      </c>
      <c r="Q212" s="53" t="s">
        <v>367</v>
      </c>
    </row>
    <row r="213" spans="1:17" ht="51" x14ac:dyDescent="0.2">
      <c r="A213" s="20" t="s">
        <v>195</v>
      </c>
      <c r="B213" s="9" t="str">
        <f t="shared" si="15"/>
        <v>Mortality rates from populations in TB compartment  Recovered/Treated and HIV compartment  PLHIV not on ART, CD4≤200 and gender compartment Female per year</v>
      </c>
      <c r="C213" s="8" t="s">
        <v>141</v>
      </c>
      <c r="D213" s="8" t="s">
        <v>142</v>
      </c>
      <c r="E213" s="8">
        <v>7</v>
      </c>
      <c r="G213" s="9">
        <v>3</v>
      </c>
      <c r="H213" s="9">
        <v>2</v>
      </c>
      <c r="J213" s="9" t="str">
        <f t="shared" si="17"/>
        <v>mu_7,3,2</v>
      </c>
      <c r="K213" s="9" t="s">
        <v>622</v>
      </c>
      <c r="L213" s="11">
        <f t="shared" si="18"/>
        <v>1.9E-2</v>
      </c>
      <c r="O213" s="51"/>
      <c r="P213" s="52" t="s">
        <v>278</v>
      </c>
      <c r="Q213" s="53" t="s">
        <v>367</v>
      </c>
    </row>
    <row r="214" spans="1:17" ht="48" x14ac:dyDescent="0.2">
      <c r="A214" s="20" t="s">
        <v>196</v>
      </c>
      <c r="B214" s="9" t="str">
        <f t="shared" si="15"/>
        <v>Mortality rates from populations in TB compartment  Recovered/Treated and HIV compartment  PLHIV and on ART and gender compartment Male per year</v>
      </c>
      <c r="C214" s="8" t="s">
        <v>141</v>
      </c>
      <c r="D214" s="8" t="s">
        <v>142</v>
      </c>
      <c r="E214" s="8">
        <v>7</v>
      </c>
      <c r="G214" s="9">
        <v>4</v>
      </c>
      <c r="H214" s="9">
        <v>1</v>
      </c>
      <c r="J214" s="9" t="str">
        <f t="shared" si="17"/>
        <v>mu_7,4,1</v>
      </c>
      <c r="K214" s="9" t="s">
        <v>623</v>
      </c>
      <c r="L214" s="11">
        <f t="shared" si="18"/>
        <v>3.96E-3</v>
      </c>
      <c r="O214" s="51"/>
      <c r="P214" s="52" t="s">
        <v>279</v>
      </c>
      <c r="Q214" s="53" t="s">
        <v>367</v>
      </c>
    </row>
    <row r="215" spans="1:17" ht="48" x14ac:dyDescent="0.2">
      <c r="A215" s="20" t="s">
        <v>197</v>
      </c>
      <c r="B215" s="9" t="str">
        <f t="shared" si="15"/>
        <v>Mortality rates from populations in TB compartment  Recovered/Treated and HIV compartment  PLHIV and on ART and gender compartment Female per year</v>
      </c>
      <c r="C215" s="8" t="s">
        <v>141</v>
      </c>
      <c r="D215" s="8" t="s">
        <v>142</v>
      </c>
      <c r="E215" s="8">
        <v>7</v>
      </c>
      <c r="G215" s="9">
        <v>4</v>
      </c>
      <c r="H215" s="9">
        <v>2</v>
      </c>
      <c r="J215" s="9" t="str">
        <f t="shared" si="17"/>
        <v>mu_7,4,2</v>
      </c>
      <c r="K215" s="9" t="s">
        <v>624</v>
      </c>
      <c r="L215" s="11">
        <f t="shared" si="18"/>
        <v>2.2799999999999999E-3</v>
      </c>
      <c r="O215" s="51"/>
      <c r="P215" s="52" t="s">
        <v>279</v>
      </c>
      <c r="Q215" s="53" t="s">
        <v>367</v>
      </c>
    </row>
    <row r="216" spans="1:17" ht="48" x14ac:dyDescent="0.2">
      <c r="A216" s="20" t="s">
        <v>198</v>
      </c>
      <c r="B216" s="9" t="str">
        <f t="shared" si="15"/>
        <v>Mortality rates from populations in TB compartment  LTBI, after IPT and HIV compartment  HIV-negative and gender compartment Male per year</v>
      </c>
      <c r="C216" s="8" t="s">
        <v>141</v>
      </c>
      <c r="D216" s="8" t="s">
        <v>142</v>
      </c>
      <c r="E216" s="8">
        <v>8</v>
      </c>
      <c r="G216" s="9">
        <v>1</v>
      </c>
      <c r="H216" s="9">
        <v>1</v>
      </c>
      <c r="J216" s="9" t="str">
        <f t="shared" si="17"/>
        <v>mu_8,1,1</v>
      </c>
      <c r="K216" s="9" t="s">
        <v>625</v>
      </c>
      <c r="L216" s="11">
        <f t="shared" ref="L216:L223" si="19">L160</f>
        <v>3.3E-3</v>
      </c>
      <c r="O216" s="51"/>
      <c r="P216" s="52" t="s">
        <v>273</v>
      </c>
      <c r="Q216" s="53" t="s">
        <v>367</v>
      </c>
    </row>
    <row r="217" spans="1:17" ht="48" x14ac:dyDescent="0.2">
      <c r="A217" s="20" t="s">
        <v>199</v>
      </c>
      <c r="B217" s="9" t="str">
        <f t="shared" si="15"/>
        <v>Mortality rates from populations in TB compartment  LTBI, after IPT and HIV compartment  HIV-negative and gender compartment Female per year</v>
      </c>
      <c r="C217" s="8" t="s">
        <v>141</v>
      </c>
      <c r="D217" s="8" t="s">
        <v>142</v>
      </c>
      <c r="E217" s="8">
        <v>8</v>
      </c>
      <c r="G217" s="9">
        <v>1</v>
      </c>
      <c r="H217" s="9">
        <v>2</v>
      </c>
      <c r="J217" s="9" t="str">
        <f t="shared" si="17"/>
        <v>mu_8,1,2</v>
      </c>
      <c r="K217" s="9" t="s">
        <v>626</v>
      </c>
      <c r="L217" s="11">
        <f t="shared" si="19"/>
        <v>1.9E-3</v>
      </c>
      <c r="O217" s="51"/>
      <c r="P217" s="52" t="s">
        <v>273</v>
      </c>
      <c r="Q217" s="53" t="s">
        <v>367</v>
      </c>
    </row>
    <row r="218" spans="1:17" ht="51" x14ac:dyDescent="0.2">
      <c r="A218" s="20" t="s">
        <v>200</v>
      </c>
      <c r="B218" s="9" t="str">
        <f t="shared" si="15"/>
        <v>Mortality rates from populations in TB compartment  LTBI, after IPT and HIV compartment  PLHIV not on ART, CD4&gt;200 and gender compartment Male per year</v>
      </c>
      <c r="C218" s="8" t="s">
        <v>141</v>
      </c>
      <c r="D218" s="8" t="s">
        <v>142</v>
      </c>
      <c r="E218" s="8">
        <v>8</v>
      </c>
      <c r="G218" s="9">
        <v>2</v>
      </c>
      <c r="H218" s="9">
        <v>1</v>
      </c>
      <c r="J218" s="9" t="str">
        <f t="shared" si="17"/>
        <v>mu_8,2,1</v>
      </c>
      <c r="K218" s="9" t="s">
        <v>627</v>
      </c>
      <c r="L218" s="11">
        <f t="shared" si="19"/>
        <v>1.6500000000000001E-2</v>
      </c>
      <c r="O218" s="51"/>
      <c r="P218" s="52" t="s">
        <v>277</v>
      </c>
      <c r="Q218" s="53" t="s">
        <v>367</v>
      </c>
    </row>
    <row r="219" spans="1:17" ht="51" x14ac:dyDescent="0.2">
      <c r="A219" s="20" t="s">
        <v>201</v>
      </c>
      <c r="B219" s="9" t="str">
        <f t="shared" si="15"/>
        <v>Mortality rates from populations in TB compartment  LTBI, after IPT and HIV compartment  PLHIV not on ART, CD4&gt;200 and gender compartment Female per year</v>
      </c>
      <c r="C219" s="8" t="s">
        <v>141</v>
      </c>
      <c r="D219" s="8" t="s">
        <v>142</v>
      </c>
      <c r="E219" s="8">
        <v>8</v>
      </c>
      <c r="G219" s="9">
        <v>2</v>
      </c>
      <c r="H219" s="9">
        <v>2</v>
      </c>
      <c r="J219" s="9" t="str">
        <f t="shared" si="17"/>
        <v>mu_8,2,2</v>
      </c>
      <c r="K219" s="9" t="s">
        <v>628</v>
      </c>
      <c r="L219" s="11">
        <f t="shared" si="19"/>
        <v>9.4999999999999998E-3</v>
      </c>
      <c r="O219" s="51"/>
      <c r="P219" s="52" t="s">
        <v>277</v>
      </c>
      <c r="Q219" s="53" t="s">
        <v>367</v>
      </c>
    </row>
    <row r="220" spans="1:17" ht="51" x14ac:dyDescent="0.2">
      <c r="A220" s="20" t="s">
        <v>202</v>
      </c>
      <c r="B220" s="9" t="str">
        <f t="shared" si="15"/>
        <v>Mortality rates from populations in TB compartment  LTBI, after IPT and HIV compartment  PLHIV not on ART, CD4≤200 and gender compartment Male per year</v>
      </c>
      <c r="C220" s="8" t="s">
        <v>141</v>
      </c>
      <c r="D220" s="8" t="s">
        <v>142</v>
      </c>
      <c r="E220" s="8">
        <v>8</v>
      </c>
      <c r="G220" s="9">
        <v>3</v>
      </c>
      <c r="H220" s="9">
        <v>1</v>
      </c>
      <c r="J220" s="9" t="str">
        <f t="shared" si="17"/>
        <v>mu_8,3,1</v>
      </c>
      <c r="K220" s="9" t="s">
        <v>629</v>
      </c>
      <c r="L220" s="11">
        <f t="shared" si="19"/>
        <v>3.3000000000000002E-2</v>
      </c>
      <c r="O220" s="51"/>
      <c r="P220" s="52" t="s">
        <v>278</v>
      </c>
      <c r="Q220" s="53" t="s">
        <v>367</v>
      </c>
    </row>
    <row r="221" spans="1:17" ht="51" x14ac:dyDescent="0.2">
      <c r="A221" s="20" t="s">
        <v>203</v>
      </c>
      <c r="B221" s="9" t="str">
        <f t="shared" si="15"/>
        <v>Mortality rates from populations in TB compartment  LTBI, after IPT and HIV compartment  PLHIV not on ART, CD4≤200 and gender compartment Female per year</v>
      </c>
      <c r="C221" s="8" t="s">
        <v>141</v>
      </c>
      <c r="D221" s="8" t="s">
        <v>142</v>
      </c>
      <c r="E221" s="8">
        <v>8</v>
      </c>
      <c r="G221" s="9">
        <v>3</v>
      </c>
      <c r="H221" s="9">
        <v>2</v>
      </c>
      <c r="J221" s="9" t="str">
        <f t="shared" si="17"/>
        <v>mu_8,3,2</v>
      </c>
      <c r="K221" s="9" t="s">
        <v>630</v>
      </c>
      <c r="L221" s="11">
        <f t="shared" si="19"/>
        <v>1.9E-2</v>
      </c>
      <c r="O221" s="51"/>
      <c r="P221" s="52" t="s">
        <v>278</v>
      </c>
      <c r="Q221" s="53" t="s">
        <v>367</v>
      </c>
    </row>
    <row r="222" spans="1:17" ht="48" x14ac:dyDescent="0.2">
      <c r="A222" s="20" t="s">
        <v>204</v>
      </c>
      <c r="B222" s="9" t="str">
        <f t="shared" si="15"/>
        <v>Mortality rates from populations in TB compartment  LTBI, after IPT and HIV compartment  PLHIV and on ART and gender compartment Male per year</v>
      </c>
      <c r="C222" s="8" t="s">
        <v>141</v>
      </c>
      <c r="D222" s="8" t="s">
        <v>142</v>
      </c>
      <c r="E222" s="8">
        <v>8</v>
      </c>
      <c r="G222" s="9">
        <v>4</v>
      </c>
      <c r="H222" s="9">
        <v>1</v>
      </c>
      <c r="J222" s="9" t="str">
        <f t="shared" si="17"/>
        <v>mu_8,4,1</v>
      </c>
      <c r="K222" s="9" t="s">
        <v>631</v>
      </c>
      <c r="L222" s="11">
        <f t="shared" si="19"/>
        <v>3.96E-3</v>
      </c>
      <c r="O222" s="51"/>
      <c r="P222" s="52" t="s">
        <v>279</v>
      </c>
      <c r="Q222" s="53" t="s">
        <v>367</v>
      </c>
    </row>
    <row r="223" spans="1:17" ht="48" x14ac:dyDescent="0.2">
      <c r="A223" s="20" t="s">
        <v>205</v>
      </c>
      <c r="B223" s="9" t="str">
        <f t="shared" si="15"/>
        <v>Mortality rates from populations in TB compartment  LTBI, after IPT and HIV compartment  PLHIV and on ART and gender compartment Female per year</v>
      </c>
      <c r="C223" s="8" t="s">
        <v>141</v>
      </c>
      <c r="D223" s="8" t="s">
        <v>142</v>
      </c>
      <c r="E223" s="8">
        <v>8</v>
      </c>
      <c r="G223" s="9">
        <v>4</v>
      </c>
      <c r="H223" s="9">
        <v>2</v>
      </c>
      <c r="J223" s="9" t="str">
        <f t="shared" si="17"/>
        <v>mu_8,4,2</v>
      </c>
      <c r="K223" s="9" t="s">
        <v>632</v>
      </c>
      <c r="L223" s="11">
        <f t="shared" si="19"/>
        <v>2.2799999999999999E-3</v>
      </c>
      <c r="O223" s="51"/>
      <c r="P223" s="52" t="s">
        <v>279</v>
      </c>
      <c r="Q223" s="53" t="s">
        <v>367</v>
      </c>
    </row>
    <row r="224" spans="1:17" ht="48" x14ac:dyDescent="0.2">
      <c r="A224" s="11" t="s">
        <v>410</v>
      </c>
      <c r="C224" s="9" t="s">
        <v>412</v>
      </c>
      <c r="J224" s="9" t="s">
        <v>412</v>
      </c>
      <c r="K224" s="9" t="s">
        <v>412</v>
      </c>
      <c r="L224" s="11">
        <f>1/(60-15)</f>
        <v>2.2222222222222223E-2</v>
      </c>
      <c r="O224" s="51"/>
      <c r="P224" s="52" t="s">
        <v>638</v>
      </c>
      <c r="Q224" s="53" t="s">
        <v>367</v>
      </c>
    </row>
  </sheetData>
  <sortState xmlns:xlrd2="http://schemas.microsoft.com/office/spreadsheetml/2017/richdata2" ref="A2:Q224">
    <sortCondition ref="D2:D224"/>
    <sortCondition ref="C2:C224"/>
  </sortState>
  <hyperlinks>
    <hyperlink ref="O111" r:id="rId1" display="https://doi.org/10.1016/j.epidem.2017.12.001" xr:uid="{77CB643F-CD25-D241-919C-3DC7EAE81BFB}"/>
  </hyperlinks>
  <pageMargins left="0.7" right="0.7" top="0.75" bottom="0.75" header="0.3" footer="0.3"/>
  <pageSetup orientation="portrait"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4AF83-5BDA-B246-9A8F-C4F47C31E1D4}">
  <dimension ref="A1:R108"/>
  <sheetViews>
    <sheetView tabSelected="1" zoomScale="88" workbookViewId="0">
      <pane xSplit="1" ySplit="1" topLeftCell="F11" activePane="bottomRight" state="frozen"/>
      <selection pane="topRight" activeCell="B1" sqref="B1"/>
      <selection pane="bottomLeft" activeCell="A2" sqref="A2"/>
      <selection pane="bottomRight" activeCell="G27" sqref="G27"/>
    </sheetView>
  </sheetViews>
  <sheetFormatPr baseColWidth="10" defaultColWidth="8.83203125" defaultRowHeight="15" x14ac:dyDescent="0.2"/>
  <cols>
    <col min="1" max="1" width="32.33203125" style="1" customWidth="1"/>
    <col min="2" max="5" width="32.33203125" style="1" hidden="1" customWidth="1"/>
    <col min="6" max="6" width="13.33203125" style="1" customWidth="1"/>
    <col min="7" max="7" width="17.5" style="1" customWidth="1"/>
    <col min="8" max="8" width="17.83203125" style="1" customWidth="1"/>
    <col min="9" max="10" width="20.5" style="1" customWidth="1"/>
    <col min="11" max="11" width="29.5" customWidth="1"/>
    <col min="12" max="12" width="15.5" style="4" customWidth="1"/>
    <col min="13" max="16384" width="8.83203125" style="4"/>
  </cols>
  <sheetData>
    <row r="1" spans="1:12" s="3" customFormat="1" ht="48" x14ac:dyDescent="0.2">
      <c r="A1" s="2" t="s">
        <v>0</v>
      </c>
      <c r="B1" s="2" t="s">
        <v>311</v>
      </c>
      <c r="C1" s="2" t="s">
        <v>312</v>
      </c>
      <c r="D1" s="2" t="s">
        <v>313</v>
      </c>
      <c r="E1" s="2" t="s">
        <v>310</v>
      </c>
      <c r="F1" s="2" t="s">
        <v>206</v>
      </c>
      <c r="G1" s="2" t="s">
        <v>207</v>
      </c>
      <c r="H1" s="16" t="s">
        <v>11</v>
      </c>
      <c r="I1" s="17" t="s">
        <v>12</v>
      </c>
      <c r="J1" s="17" t="s">
        <v>208</v>
      </c>
      <c r="K1" s="12" t="s">
        <v>13</v>
      </c>
      <c r="L1" s="13" t="s">
        <v>14</v>
      </c>
    </row>
    <row r="2" spans="1:12" ht="17" x14ac:dyDescent="0.2">
      <c r="A2" s="63" t="s">
        <v>637</v>
      </c>
      <c r="B2" s="18"/>
      <c r="C2" s="18"/>
      <c r="D2" s="18"/>
      <c r="E2" s="18"/>
      <c r="F2" s="1" t="s">
        <v>239</v>
      </c>
      <c r="G2" s="49">
        <v>100000</v>
      </c>
    </row>
    <row r="3" spans="1:12" ht="51" x14ac:dyDescent="0.2">
      <c r="A3" s="63" t="s">
        <v>649</v>
      </c>
      <c r="B3" s="18"/>
      <c r="C3" s="18"/>
      <c r="D3" s="18"/>
      <c r="E3" s="18"/>
      <c r="F3" s="1" t="s">
        <v>424</v>
      </c>
      <c r="G3" s="19">
        <v>0.9</v>
      </c>
      <c r="K3" s="52" t="s">
        <v>653</v>
      </c>
      <c r="L3" s="4" t="s">
        <v>655</v>
      </c>
    </row>
    <row r="4" spans="1:12" ht="51" x14ac:dyDescent="0.2">
      <c r="A4" s="63" t="s">
        <v>650</v>
      </c>
      <c r="B4" s="18"/>
      <c r="C4" s="18"/>
      <c r="D4" s="18"/>
      <c r="E4" s="18"/>
      <c r="F4" s="1" t="s">
        <v>425</v>
      </c>
      <c r="G4" s="19">
        <v>0.6</v>
      </c>
      <c r="K4" s="52" t="s">
        <v>653</v>
      </c>
    </row>
    <row r="5" spans="1:12" ht="51" x14ac:dyDescent="0.2">
      <c r="A5" s="63" t="s">
        <v>651</v>
      </c>
      <c r="B5" s="18"/>
      <c r="C5" s="18"/>
      <c r="D5" s="18"/>
      <c r="E5" s="18"/>
      <c r="F5" s="1" t="s">
        <v>426</v>
      </c>
      <c r="G5" s="19">
        <v>0.9</v>
      </c>
      <c r="K5" s="52" t="s">
        <v>653</v>
      </c>
    </row>
    <row r="6" spans="1:12" ht="42.75" customHeight="1" x14ac:dyDescent="0.2">
      <c r="A6" s="18" t="s">
        <v>209</v>
      </c>
      <c r="B6" s="18"/>
      <c r="C6" s="18"/>
      <c r="D6" s="18"/>
      <c r="E6" s="18"/>
      <c r="F6" s="1" t="s">
        <v>210</v>
      </c>
      <c r="G6" s="1">
        <v>1.1000000000000001</v>
      </c>
    </row>
    <row r="7" spans="1:12" ht="38.25" customHeight="1" x14ac:dyDescent="0.2">
      <c r="A7" s="18" t="s">
        <v>209</v>
      </c>
      <c r="B7" s="18"/>
      <c r="C7" s="18"/>
      <c r="D7" s="18"/>
      <c r="E7" s="18"/>
      <c r="F7" s="1" t="s">
        <v>211</v>
      </c>
      <c r="G7" s="1">
        <v>1.2</v>
      </c>
    </row>
    <row r="8" spans="1:12" ht="17" x14ac:dyDescent="0.2">
      <c r="A8" s="18" t="s">
        <v>212</v>
      </c>
      <c r="B8" s="18"/>
      <c r="C8" s="18"/>
      <c r="D8" s="18"/>
      <c r="E8" s="18"/>
      <c r="F8" s="1" t="s">
        <v>213</v>
      </c>
      <c r="G8" s="30">
        <v>1</v>
      </c>
      <c r="L8" s="4" t="s">
        <v>291</v>
      </c>
    </row>
    <row r="9" spans="1:12" ht="17" x14ac:dyDescent="0.2">
      <c r="A9" s="24" t="s">
        <v>240</v>
      </c>
      <c r="B9" s="24"/>
      <c r="C9" s="24"/>
      <c r="D9" s="24"/>
      <c r="E9" s="24"/>
      <c r="G9" s="25">
        <v>100000</v>
      </c>
    </row>
    <row r="10" spans="1:12" ht="34" x14ac:dyDescent="0.2">
      <c r="A10" s="31" t="s">
        <v>292</v>
      </c>
      <c r="B10" s="31"/>
      <c r="C10" s="31"/>
      <c r="D10" s="32">
        <v>3</v>
      </c>
      <c r="E10" s="31">
        <v>1</v>
      </c>
      <c r="F10" s="1" t="s">
        <v>316</v>
      </c>
      <c r="G10" s="1">
        <f>G11</f>
        <v>0.17999999999999994</v>
      </c>
    </row>
    <row r="11" spans="1:12" ht="34" x14ac:dyDescent="0.2">
      <c r="A11" s="31" t="s">
        <v>293</v>
      </c>
      <c r="B11" s="31"/>
      <c r="C11" s="31"/>
      <c r="D11" s="31">
        <v>3</v>
      </c>
      <c r="E11" s="31">
        <v>2</v>
      </c>
      <c r="F11" s="1" t="s">
        <v>316</v>
      </c>
      <c r="G11" s="1">
        <f>1-G15-G13</f>
        <v>0.17999999999999994</v>
      </c>
      <c r="K11" t="s">
        <v>290</v>
      </c>
    </row>
    <row r="12" spans="1:12" ht="34" x14ac:dyDescent="0.2">
      <c r="A12" s="31" t="s">
        <v>294</v>
      </c>
      <c r="B12" s="31"/>
      <c r="C12" s="31"/>
      <c r="D12" s="31">
        <v>2</v>
      </c>
      <c r="E12" s="31">
        <v>1</v>
      </c>
      <c r="F12" s="1" t="s">
        <v>316</v>
      </c>
      <c r="G12" s="1">
        <v>0.55000000000000004</v>
      </c>
    </row>
    <row r="13" spans="1:12" ht="34" x14ac:dyDescent="0.2">
      <c r="A13" s="31" t="s">
        <v>295</v>
      </c>
      <c r="B13" s="31"/>
      <c r="C13" s="31"/>
      <c r="D13" s="31">
        <v>2</v>
      </c>
      <c r="E13" s="31">
        <v>2</v>
      </c>
      <c r="F13" s="1" t="s">
        <v>316</v>
      </c>
      <c r="G13" s="1">
        <v>0.55000000000000004</v>
      </c>
      <c r="K13" t="s">
        <v>290</v>
      </c>
    </row>
    <row r="14" spans="1:12" ht="17" x14ac:dyDescent="0.2">
      <c r="A14" s="31" t="s">
        <v>296</v>
      </c>
      <c r="B14" s="31"/>
      <c r="C14" s="31"/>
      <c r="D14" s="31">
        <v>4</v>
      </c>
      <c r="E14" s="31">
        <v>1</v>
      </c>
      <c r="F14" s="1" t="s">
        <v>316</v>
      </c>
      <c r="G14" s="1">
        <v>0.27</v>
      </c>
    </row>
    <row r="15" spans="1:12" ht="34" x14ac:dyDescent="0.2">
      <c r="A15" s="31" t="s">
        <v>297</v>
      </c>
      <c r="B15" s="31"/>
      <c r="C15" s="31"/>
      <c r="D15" s="31">
        <v>4</v>
      </c>
      <c r="E15" s="31">
        <v>2</v>
      </c>
      <c r="F15" s="1" t="s">
        <v>316</v>
      </c>
      <c r="G15" s="35">
        <v>0.27</v>
      </c>
      <c r="K15" t="s">
        <v>289</v>
      </c>
      <c r="L15" s="4" t="s">
        <v>288</v>
      </c>
    </row>
    <row r="16" spans="1:12" ht="17" x14ac:dyDescent="0.2">
      <c r="A16" s="36" t="s">
        <v>321</v>
      </c>
      <c r="B16" s="31"/>
      <c r="C16" s="31"/>
      <c r="D16" s="31">
        <v>1</v>
      </c>
      <c r="E16" s="31">
        <v>1</v>
      </c>
      <c r="F16" s="1" t="s">
        <v>316</v>
      </c>
      <c r="G16" s="35">
        <v>0.7</v>
      </c>
    </row>
    <row r="17" spans="1:11" ht="17" x14ac:dyDescent="0.2">
      <c r="A17" s="32" t="s">
        <v>318</v>
      </c>
      <c r="B17" s="31"/>
      <c r="C17" s="31"/>
      <c r="D17" s="31"/>
      <c r="E17" s="31"/>
      <c r="F17" s="1" t="s">
        <v>316</v>
      </c>
      <c r="G17" s="35">
        <v>0.3</v>
      </c>
    </row>
    <row r="18" spans="1:11" ht="34" x14ac:dyDescent="0.2">
      <c r="A18" s="31" t="s">
        <v>298</v>
      </c>
      <c r="B18" s="32" t="s">
        <v>314</v>
      </c>
      <c r="C18" s="31"/>
      <c r="D18" s="31">
        <v>1</v>
      </c>
      <c r="E18" s="31">
        <v>1</v>
      </c>
      <c r="F18" s="1" t="s">
        <v>316</v>
      </c>
      <c r="G18" s="35">
        <v>0.5</v>
      </c>
      <c r="K18" t="s">
        <v>301</v>
      </c>
    </row>
    <row r="19" spans="1:11" ht="34" x14ac:dyDescent="0.2">
      <c r="A19" s="31" t="s">
        <v>299</v>
      </c>
      <c r="B19" s="32" t="s">
        <v>314</v>
      </c>
      <c r="C19" s="31"/>
      <c r="D19" s="31">
        <v>1</v>
      </c>
      <c r="E19" s="31">
        <v>2</v>
      </c>
      <c r="F19" s="1" t="s">
        <v>316</v>
      </c>
      <c r="G19" s="1">
        <v>0.5</v>
      </c>
      <c r="K19" t="s">
        <v>301</v>
      </c>
    </row>
    <row r="20" spans="1:11" ht="17" x14ac:dyDescent="0.2">
      <c r="A20" s="31" t="s">
        <v>304</v>
      </c>
      <c r="B20" s="32" t="s">
        <v>315</v>
      </c>
      <c r="C20" s="31"/>
      <c r="D20" s="31">
        <v>1</v>
      </c>
      <c r="E20" s="31">
        <v>1</v>
      </c>
      <c r="F20" s="1" t="s">
        <v>316</v>
      </c>
      <c r="G20" s="1">
        <f>G21</f>
        <v>0.49</v>
      </c>
    </row>
    <row r="21" spans="1:11" ht="17" x14ac:dyDescent="0.2">
      <c r="A21" s="31" t="s">
        <v>308</v>
      </c>
      <c r="B21" s="32" t="s">
        <v>315</v>
      </c>
      <c r="C21" s="31"/>
      <c r="D21" s="31">
        <v>1</v>
      </c>
      <c r="E21" s="31">
        <v>2</v>
      </c>
      <c r="F21" s="1" t="s">
        <v>316</v>
      </c>
      <c r="G21" s="1">
        <f>1-G18-G24</f>
        <v>0.49</v>
      </c>
    </row>
    <row r="22" spans="1:11" ht="34" x14ac:dyDescent="0.2">
      <c r="A22" s="67" t="s">
        <v>306</v>
      </c>
      <c r="B22" s="32" t="s">
        <v>315</v>
      </c>
      <c r="C22" s="31"/>
      <c r="D22" s="32" t="s">
        <v>317</v>
      </c>
      <c r="E22" s="31">
        <v>1</v>
      </c>
      <c r="F22" s="1" t="s">
        <v>316</v>
      </c>
      <c r="G22" s="1">
        <v>0.5</v>
      </c>
      <c r="K22" t="s">
        <v>305</v>
      </c>
    </row>
    <row r="23" spans="1:11" ht="34" x14ac:dyDescent="0.2">
      <c r="A23" s="67" t="s">
        <v>307</v>
      </c>
      <c r="B23" s="32" t="s">
        <v>315</v>
      </c>
      <c r="C23" s="31"/>
      <c r="D23" s="32" t="s">
        <v>317</v>
      </c>
      <c r="E23" s="31">
        <v>2</v>
      </c>
      <c r="F23" s="1" t="s">
        <v>316</v>
      </c>
      <c r="G23" s="1">
        <v>0.5</v>
      </c>
    </row>
    <row r="24" spans="1:11" ht="17" x14ac:dyDescent="0.2">
      <c r="A24" s="31" t="s">
        <v>300</v>
      </c>
      <c r="B24" s="31">
        <v>6</v>
      </c>
      <c r="C24" s="31"/>
      <c r="D24" s="31">
        <v>1</v>
      </c>
      <c r="E24" s="31">
        <v>1</v>
      </c>
      <c r="F24" s="1" t="s">
        <v>316</v>
      </c>
      <c r="G24" s="1">
        <v>0.01</v>
      </c>
    </row>
    <row r="25" spans="1:11" ht="17" x14ac:dyDescent="0.2">
      <c r="A25" s="31" t="s">
        <v>309</v>
      </c>
      <c r="B25" s="31">
        <v>6</v>
      </c>
      <c r="C25" s="31"/>
      <c r="D25" s="31">
        <v>1</v>
      </c>
      <c r="E25" s="31">
        <v>2</v>
      </c>
      <c r="F25" s="1" t="s">
        <v>316</v>
      </c>
      <c r="G25" s="1">
        <v>0.01</v>
      </c>
    </row>
    <row r="26" spans="1:11" ht="34" x14ac:dyDescent="0.2">
      <c r="A26" s="67" t="s">
        <v>302</v>
      </c>
      <c r="B26" s="31">
        <v>6</v>
      </c>
      <c r="C26" s="31"/>
      <c r="D26" s="32" t="s">
        <v>317</v>
      </c>
      <c r="E26" s="31">
        <v>1</v>
      </c>
      <c r="F26" s="1" t="s">
        <v>316</v>
      </c>
      <c r="G26" s="1">
        <v>0.6</v>
      </c>
    </row>
    <row r="27" spans="1:11" ht="34" x14ac:dyDescent="0.2">
      <c r="A27" s="67" t="s">
        <v>303</v>
      </c>
      <c r="B27" s="31">
        <v>6</v>
      </c>
      <c r="C27" s="31"/>
      <c r="D27" s="32" t="s">
        <v>317</v>
      </c>
      <c r="E27" s="31">
        <v>2</v>
      </c>
      <c r="F27" s="1" t="s">
        <v>316</v>
      </c>
      <c r="G27" s="1">
        <v>0.8</v>
      </c>
    </row>
    <row r="28" spans="1:11" ht="34" x14ac:dyDescent="0.2">
      <c r="A28" s="69" t="s">
        <v>665</v>
      </c>
      <c r="B28" s="31"/>
      <c r="C28" s="31"/>
      <c r="D28" s="32"/>
      <c r="E28" s="31"/>
      <c r="F28" s="1" t="s">
        <v>316</v>
      </c>
      <c r="G28" s="1">
        <f>1-G26</f>
        <v>0.4</v>
      </c>
    </row>
    <row r="29" spans="1:11" ht="34" x14ac:dyDescent="0.2">
      <c r="A29" s="69" t="s">
        <v>666</v>
      </c>
      <c r="B29" s="31"/>
      <c r="C29" s="31"/>
      <c r="D29" s="32"/>
      <c r="E29" s="31"/>
      <c r="F29" s="1" t="s">
        <v>316</v>
      </c>
      <c r="G29" s="1">
        <f>1-G27</f>
        <v>0.19999999999999996</v>
      </c>
    </row>
    <row r="30" spans="1:11" ht="17" x14ac:dyDescent="0.2">
      <c r="A30" s="66" t="s">
        <v>660</v>
      </c>
      <c r="B30" s="31"/>
      <c r="C30" s="31"/>
      <c r="D30" s="32"/>
      <c r="E30" s="31"/>
      <c r="F30" s="30" t="s">
        <v>316</v>
      </c>
      <c r="G30" s="30">
        <v>0.4</v>
      </c>
    </row>
    <row r="31" spans="1:11" ht="17" x14ac:dyDescent="0.2">
      <c r="A31" s="66" t="s">
        <v>661</v>
      </c>
      <c r="B31" s="31"/>
      <c r="C31" s="31"/>
      <c r="D31" s="32"/>
      <c r="E31" s="31"/>
      <c r="F31" s="30" t="s">
        <v>316</v>
      </c>
      <c r="G31" s="30">
        <v>0.5</v>
      </c>
    </row>
    <row r="32" spans="1:11" ht="17" x14ac:dyDescent="0.2">
      <c r="A32" s="66" t="s">
        <v>664</v>
      </c>
      <c r="B32" s="31"/>
      <c r="C32" s="31"/>
      <c r="D32" s="32"/>
      <c r="E32" s="31"/>
      <c r="F32" s="30" t="s">
        <v>316</v>
      </c>
      <c r="G32" s="30">
        <v>0.1</v>
      </c>
    </row>
    <row r="33" spans="1:13" ht="17" x14ac:dyDescent="0.2">
      <c r="A33" s="66" t="s">
        <v>662</v>
      </c>
      <c r="B33" s="31"/>
      <c r="C33" s="31"/>
      <c r="D33" s="32"/>
      <c r="E33" s="31"/>
      <c r="F33" s="30" t="s">
        <v>316</v>
      </c>
      <c r="G33" s="30">
        <v>0.8</v>
      </c>
    </row>
    <row r="34" spans="1:13" ht="17" x14ac:dyDescent="0.2">
      <c r="A34" s="66" t="s">
        <v>663</v>
      </c>
      <c r="B34" s="31"/>
      <c r="C34" s="31"/>
      <c r="D34" s="32"/>
      <c r="E34" s="31"/>
      <c r="F34" s="30" t="s">
        <v>316</v>
      </c>
      <c r="G34" s="30">
        <v>0.2</v>
      </c>
    </row>
    <row r="35" spans="1:13" ht="34" x14ac:dyDescent="0.2">
      <c r="A35" s="26" t="s">
        <v>241</v>
      </c>
      <c r="B35" s="26"/>
      <c r="C35" s="26"/>
      <c r="D35" s="26"/>
      <c r="E35" s="26"/>
      <c r="G35">
        <v>667.69125159867303</v>
      </c>
      <c r="H35">
        <v>621.91596160486597</v>
      </c>
      <c r="I35">
        <v>725.80082818748997</v>
      </c>
      <c r="J35" s="1" t="s">
        <v>242</v>
      </c>
      <c r="K35" t="s">
        <v>244</v>
      </c>
      <c r="L35" s="28" t="s">
        <v>243</v>
      </c>
      <c r="M35" s="4" t="s">
        <v>261</v>
      </c>
    </row>
    <row r="36" spans="1:13" ht="34" x14ac:dyDescent="0.2">
      <c r="A36" s="26" t="s">
        <v>245</v>
      </c>
      <c r="B36" s="26"/>
      <c r="C36" s="26"/>
      <c r="D36" s="26"/>
      <c r="E36" s="26"/>
      <c r="G36">
        <v>487.71837360315601</v>
      </c>
      <c r="H36">
        <v>436.91669589439499</v>
      </c>
      <c r="I36">
        <v>556.03760119042602</v>
      </c>
      <c r="J36" s="1" t="s">
        <v>242</v>
      </c>
      <c r="K36" t="s">
        <v>244</v>
      </c>
      <c r="L36" s="28" t="s">
        <v>243</v>
      </c>
    </row>
    <row r="37" spans="1:13" ht="34" x14ac:dyDescent="0.2">
      <c r="A37" s="26" t="s">
        <v>251</v>
      </c>
      <c r="B37" s="26"/>
      <c r="C37" s="26"/>
      <c r="D37" s="26"/>
      <c r="E37" s="26"/>
      <c r="G37">
        <v>353.97451428615199</v>
      </c>
      <c r="H37">
        <v>298.14022379823899</v>
      </c>
      <c r="I37">
        <v>421.02666012590601</v>
      </c>
      <c r="J37" s="1" t="s">
        <v>242</v>
      </c>
      <c r="K37" t="s">
        <v>244</v>
      </c>
      <c r="L37" s="28" t="s">
        <v>252</v>
      </c>
    </row>
    <row r="38" spans="1:13" ht="34" x14ac:dyDescent="0.2">
      <c r="A38" s="26" t="s">
        <v>251</v>
      </c>
      <c r="B38" s="26"/>
      <c r="C38" s="26"/>
      <c r="D38" s="26"/>
      <c r="E38" s="26"/>
      <c r="G38">
        <v>328.28962708281801</v>
      </c>
      <c r="H38">
        <v>275.75168655442201</v>
      </c>
      <c r="I38">
        <v>397.64813504226203</v>
      </c>
      <c r="J38" s="1" t="s">
        <v>242</v>
      </c>
      <c r="K38" t="s">
        <v>244</v>
      </c>
      <c r="L38" s="28" t="s">
        <v>252</v>
      </c>
    </row>
    <row r="39" spans="1:13" ht="51" x14ac:dyDescent="0.2">
      <c r="A39" s="26" t="s">
        <v>246</v>
      </c>
      <c r="B39" s="26"/>
      <c r="C39" s="26"/>
      <c r="D39" s="26"/>
      <c r="E39" s="26"/>
      <c r="G39">
        <v>270.29685912212301</v>
      </c>
      <c r="H39">
        <v>206.97423329835701</v>
      </c>
      <c r="I39">
        <v>343.91638639716899</v>
      </c>
      <c r="J39" s="1" t="s">
        <v>242</v>
      </c>
      <c r="K39" t="s">
        <v>244</v>
      </c>
      <c r="L39" s="28" t="s">
        <v>247</v>
      </c>
    </row>
    <row r="40" spans="1:13" ht="51" x14ac:dyDescent="0.2">
      <c r="A40" s="26" t="s">
        <v>248</v>
      </c>
      <c r="B40" s="26"/>
      <c r="C40" s="26"/>
      <c r="D40" s="26"/>
      <c r="E40" s="26"/>
      <c r="G40">
        <v>264.93621874887299</v>
      </c>
      <c r="H40">
        <v>205.62683179700201</v>
      </c>
      <c r="I40">
        <v>339.17910941088098</v>
      </c>
      <c r="J40" s="1" t="s">
        <v>242</v>
      </c>
      <c r="K40" t="s">
        <v>244</v>
      </c>
      <c r="L40" s="28" t="s">
        <v>247</v>
      </c>
    </row>
    <row r="41" spans="1:13" ht="51" x14ac:dyDescent="0.2">
      <c r="A41" s="26" t="s">
        <v>249</v>
      </c>
      <c r="B41" s="26"/>
      <c r="C41" s="26"/>
      <c r="D41" s="26"/>
      <c r="E41" s="26"/>
      <c r="G41">
        <v>76.970274789631006</v>
      </c>
      <c r="H41">
        <v>48.421027847361103</v>
      </c>
      <c r="I41">
        <v>109.456440346139</v>
      </c>
      <c r="J41" s="1" t="s">
        <v>242</v>
      </c>
      <c r="K41" t="s">
        <v>244</v>
      </c>
      <c r="L41" s="28" t="s">
        <v>253</v>
      </c>
    </row>
    <row r="42" spans="1:13" ht="51" x14ac:dyDescent="0.2">
      <c r="A42" s="26" t="s">
        <v>250</v>
      </c>
      <c r="B42" s="26"/>
      <c r="C42" s="26"/>
      <c r="D42" s="26"/>
      <c r="E42" s="26"/>
      <c r="G42">
        <v>58.460988902228898</v>
      </c>
      <c r="H42">
        <v>34.611741515461397</v>
      </c>
      <c r="I42">
        <v>87.602923512240494</v>
      </c>
      <c r="J42" s="1" t="s">
        <v>242</v>
      </c>
      <c r="K42" t="s">
        <v>244</v>
      </c>
      <c r="L42" s="28" t="s">
        <v>253</v>
      </c>
    </row>
    <row r="43" spans="1:13" ht="34" x14ac:dyDescent="0.2">
      <c r="A43" s="26" t="s">
        <v>254</v>
      </c>
      <c r="B43" s="26"/>
      <c r="C43" s="26"/>
      <c r="D43" s="26"/>
      <c r="E43" s="26"/>
      <c r="G43">
        <v>6.5950565310523803</v>
      </c>
      <c r="H43">
        <v>2.67155063488859</v>
      </c>
      <c r="I43">
        <v>13.136486160221301</v>
      </c>
      <c r="J43" s="1" t="s">
        <v>242</v>
      </c>
      <c r="K43" t="s">
        <v>244</v>
      </c>
      <c r="L43" s="28" t="s">
        <v>256</v>
      </c>
    </row>
    <row r="44" spans="1:13" ht="34" x14ac:dyDescent="0.2">
      <c r="A44" s="26" t="s">
        <v>255</v>
      </c>
      <c r="B44" s="26"/>
      <c r="C44" s="26"/>
      <c r="D44" s="26"/>
      <c r="E44" s="26"/>
      <c r="G44">
        <v>4.8104961798478998</v>
      </c>
      <c r="H44">
        <v>1.8525923964359301</v>
      </c>
      <c r="I44">
        <v>10.096949019498</v>
      </c>
      <c r="J44" s="1" t="s">
        <v>242</v>
      </c>
      <c r="K44" t="s">
        <v>244</v>
      </c>
      <c r="L44" s="28" t="s">
        <v>256</v>
      </c>
    </row>
    <row r="45" spans="1:13" ht="34" x14ac:dyDescent="0.2">
      <c r="A45" s="26" t="s">
        <v>257</v>
      </c>
      <c r="B45" s="26"/>
      <c r="C45" s="26"/>
      <c r="D45" s="26"/>
      <c r="E45" s="26"/>
      <c r="G45">
        <v>0.112323843345287</v>
      </c>
      <c r="H45">
        <v>4.5985772535474097E-2</v>
      </c>
      <c r="I45">
        <v>0.22960163575013601</v>
      </c>
      <c r="J45" s="1" t="s">
        <v>242</v>
      </c>
      <c r="K45" t="s">
        <v>244</v>
      </c>
      <c r="L45" s="28" t="s">
        <v>259</v>
      </c>
    </row>
    <row r="46" spans="1:13" ht="34" x14ac:dyDescent="0.2">
      <c r="A46" s="26" t="s">
        <v>258</v>
      </c>
      <c r="B46" s="26"/>
      <c r="C46" s="26"/>
      <c r="D46" s="26"/>
      <c r="E46" s="26"/>
      <c r="G46">
        <v>8.1923251867938002E-2</v>
      </c>
      <c r="H46">
        <v>3.1924496573431098E-2</v>
      </c>
      <c r="I46">
        <v>0.17543715890676301</v>
      </c>
      <c r="J46" s="1" t="s">
        <v>242</v>
      </c>
      <c r="K46" t="s">
        <v>244</v>
      </c>
      <c r="L46" s="28" t="s">
        <v>259</v>
      </c>
    </row>
    <row r="47" spans="1:13" ht="34" x14ac:dyDescent="0.2">
      <c r="A47" s="26" t="s">
        <v>260</v>
      </c>
      <c r="B47" s="26"/>
      <c r="C47" s="26"/>
      <c r="D47" s="26"/>
      <c r="E47" s="26"/>
      <c r="G47">
        <v>32.781908989999998</v>
      </c>
      <c r="H47">
        <v>29.630786910000001</v>
      </c>
      <c r="I47">
        <v>36.915591910000003</v>
      </c>
      <c r="J47" s="1" t="s">
        <v>242</v>
      </c>
      <c r="K47" t="s">
        <v>244</v>
      </c>
      <c r="L47" s="28" t="s">
        <v>266</v>
      </c>
    </row>
    <row r="48" spans="1:13" ht="34" x14ac:dyDescent="0.2">
      <c r="A48" s="26" t="s">
        <v>270</v>
      </c>
      <c r="B48" s="26"/>
      <c r="C48" s="26"/>
      <c r="D48" s="26"/>
      <c r="E48" s="26"/>
      <c r="G48">
        <v>15.92630484</v>
      </c>
      <c r="H48">
        <v>13.86750552</v>
      </c>
      <c r="I48">
        <v>18.053657309999998</v>
      </c>
      <c r="J48" s="1" t="s">
        <v>242</v>
      </c>
      <c r="K48" t="s">
        <v>244</v>
      </c>
      <c r="L48" s="28" t="s">
        <v>266</v>
      </c>
    </row>
    <row r="49" spans="1:18" ht="51" x14ac:dyDescent="0.2">
      <c r="A49" s="26" t="s">
        <v>262</v>
      </c>
      <c r="B49" s="26"/>
      <c r="C49" s="26"/>
      <c r="D49" s="26"/>
      <c r="E49" s="26"/>
      <c r="G49">
        <v>30.619318209999999</v>
      </c>
      <c r="H49">
        <v>27.03644954</v>
      </c>
      <c r="I49">
        <v>34.821362049999998</v>
      </c>
      <c r="J49" s="1" t="s">
        <v>242</v>
      </c>
      <c r="K49" t="s">
        <v>244</v>
      </c>
      <c r="L49" s="28" t="s">
        <v>267</v>
      </c>
    </row>
    <row r="50" spans="1:18" ht="51" x14ac:dyDescent="0.2">
      <c r="A50" s="26" t="s">
        <v>264</v>
      </c>
      <c r="B50" s="26"/>
      <c r="C50" s="26"/>
      <c r="D50" s="26"/>
      <c r="E50" s="26"/>
      <c r="G50">
        <v>14.90405754</v>
      </c>
      <c r="H50">
        <v>12.80162367</v>
      </c>
      <c r="I50">
        <v>17.08584523</v>
      </c>
      <c r="J50" s="1" t="s">
        <v>242</v>
      </c>
      <c r="K50" t="s">
        <v>244</v>
      </c>
      <c r="L50" s="28" t="s">
        <v>267</v>
      </c>
    </row>
    <row r="51" spans="1:18" ht="34" x14ac:dyDescent="0.2">
      <c r="A51" s="26" t="s">
        <v>263</v>
      </c>
      <c r="B51" s="26"/>
      <c r="C51" s="26"/>
      <c r="D51" s="26"/>
      <c r="E51" s="26"/>
      <c r="G51">
        <v>2.1263778709999999</v>
      </c>
      <c r="H51">
        <v>0.99031739500000004</v>
      </c>
      <c r="I51">
        <v>3.7960577139999998</v>
      </c>
      <c r="J51" s="1" t="s">
        <v>242</v>
      </c>
      <c r="K51" t="s">
        <v>244</v>
      </c>
      <c r="L51" s="28" t="s">
        <v>268</v>
      </c>
    </row>
    <row r="52" spans="1:18" ht="34" x14ac:dyDescent="0.2">
      <c r="A52" s="26" t="s">
        <v>271</v>
      </c>
      <c r="B52" s="26"/>
      <c r="C52" s="26"/>
      <c r="D52" s="26"/>
      <c r="E52" s="26"/>
      <c r="G52">
        <v>1.0051327029999999</v>
      </c>
      <c r="H52">
        <v>0.49495520500000001</v>
      </c>
      <c r="I52">
        <v>1.8558520039999999</v>
      </c>
      <c r="J52" s="1" t="s">
        <v>242</v>
      </c>
      <c r="K52" t="s">
        <v>244</v>
      </c>
      <c r="L52" s="28" t="s">
        <v>268</v>
      </c>
    </row>
    <row r="53" spans="1:18" ht="34" x14ac:dyDescent="0.2">
      <c r="A53" s="26" t="s">
        <v>265</v>
      </c>
      <c r="B53" s="26"/>
      <c r="C53" s="26"/>
      <c r="D53" s="26"/>
      <c r="E53" s="26"/>
      <c r="G53">
        <v>3.6212901999999998E-2</v>
      </c>
      <c r="H53">
        <v>1.7022888999999999E-2</v>
      </c>
      <c r="I53">
        <v>6.5484691999999997E-2</v>
      </c>
      <c r="J53" s="1" t="s">
        <v>242</v>
      </c>
      <c r="K53" t="s">
        <v>244</v>
      </c>
      <c r="L53" s="28" t="s">
        <v>269</v>
      </c>
    </row>
    <row r="54" spans="1:18" ht="34" x14ac:dyDescent="0.2">
      <c r="A54" s="26" t="s">
        <v>272</v>
      </c>
      <c r="B54" s="26"/>
      <c r="C54" s="26"/>
      <c r="D54" s="26"/>
      <c r="E54" s="26"/>
      <c r="G54">
        <v>1.7114595999999999E-2</v>
      </c>
      <c r="H54">
        <v>8.2082219999999994E-3</v>
      </c>
      <c r="I54">
        <v>3.1991639000000002E-2</v>
      </c>
      <c r="J54" s="1" t="s">
        <v>242</v>
      </c>
      <c r="K54" t="s">
        <v>244</v>
      </c>
      <c r="L54" s="28" t="s">
        <v>269</v>
      </c>
    </row>
    <row r="55" spans="1:18" ht="34" x14ac:dyDescent="0.2">
      <c r="A55" s="20" t="s">
        <v>20</v>
      </c>
      <c r="B55" s="18"/>
      <c r="C55" s="18"/>
      <c r="D55" s="18"/>
      <c r="E55" s="18"/>
      <c r="G55" s="1">
        <f>model_matched_parameters!L11</f>
        <v>3.6999999999999998E-2</v>
      </c>
    </row>
    <row r="56" spans="1:18" ht="34" x14ac:dyDescent="0.2">
      <c r="A56" s="68" t="s">
        <v>23</v>
      </c>
      <c r="B56" s="18"/>
      <c r="C56" s="18"/>
      <c r="D56" s="18"/>
      <c r="E56" s="18"/>
      <c r="G56" s="1">
        <f>model_matched_parameters!L12</f>
        <v>3.6999999999999998E-2</v>
      </c>
    </row>
    <row r="57" spans="1:18" ht="16" x14ac:dyDescent="0.2">
      <c r="A57" s="18"/>
      <c r="B57" s="18"/>
      <c r="C57" s="18"/>
      <c r="D57" s="18"/>
      <c r="E57" s="18"/>
    </row>
    <row r="58" spans="1:18" ht="16" x14ac:dyDescent="0.2">
      <c r="A58" s="18"/>
      <c r="B58" s="18"/>
      <c r="C58" s="18"/>
      <c r="D58" s="18"/>
      <c r="E58" s="18"/>
      <c r="G58" s="4"/>
      <c r="H58" s="21"/>
      <c r="I58" s="8"/>
      <c r="J58" s="8"/>
      <c r="K58" s="8"/>
      <c r="L58" s="9"/>
      <c r="M58" s="9"/>
      <c r="N58" s="9"/>
      <c r="O58" s="9"/>
      <c r="P58" s="9"/>
      <c r="Q58" s="9"/>
      <c r="R58" s="9"/>
    </row>
    <row r="59" spans="1:18" ht="16" x14ac:dyDescent="0.2">
      <c r="A59" s="18"/>
      <c r="B59" s="18"/>
      <c r="C59" s="18"/>
      <c r="D59" s="18"/>
      <c r="E59" s="18"/>
    </row>
    <row r="60" spans="1:18" ht="16" x14ac:dyDescent="0.2">
      <c r="A60" s="18"/>
      <c r="B60" s="18"/>
      <c r="C60" s="18"/>
      <c r="D60" s="18"/>
      <c r="E60" s="18"/>
    </row>
    <row r="61" spans="1:18" ht="16" x14ac:dyDescent="0.2">
      <c r="A61" s="18"/>
      <c r="B61" s="18"/>
      <c r="C61" s="18"/>
      <c r="D61" s="18"/>
      <c r="E61" s="18"/>
    </row>
    <row r="62" spans="1:18" ht="16" x14ac:dyDescent="0.2">
      <c r="A62" s="18"/>
      <c r="B62" s="18"/>
      <c r="C62" s="18"/>
      <c r="D62" s="18"/>
      <c r="E62" s="18"/>
    </row>
    <row r="63" spans="1:18" ht="16" x14ac:dyDescent="0.2">
      <c r="A63" s="18"/>
      <c r="B63" s="18"/>
      <c r="C63" s="18"/>
      <c r="D63" s="18"/>
      <c r="E63" s="18"/>
    </row>
    <row r="64" spans="1:18" ht="16" x14ac:dyDescent="0.2">
      <c r="A64" s="18"/>
      <c r="B64" s="18"/>
      <c r="C64" s="18"/>
      <c r="D64" s="18"/>
      <c r="E64" s="18"/>
    </row>
    <row r="65" spans="1:5" ht="16" x14ac:dyDescent="0.2">
      <c r="A65" s="18"/>
      <c r="B65" s="18"/>
      <c r="C65" s="18"/>
      <c r="D65" s="18"/>
      <c r="E65" s="18"/>
    </row>
    <row r="66" spans="1:5" ht="16" x14ac:dyDescent="0.2">
      <c r="A66" s="18"/>
      <c r="B66" s="18"/>
      <c r="C66" s="18"/>
      <c r="D66" s="18"/>
      <c r="E66" s="18"/>
    </row>
    <row r="67" spans="1:5" ht="16" x14ac:dyDescent="0.2">
      <c r="A67" s="18"/>
      <c r="B67" s="18"/>
      <c r="C67" s="18"/>
      <c r="D67" s="18"/>
      <c r="E67" s="18"/>
    </row>
    <row r="68" spans="1:5" ht="16" x14ac:dyDescent="0.2">
      <c r="A68" s="18"/>
      <c r="B68" s="18"/>
      <c r="C68" s="18"/>
      <c r="D68" s="18"/>
      <c r="E68" s="18"/>
    </row>
    <row r="69" spans="1:5" ht="16" x14ac:dyDescent="0.2">
      <c r="A69" s="18"/>
      <c r="B69" s="18"/>
      <c r="C69" s="18"/>
      <c r="D69" s="18"/>
      <c r="E69" s="18"/>
    </row>
    <row r="70" spans="1:5" ht="16" x14ac:dyDescent="0.2">
      <c r="A70" s="18"/>
      <c r="B70" s="18"/>
      <c r="C70" s="18"/>
      <c r="D70" s="18"/>
      <c r="E70" s="18"/>
    </row>
    <row r="71" spans="1:5" ht="16" x14ac:dyDescent="0.2">
      <c r="A71" s="18"/>
      <c r="B71" s="18"/>
      <c r="C71" s="18"/>
      <c r="D71" s="18"/>
      <c r="E71" s="18"/>
    </row>
    <row r="72" spans="1:5" ht="16" x14ac:dyDescent="0.2">
      <c r="A72" s="18"/>
      <c r="B72" s="18"/>
      <c r="C72" s="18"/>
      <c r="D72" s="18"/>
      <c r="E72" s="18"/>
    </row>
    <row r="73" spans="1:5" ht="16" x14ac:dyDescent="0.2">
      <c r="A73" s="18"/>
      <c r="B73" s="18"/>
      <c r="C73" s="18"/>
      <c r="D73" s="18"/>
      <c r="E73" s="18"/>
    </row>
    <row r="74" spans="1:5" ht="16" x14ac:dyDescent="0.2">
      <c r="A74" s="18"/>
      <c r="B74" s="18"/>
      <c r="C74" s="18"/>
      <c r="D74" s="18"/>
      <c r="E74" s="18"/>
    </row>
    <row r="75" spans="1:5" ht="16" x14ac:dyDescent="0.2">
      <c r="A75" s="18"/>
      <c r="B75" s="18"/>
      <c r="C75" s="18"/>
      <c r="D75" s="18"/>
      <c r="E75" s="18"/>
    </row>
    <row r="76" spans="1:5" ht="16" x14ac:dyDescent="0.2">
      <c r="A76" s="18"/>
      <c r="B76" s="18"/>
      <c r="C76" s="18"/>
      <c r="D76" s="18"/>
      <c r="E76" s="18"/>
    </row>
    <row r="77" spans="1:5" ht="16" x14ac:dyDescent="0.2">
      <c r="A77" s="18"/>
      <c r="B77" s="18"/>
      <c r="C77" s="18"/>
      <c r="D77" s="18"/>
      <c r="E77" s="18"/>
    </row>
    <row r="78" spans="1:5" ht="16" x14ac:dyDescent="0.2">
      <c r="A78" s="18"/>
      <c r="B78" s="18"/>
      <c r="C78" s="18"/>
      <c r="D78" s="18"/>
      <c r="E78" s="18"/>
    </row>
    <row r="79" spans="1:5" ht="16" x14ac:dyDescent="0.2">
      <c r="A79" s="18"/>
      <c r="B79" s="18"/>
      <c r="C79" s="18"/>
      <c r="D79" s="18"/>
      <c r="E79" s="18"/>
    </row>
    <row r="80" spans="1:5" ht="16" x14ac:dyDescent="0.2">
      <c r="A80" s="18"/>
      <c r="B80" s="18"/>
      <c r="C80" s="18"/>
      <c r="D80" s="18"/>
      <c r="E80" s="18"/>
    </row>
    <row r="81" spans="1:5" ht="16" x14ac:dyDescent="0.2">
      <c r="A81" s="18"/>
      <c r="B81" s="18"/>
      <c r="C81" s="18"/>
      <c r="D81" s="18"/>
      <c r="E81" s="18"/>
    </row>
    <row r="82" spans="1:5" ht="16" x14ac:dyDescent="0.2">
      <c r="A82" s="18"/>
      <c r="B82" s="18"/>
      <c r="C82" s="18"/>
      <c r="D82" s="18"/>
      <c r="E82" s="18"/>
    </row>
    <row r="83" spans="1:5" ht="16" x14ac:dyDescent="0.2">
      <c r="A83" s="18"/>
      <c r="B83" s="18"/>
      <c r="C83" s="18"/>
      <c r="D83" s="18"/>
      <c r="E83" s="18"/>
    </row>
    <row r="84" spans="1:5" ht="16" x14ac:dyDescent="0.2">
      <c r="A84" s="18"/>
      <c r="B84" s="18"/>
      <c r="C84" s="18"/>
      <c r="D84" s="18"/>
      <c r="E84" s="18"/>
    </row>
    <row r="85" spans="1:5" ht="16" x14ac:dyDescent="0.2">
      <c r="A85" s="18"/>
      <c r="B85" s="18"/>
      <c r="C85" s="18"/>
      <c r="D85" s="18"/>
      <c r="E85" s="18"/>
    </row>
    <row r="86" spans="1:5" ht="16" x14ac:dyDescent="0.2">
      <c r="A86" s="18"/>
      <c r="B86" s="18"/>
      <c r="C86" s="18"/>
      <c r="D86" s="18"/>
      <c r="E86" s="18"/>
    </row>
    <row r="87" spans="1:5" ht="16" x14ac:dyDescent="0.2">
      <c r="A87" s="18"/>
      <c r="B87" s="18"/>
      <c r="C87" s="18"/>
      <c r="D87" s="18"/>
      <c r="E87" s="18"/>
    </row>
    <row r="88" spans="1:5" ht="16" x14ac:dyDescent="0.2">
      <c r="A88" s="18"/>
      <c r="B88" s="18"/>
      <c r="C88" s="18"/>
      <c r="D88" s="18"/>
      <c r="E88" s="18"/>
    </row>
    <row r="89" spans="1:5" ht="16" x14ac:dyDescent="0.2">
      <c r="A89" s="18"/>
      <c r="B89" s="18"/>
      <c r="C89" s="18"/>
      <c r="D89" s="18"/>
      <c r="E89" s="18"/>
    </row>
    <row r="90" spans="1:5" ht="16" x14ac:dyDescent="0.2">
      <c r="A90" s="18"/>
      <c r="B90" s="18"/>
      <c r="C90" s="18"/>
      <c r="D90" s="18"/>
      <c r="E90" s="18"/>
    </row>
    <row r="91" spans="1:5" ht="16" x14ac:dyDescent="0.2">
      <c r="A91" s="18"/>
      <c r="B91" s="18"/>
      <c r="C91" s="18"/>
      <c r="D91" s="18"/>
      <c r="E91" s="18"/>
    </row>
    <row r="92" spans="1:5" ht="16" x14ac:dyDescent="0.2">
      <c r="A92" s="18"/>
      <c r="B92" s="18"/>
      <c r="C92" s="18"/>
      <c r="D92" s="18"/>
      <c r="E92" s="18"/>
    </row>
    <row r="93" spans="1:5" ht="16" x14ac:dyDescent="0.2">
      <c r="A93" s="18"/>
      <c r="B93" s="18"/>
      <c r="C93" s="18"/>
      <c r="D93" s="18"/>
      <c r="E93" s="18"/>
    </row>
    <row r="94" spans="1:5" ht="16" x14ac:dyDescent="0.2">
      <c r="A94" s="18"/>
      <c r="B94" s="18"/>
      <c r="C94" s="18"/>
      <c r="D94" s="18"/>
      <c r="E94" s="18"/>
    </row>
    <row r="95" spans="1:5" ht="16" x14ac:dyDescent="0.2">
      <c r="A95" s="18"/>
      <c r="B95" s="18"/>
      <c r="C95" s="18"/>
      <c r="D95" s="18"/>
      <c r="E95" s="18"/>
    </row>
    <row r="96" spans="1:5" ht="16" x14ac:dyDescent="0.2">
      <c r="A96" s="18"/>
      <c r="B96" s="18"/>
      <c r="C96" s="18"/>
      <c r="D96" s="18"/>
      <c r="E96" s="18"/>
    </row>
    <row r="97" spans="1:5" ht="16" x14ac:dyDescent="0.2">
      <c r="A97" s="18"/>
      <c r="B97" s="18"/>
      <c r="C97" s="18"/>
      <c r="D97" s="18"/>
      <c r="E97" s="18"/>
    </row>
    <row r="98" spans="1:5" ht="16" x14ac:dyDescent="0.2">
      <c r="A98" s="18"/>
      <c r="B98" s="18"/>
      <c r="C98" s="18"/>
      <c r="D98" s="18"/>
      <c r="E98" s="18"/>
    </row>
    <row r="99" spans="1:5" ht="16" x14ac:dyDescent="0.2">
      <c r="A99" s="18"/>
      <c r="B99" s="18"/>
      <c r="C99" s="18"/>
      <c r="D99" s="18"/>
      <c r="E99" s="18"/>
    </row>
    <row r="100" spans="1:5" ht="16" x14ac:dyDescent="0.2">
      <c r="A100" s="18"/>
      <c r="B100" s="18"/>
      <c r="C100" s="18"/>
      <c r="D100" s="18"/>
      <c r="E100" s="18"/>
    </row>
    <row r="101" spans="1:5" ht="16" x14ac:dyDescent="0.2">
      <c r="A101" s="18"/>
      <c r="B101" s="18"/>
      <c r="C101" s="18"/>
      <c r="D101" s="18"/>
      <c r="E101" s="18"/>
    </row>
    <row r="102" spans="1:5" ht="16" x14ac:dyDescent="0.2">
      <c r="A102" s="18"/>
      <c r="B102" s="18"/>
      <c r="C102" s="18"/>
      <c r="D102" s="18"/>
      <c r="E102" s="18"/>
    </row>
    <row r="103" spans="1:5" ht="16" x14ac:dyDescent="0.2">
      <c r="A103" s="18"/>
      <c r="B103" s="18"/>
      <c r="C103" s="18"/>
      <c r="D103" s="18"/>
      <c r="E103" s="18"/>
    </row>
    <row r="104" spans="1:5" ht="16" x14ac:dyDescent="0.2">
      <c r="A104" s="18"/>
      <c r="B104" s="18"/>
      <c r="C104" s="18"/>
      <c r="D104" s="18"/>
      <c r="E104" s="18"/>
    </row>
    <row r="105" spans="1:5" ht="16" x14ac:dyDescent="0.2">
      <c r="A105" s="18"/>
      <c r="B105" s="18"/>
      <c r="C105" s="18"/>
      <c r="D105" s="18"/>
      <c r="E105" s="18"/>
    </row>
    <row r="106" spans="1:5" ht="16" x14ac:dyDescent="0.2">
      <c r="A106" s="18"/>
      <c r="B106" s="18"/>
      <c r="C106" s="18"/>
      <c r="D106" s="18"/>
      <c r="E106" s="18"/>
    </row>
    <row r="107" spans="1:5" ht="16" x14ac:dyDescent="0.2">
      <c r="A107" s="18"/>
      <c r="B107" s="18"/>
      <c r="C107" s="18"/>
      <c r="D107" s="18"/>
      <c r="E107" s="18"/>
    </row>
    <row r="108" spans="1:5" ht="16" x14ac:dyDescent="0.2">
      <c r="A108" s="18"/>
      <c r="B108" s="18"/>
      <c r="C108" s="18"/>
      <c r="D108" s="18"/>
      <c r="E108" s="18"/>
    </row>
  </sheetData>
  <phoneticPr fontId="17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6F566-E80E-414B-9865-88FE42A54FD2}">
  <dimension ref="A1:Q194"/>
  <sheetViews>
    <sheetView zoomScale="93" zoomScaleNormal="93" workbookViewId="0">
      <pane ySplit="1" topLeftCell="A38" activePane="bottomLeft" state="frozen"/>
      <selection pane="bottomLeft" activeCell="N8" sqref="N8"/>
    </sheetView>
  </sheetViews>
  <sheetFormatPr baseColWidth="10" defaultColWidth="10.6640625" defaultRowHeight="15" x14ac:dyDescent="0.2"/>
  <cols>
    <col min="1" max="1" width="52.1640625" customWidth="1"/>
    <col min="2" max="2" width="10.33203125" style="9" hidden="1" customWidth="1"/>
    <col min="3" max="3" width="14" style="9" hidden="1" customWidth="1"/>
    <col min="4" max="5" width="15" style="9" hidden="1" customWidth="1"/>
    <col min="6" max="6" width="26" style="9" hidden="1" customWidth="1"/>
    <col min="7" max="7" width="22.33203125" style="9" customWidth="1"/>
    <col min="8" max="13" width="22.33203125" style="9" hidden="1" customWidth="1"/>
    <col min="14" max="14" width="18" style="1" customWidth="1"/>
    <col min="15" max="15" width="17.83203125" style="1" customWidth="1"/>
    <col min="16" max="17" width="20.5" style="1" customWidth="1"/>
  </cols>
  <sheetData>
    <row r="1" spans="1:17" ht="51" x14ac:dyDescent="0.2">
      <c r="A1" s="58" t="s">
        <v>322</v>
      </c>
      <c r="B1" s="5" t="s">
        <v>2</v>
      </c>
      <c r="C1" s="5" t="s">
        <v>4</v>
      </c>
      <c r="D1" s="6" t="s">
        <v>5</v>
      </c>
      <c r="E1" s="5" t="s">
        <v>6</v>
      </c>
      <c r="F1" s="5" t="s">
        <v>7</v>
      </c>
      <c r="G1" s="38" t="s">
        <v>9</v>
      </c>
      <c r="H1" s="5" t="s">
        <v>667</v>
      </c>
      <c r="I1" s="5" t="s">
        <v>284</v>
      </c>
      <c r="J1" s="5" t="s">
        <v>285</v>
      </c>
      <c r="K1" s="5" t="s">
        <v>286</v>
      </c>
      <c r="L1" s="5" t="s">
        <v>287</v>
      </c>
      <c r="M1" s="5" t="s">
        <v>414</v>
      </c>
      <c r="N1" s="59" t="s">
        <v>415</v>
      </c>
      <c r="O1" s="60" t="s">
        <v>11</v>
      </c>
      <c r="P1" s="61" t="s">
        <v>12</v>
      </c>
      <c r="Q1" s="61" t="s">
        <v>208</v>
      </c>
    </row>
    <row r="2" spans="1:17" ht="32" x14ac:dyDescent="0.2">
      <c r="A2" s="1" t="str">
        <f t="shared" ref="A2:A33" si="0">CONCATENATE("Population in TB compartment ",VLOOKUP(C2,TB_SET,2), " with ", VLOOKUP(D2,R_SET,2), " in HIV compartment ", VLOOKUP(E2,HIV_SET,2), " and ", VLOOKUP(F2, G_SET,2))</f>
        <v>Population in TB compartment  Uninfected, not on IPT with Drug-susceptible (DS) in HIV compartment  HIV-negative and Male</v>
      </c>
      <c r="B2" s="8" t="s">
        <v>239</v>
      </c>
      <c r="C2" s="8">
        <v>1</v>
      </c>
      <c r="D2" s="9">
        <v>1</v>
      </c>
      <c r="E2" s="9">
        <v>1</v>
      </c>
      <c r="F2" s="9">
        <v>1</v>
      </c>
      <c r="G2" s="39" t="str">
        <f t="shared" ref="G2:G33" si="1">CONCATENATE( B2, IF(B2&lt;&gt;"",",",""), C2, IF(C2&lt;&gt;"",",",""),  D2, IF(D2&lt;&gt;"",",",""),  E2, IF(F2&lt;&gt;"",",",""), F2,)</f>
        <v>N,1,1,1,1</v>
      </c>
      <c r="H2" s="9">
        <f>IF(C2=1,indirect_model_parameters!$G$33,indirect_model_parameters!$G$34)</f>
        <v>0.8</v>
      </c>
      <c r="I2" s="9">
        <f t="shared" ref="I2:I33" si="2">IF(D2=1,1,0)</f>
        <v>1</v>
      </c>
      <c r="J2" s="9">
        <f>IF(E2=1,indirect_model_parameters!$G$16,indirect_model_parameters!$G$17)*IF(E2=2,indirect_model_parameters!$G$10,IF(E2=3,indirect_model_parameters!$G$12,IF(E2=4,indirect_model_parameters!$G$14,1)))</f>
        <v>0.7</v>
      </c>
      <c r="L2" s="9">
        <f t="shared" ref="L2:L33" si="3">PRODUCT(H2:J2)</f>
        <v>0.55999999999999994</v>
      </c>
      <c r="M2" s="9">
        <f>(L2/SUM($L$2:$L$33))*indirect_model_parameters!$G$22</f>
        <v>0.14000000000000004</v>
      </c>
      <c r="N2" s="37">
        <f>M2*indirect_model_parameters!$G$9</f>
        <v>14000.000000000004</v>
      </c>
    </row>
    <row r="3" spans="1:17" ht="48" x14ac:dyDescent="0.2">
      <c r="A3" s="1" t="str">
        <f t="shared" si="0"/>
        <v>Population in TB compartment  Uninfected, not on IPT with  Multidrug-resistant (MDR-TB) in HIV compartment  HIV-negative and Male</v>
      </c>
      <c r="B3" s="8" t="s">
        <v>239</v>
      </c>
      <c r="C3" s="8">
        <v>1</v>
      </c>
      <c r="D3" s="9">
        <v>2</v>
      </c>
      <c r="E3" s="9">
        <v>1</v>
      </c>
      <c r="F3" s="9">
        <v>1</v>
      </c>
      <c r="G3" s="39" t="str">
        <f t="shared" si="1"/>
        <v>N,1,2,1,1</v>
      </c>
      <c r="H3" s="9">
        <f>IF(C3=1,indirect_model_parameters!$G$33,indirect_model_parameters!$G$34)</f>
        <v>0.8</v>
      </c>
      <c r="I3" s="9">
        <f t="shared" si="2"/>
        <v>0</v>
      </c>
      <c r="J3" s="9">
        <f>IF(E3=1,indirect_model_parameters!$G$16,indirect_model_parameters!$G$17)*IF(E3=2,indirect_model_parameters!$G$10,IF(E3=3,indirect_model_parameters!$G$12,IF(E3=4,indirect_model_parameters!$G$14,1)))</f>
        <v>0.7</v>
      </c>
      <c r="L3" s="9">
        <f t="shared" si="3"/>
        <v>0</v>
      </c>
      <c r="M3" s="9">
        <f>(L3/SUM($L$2:$L$33))*indirect_model_parameters!$G$22</f>
        <v>0</v>
      </c>
      <c r="N3" s="37">
        <f>M3*indirect_model_parameters!$G$9</f>
        <v>0</v>
      </c>
    </row>
    <row r="4" spans="1:17" ht="48" x14ac:dyDescent="0.2">
      <c r="A4" s="1" t="str">
        <f t="shared" si="0"/>
        <v>Population in TB compartment  Uninfected, not on IPT with  Multidrug-resistant (MDR-TB) in HIV compartment  PLHIV not on ART, CD4&gt;200 and Male</v>
      </c>
      <c r="B4" s="8" t="s">
        <v>239</v>
      </c>
      <c r="C4" s="8">
        <v>1</v>
      </c>
      <c r="D4" s="9">
        <v>2</v>
      </c>
      <c r="E4" s="9">
        <v>2</v>
      </c>
      <c r="F4" s="9">
        <v>1</v>
      </c>
      <c r="G4" s="39" t="str">
        <f t="shared" si="1"/>
        <v>N,1,2,2,1</v>
      </c>
      <c r="H4" s="9">
        <f>IF(C4=1,indirect_model_parameters!$G$33,indirect_model_parameters!$G$34)</f>
        <v>0.8</v>
      </c>
      <c r="I4" s="9">
        <f t="shared" si="2"/>
        <v>0</v>
      </c>
      <c r="J4" s="9">
        <f>IF(E4=1,indirect_model_parameters!$G$16,indirect_model_parameters!$G$17)*IF(E4=2,indirect_model_parameters!$G$10,IF(E4=3,indirect_model_parameters!$G$12,IF(E4=4,indirect_model_parameters!$G$14,1)))</f>
        <v>5.3999999999999979E-2</v>
      </c>
      <c r="L4" s="9">
        <f t="shared" si="3"/>
        <v>0</v>
      </c>
      <c r="M4" s="9">
        <f>(L4/SUM($L$2:$L$33))*indirect_model_parameters!$G$22</f>
        <v>0</v>
      </c>
      <c r="N4" s="37">
        <f>M4*indirect_model_parameters!$G$9</f>
        <v>0</v>
      </c>
    </row>
    <row r="5" spans="1:17" ht="48" x14ac:dyDescent="0.2">
      <c r="A5" s="1" t="str">
        <f t="shared" si="0"/>
        <v>Population in TB compartment  Uninfected, not on IPT with Drug-susceptible (DS) in HIV compartment  PLHIV not on ART, CD4&gt;200 and Male</v>
      </c>
      <c r="B5" s="8" t="s">
        <v>239</v>
      </c>
      <c r="C5" s="8">
        <v>1</v>
      </c>
      <c r="D5" s="9">
        <v>1</v>
      </c>
      <c r="E5" s="9">
        <v>2</v>
      </c>
      <c r="F5" s="9">
        <v>1</v>
      </c>
      <c r="G5" s="39" t="str">
        <f t="shared" si="1"/>
        <v>N,1,1,2,1</v>
      </c>
      <c r="H5" s="9">
        <f>IF(C5=1,indirect_model_parameters!$G$33,indirect_model_parameters!$G$34)</f>
        <v>0.8</v>
      </c>
      <c r="I5" s="9">
        <f t="shared" si="2"/>
        <v>1</v>
      </c>
      <c r="J5" s="9">
        <f>IF(E5=1,indirect_model_parameters!$G$16,indirect_model_parameters!$G$17)*IF(E5=2,indirect_model_parameters!$G$10,IF(E5=3,indirect_model_parameters!$G$12,IF(E5=4,indirect_model_parameters!$G$14,1)))</f>
        <v>5.3999999999999979E-2</v>
      </c>
      <c r="L5" s="9">
        <f t="shared" si="3"/>
        <v>4.3199999999999988E-2</v>
      </c>
      <c r="M5" s="9">
        <f>(L5/SUM($L$2:$L$33))*indirect_model_parameters!$G$22</f>
        <v>1.0800000000000002E-2</v>
      </c>
      <c r="N5" s="37">
        <f>M5*indirect_model_parameters!$G$9</f>
        <v>1080.0000000000002</v>
      </c>
    </row>
    <row r="6" spans="1:17" ht="48" x14ac:dyDescent="0.2">
      <c r="A6" s="1" t="str">
        <f t="shared" si="0"/>
        <v>Population in TB compartment  Uninfected, not on IPT with  Multidrug-resistant (MDR-TB) in HIV compartment  PLHIV not on ART, CD4≤200 and Male</v>
      </c>
      <c r="B6" s="8" t="s">
        <v>239</v>
      </c>
      <c r="C6" s="8">
        <v>1</v>
      </c>
      <c r="D6" s="9">
        <v>2</v>
      </c>
      <c r="E6" s="9">
        <v>3</v>
      </c>
      <c r="F6" s="9">
        <v>1</v>
      </c>
      <c r="G6" s="39" t="str">
        <f t="shared" si="1"/>
        <v>N,1,2,3,1</v>
      </c>
      <c r="H6" s="9">
        <f>IF(C6=1,indirect_model_parameters!$G$33,indirect_model_parameters!$G$34)</f>
        <v>0.8</v>
      </c>
      <c r="I6" s="9">
        <f t="shared" si="2"/>
        <v>0</v>
      </c>
      <c r="J6" s="9">
        <f>IF(E6=1,indirect_model_parameters!$G$16,indirect_model_parameters!$G$17)*IF(E6=2,indirect_model_parameters!$G$10,IF(E6=3,indirect_model_parameters!$G$12,IF(E6=4,indirect_model_parameters!$G$14,1)))</f>
        <v>0.16500000000000001</v>
      </c>
      <c r="L6" s="9">
        <f t="shared" si="3"/>
        <v>0</v>
      </c>
      <c r="M6" s="9">
        <f>(L6/SUM($L$2:$L$33))*indirect_model_parameters!$G$22</f>
        <v>0</v>
      </c>
      <c r="N6" s="37">
        <f>M6*indirect_model_parameters!$G$9</f>
        <v>0</v>
      </c>
    </row>
    <row r="7" spans="1:17" ht="48" x14ac:dyDescent="0.2">
      <c r="A7" s="1" t="str">
        <f t="shared" si="0"/>
        <v>Population in TB compartment  Uninfected, not on IPT with Drug-susceptible (DS) in HIV compartment  PLHIV not on ART, CD4≤200 and Male</v>
      </c>
      <c r="B7" s="8" t="s">
        <v>239</v>
      </c>
      <c r="C7" s="8">
        <v>1</v>
      </c>
      <c r="D7" s="9">
        <v>1</v>
      </c>
      <c r="E7" s="9">
        <v>3</v>
      </c>
      <c r="F7" s="9">
        <v>1</v>
      </c>
      <c r="G7" s="39" t="str">
        <f t="shared" si="1"/>
        <v>N,1,1,3,1</v>
      </c>
      <c r="H7" s="9">
        <f>IF(C7=1,indirect_model_parameters!$G$33,indirect_model_parameters!$G$34)</f>
        <v>0.8</v>
      </c>
      <c r="I7" s="9">
        <f t="shared" si="2"/>
        <v>1</v>
      </c>
      <c r="J7" s="9">
        <f>IF(E7=1,indirect_model_parameters!$G$16,indirect_model_parameters!$G$17)*IF(E7=2,indirect_model_parameters!$G$10,IF(E7=3,indirect_model_parameters!$G$12,IF(E7=4,indirect_model_parameters!$G$14,1)))</f>
        <v>0.16500000000000001</v>
      </c>
      <c r="L7" s="9">
        <f t="shared" si="3"/>
        <v>0.13200000000000001</v>
      </c>
      <c r="M7" s="9">
        <f>(L7/SUM($L$2:$L$33))*indirect_model_parameters!$G$22</f>
        <v>3.3000000000000015E-2</v>
      </c>
      <c r="N7" s="37">
        <f>M7*indirect_model_parameters!$G$9</f>
        <v>3300.0000000000014</v>
      </c>
    </row>
    <row r="8" spans="1:17" ht="48" x14ac:dyDescent="0.2">
      <c r="A8" s="1" t="str">
        <f t="shared" si="0"/>
        <v>Population in TB compartment  Uninfected, not on IPT with  Multidrug-resistant (MDR-TB) in HIV compartment  PLHIV and on ART and Male</v>
      </c>
      <c r="B8" s="8" t="s">
        <v>239</v>
      </c>
      <c r="C8" s="8">
        <v>1</v>
      </c>
      <c r="D8" s="9">
        <v>2</v>
      </c>
      <c r="E8" s="9">
        <v>4</v>
      </c>
      <c r="F8" s="9">
        <v>1</v>
      </c>
      <c r="G8" s="39" t="str">
        <f t="shared" si="1"/>
        <v>N,1,2,4,1</v>
      </c>
      <c r="H8" s="9">
        <f>IF(C8=1,indirect_model_parameters!$G$33,indirect_model_parameters!$G$34)</f>
        <v>0.8</v>
      </c>
      <c r="I8" s="9">
        <f t="shared" si="2"/>
        <v>0</v>
      </c>
      <c r="J8" s="9">
        <f>IF(E8=1,indirect_model_parameters!$G$16,indirect_model_parameters!$G$17)*IF(E8=2,indirect_model_parameters!$G$10,IF(E8=3,indirect_model_parameters!$G$12,IF(E8=4,indirect_model_parameters!$G$14,1)))</f>
        <v>8.1000000000000003E-2</v>
      </c>
      <c r="L8" s="9">
        <f t="shared" si="3"/>
        <v>0</v>
      </c>
      <c r="M8" s="9">
        <f>(L8/SUM($L$2:$L$33))*indirect_model_parameters!$G$22</f>
        <v>0</v>
      </c>
      <c r="N8" s="37">
        <f>M8*indirect_model_parameters!$G$9</f>
        <v>0</v>
      </c>
    </row>
    <row r="9" spans="1:17" ht="32" x14ac:dyDescent="0.2">
      <c r="A9" s="1" t="str">
        <f t="shared" si="0"/>
        <v>Population in TB compartment  Uninfected, not on IPT with Drug-susceptible (DS) in HIV compartment  PLHIV and on ART and Male</v>
      </c>
      <c r="B9" s="8" t="s">
        <v>239</v>
      </c>
      <c r="C9" s="8">
        <v>1</v>
      </c>
      <c r="D9" s="9">
        <v>1</v>
      </c>
      <c r="E9" s="9">
        <v>4</v>
      </c>
      <c r="F9" s="9">
        <v>1</v>
      </c>
      <c r="G9" s="39" t="str">
        <f t="shared" si="1"/>
        <v>N,1,1,4,1</v>
      </c>
      <c r="H9" s="9">
        <f>IF(C9=1,indirect_model_parameters!$G$33,indirect_model_parameters!$G$34)</f>
        <v>0.8</v>
      </c>
      <c r="I9" s="9">
        <f t="shared" si="2"/>
        <v>1</v>
      </c>
      <c r="J9" s="9">
        <f>IF(E9=1,indirect_model_parameters!$G$16,indirect_model_parameters!$G$17)*IF(E9=2,indirect_model_parameters!$G$10,IF(E9=3,indirect_model_parameters!$G$12,IF(E9=4,indirect_model_parameters!$G$14,1)))</f>
        <v>8.1000000000000003E-2</v>
      </c>
      <c r="L9" s="9">
        <f t="shared" si="3"/>
        <v>6.480000000000001E-2</v>
      </c>
      <c r="M9" s="9">
        <f>(L9/SUM($L$2:$L$33))*indirect_model_parameters!$G$22</f>
        <v>1.620000000000001E-2</v>
      </c>
      <c r="N9" s="37">
        <f>M9*indirect_model_parameters!$G$9</f>
        <v>1620.0000000000009</v>
      </c>
    </row>
    <row r="10" spans="1:17" ht="48" x14ac:dyDescent="0.2">
      <c r="A10" s="1" t="str">
        <f t="shared" si="0"/>
        <v>Population in TB compartment  Uninfected, not on IPT with  Multidrug-resistant (MDR-TB) in HIV compartment  HIV-negative and Female</v>
      </c>
      <c r="B10" s="8" t="s">
        <v>239</v>
      </c>
      <c r="C10" s="8">
        <v>1</v>
      </c>
      <c r="D10" s="9">
        <v>2</v>
      </c>
      <c r="E10" s="9">
        <v>1</v>
      </c>
      <c r="F10" s="9">
        <v>2</v>
      </c>
      <c r="G10" s="39" t="str">
        <f t="shared" si="1"/>
        <v>N,1,2,1,2</v>
      </c>
      <c r="H10" s="9">
        <f>IF(C10=1,indirect_model_parameters!$G$33,indirect_model_parameters!$G$34)</f>
        <v>0.8</v>
      </c>
      <c r="I10" s="9">
        <f t="shared" si="2"/>
        <v>0</v>
      </c>
      <c r="J10" s="9">
        <f>IF(E10=1,indirect_model_parameters!$G$16,indirect_model_parameters!$G$17)*IF(E10=2,indirect_model_parameters!$G$10,IF(E10=3,indirect_model_parameters!$G$12,IF(E10=4,indirect_model_parameters!$G$14,1)))</f>
        <v>0.7</v>
      </c>
      <c r="L10" s="9">
        <f t="shared" si="3"/>
        <v>0</v>
      </c>
      <c r="M10" s="9">
        <f>(L10/SUM($L$2:$L$33))*indirect_model_parameters!$G$22</f>
        <v>0</v>
      </c>
      <c r="N10" s="37">
        <f>M10*indirect_model_parameters!$G$9</f>
        <v>0</v>
      </c>
    </row>
    <row r="11" spans="1:17" ht="32" x14ac:dyDescent="0.2">
      <c r="A11" s="1" t="str">
        <f t="shared" si="0"/>
        <v>Population in TB compartment  Uninfected, not on IPT with Drug-susceptible (DS) in HIV compartment  HIV-negative and Female</v>
      </c>
      <c r="B11" s="8" t="s">
        <v>239</v>
      </c>
      <c r="C11" s="8">
        <v>1</v>
      </c>
      <c r="D11" s="9">
        <v>1</v>
      </c>
      <c r="E11" s="9">
        <v>1</v>
      </c>
      <c r="F11" s="9">
        <v>2</v>
      </c>
      <c r="G11" s="39" t="str">
        <f t="shared" si="1"/>
        <v>N,1,1,1,2</v>
      </c>
      <c r="H11" s="9">
        <f>IF(C11=1,indirect_model_parameters!$G$33,indirect_model_parameters!$G$34)</f>
        <v>0.8</v>
      </c>
      <c r="I11" s="9">
        <f t="shared" si="2"/>
        <v>1</v>
      </c>
      <c r="J11" s="9">
        <f>IF(E11=1,indirect_model_parameters!$G$16,indirect_model_parameters!$G$17)*IF(E11=2,indirect_model_parameters!$G$10,IF(E11=3,indirect_model_parameters!$G$12,IF(E11=4,indirect_model_parameters!$G$14,1)))</f>
        <v>0.7</v>
      </c>
      <c r="L11" s="9">
        <f t="shared" si="3"/>
        <v>0.55999999999999994</v>
      </c>
      <c r="M11" s="9">
        <f>(L11/SUM($L$2:$L$33))*indirect_model_parameters!$G$22</f>
        <v>0.14000000000000004</v>
      </c>
      <c r="N11" s="37">
        <f>M11*indirect_model_parameters!$G$9</f>
        <v>14000.000000000004</v>
      </c>
    </row>
    <row r="12" spans="1:17" ht="48" x14ac:dyDescent="0.2">
      <c r="A12" s="1" t="str">
        <f t="shared" si="0"/>
        <v>Population in TB compartment  Uninfected, not on IPT with  Multidrug-resistant (MDR-TB) in HIV compartment  PLHIV not on ART, CD4&gt;200 and Female</v>
      </c>
      <c r="B12" s="8" t="s">
        <v>239</v>
      </c>
      <c r="C12" s="8">
        <v>1</v>
      </c>
      <c r="D12" s="9">
        <v>2</v>
      </c>
      <c r="E12" s="9">
        <v>2</v>
      </c>
      <c r="F12" s="9">
        <v>2</v>
      </c>
      <c r="G12" s="39" t="str">
        <f t="shared" si="1"/>
        <v>N,1,2,2,2</v>
      </c>
      <c r="H12" s="9">
        <f>IF(C12=1,indirect_model_parameters!$G$33,indirect_model_parameters!$G$34)</f>
        <v>0.8</v>
      </c>
      <c r="I12" s="9">
        <f t="shared" si="2"/>
        <v>0</v>
      </c>
      <c r="J12" s="9">
        <f>IF(E12=1,indirect_model_parameters!$G$16,indirect_model_parameters!$G$17)*IF(E12=2,indirect_model_parameters!$G$10,IF(E12=3,indirect_model_parameters!$G$12,IF(E12=4,indirect_model_parameters!$G$14,1)))</f>
        <v>5.3999999999999979E-2</v>
      </c>
      <c r="L12" s="9">
        <f t="shared" si="3"/>
        <v>0</v>
      </c>
      <c r="M12" s="9">
        <f>(L12/SUM($L$2:$L$33))*indirect_model_parameters!$G$22</f>
        <v>0</v>
      </c>
      <c r="N12" s="37">
        <f>M12*indirect_model_parameters!$G$9</f>
        <v>0</v>
      </c>
    </row>
    <row r="13" spans="1:17" ht="48" x14ac:dyDescent="0.2">
      <c r="A13" s="1" t="str">
        <f t="shared" si="0"/>
        <v>Population in TB compartment  Uninfected, not on IPT with Drug-susceptible (DS) in HIV compartment  PLHIV not on ART, CD4&gt;200 and Female</v>
      </c>
      <c r="B13" s="8" t="s">
        <v>239</v>
      </c>
      <c r="C13" s="8">
        <v>1</v>
      </c>
      <c r="D13" s="9">
        <v>1</v>
      </c>
      <c r="E13" s="9">
        <v>2</v>
      </c>
      <c r="F13" s="9">
        <v>2</v>
      </c>
      <c r="G13" s="39" t="str">
        <f t="shared" si="1"/>
        <v>N,1,1,2,2</v>
      </c>
      <c r="H13" s="9">
        <f>IF(C13=1,indirect_model_parameters!$G$33,indirect_model_parameters!$G$34)</f>
        <v>0.8</v>
      </c>
      <c r="I13" s="9">
        <f t="shared" si="2"/>
        <v>1</v>
      </c>
      <c r="J13" s="9">
        <f>IF(E13=1,indirect_model_parameters!$G$16,indirect_model_parameters!$G$17)*IF(E13=2,indirect_model_parameters!$G$10,IF(E13=3,indirect_model_parameters!$G$12,IF(E13=4,indirect_model_parameters!$G$14,1)))</f>
        <v>5.3999999999999979E-2</v>
      </c>
      <c r="L13" s="9">
        <f t="shared" si="3"/>
        <v>4.3199999999999988E-2</v>
      </c>
      <c r="M13" s="9">
        <f>(L13/SUM($L$2:$L$33))*indirect_model_parameters!$G$22</f>
        <v>1.0800000000000002E-2</v>
      </c>
      <c r="N13" s="37">
        <f>M13*indirect_model_parameters!$G$9</f>
        <v>1080.0000000000002</v>
      </c>
    </row>
    <row r="14" spans="1:17" ht="48" x14ac:dyDescent="0.2">
      <c r="A14" s="1" t="str">
        <f t="shared" si="0"/>
        <v>Population in TB compartment  Uninfected, not on IPT with  Multidrug-resistant (MDR-TB) in HIV compartment  PLHIV not on ART, CD4≤200 and Female</v>
      </c>
      <c r="B14" s="8" t="s">
        <v>239</v>
      </c>
      <c r="C14" s="8">
        <v>1</v>
      </c>
      <c r="D14" s="9">
        <v>2</v>
      </c>
      <c r="E14" s="9">
        <v>3</v>
      </c>
      <c r="F14" s="9">
        <v>2</v>
      </c>
      <c r="G14" s="39" t="str">
        <f t="shared" si="1"/>
        <v>N,1,2,3,2</v>
      </c>
      <c r="H14" s="9">
        <f>IF(C14=1,indirect_model_parameters!$G$33,indirect_model_parameters!$G$34)</f>
        <v>0.8</v>
      </c>
      <c r="I14" s="9">
        <f t="shared" si="2"/>
        <v>0</v>
      </c>
      <c r="J14" s="9">
        <f>IF(E14=1,indirect_model_parameters!$G$16,indirect_model_parameters!$G$17)*IF(E14=2,indirect_model_parameters!$G$10,IF(E14=3,indirect_model_parameters!$G$12,IF(E14=4,indirect_model_parameters!$G$14,1)))</f>
        <v>0.16500000000000001</v>
      </c>
      <c r="L14" s="9">
        <f t="shared" si="3"/>
        <v>0</v>
      </c>
      <c r="M14" s="9">
        <f>(L14/SUM($L$2:$L$33))*indirect_model_parameters!$G$22</f>
        <v>0</v>
      </c>
      <c r="N14" s="37">
        <f>M14*indirect_model_parameters!$G$9</f>
        <v>0</v>
      </c>
    </row>
    <row r="15" spans="1:17" ht="48" x14ac:dyDescent="0.2">
      <c r="A15" s="1" t="str">
        <f t="shared" si="0"/>
        <v>Population in TB compartment  Uninfected, not on IPT with Drug-susceptible (DS) in HIV compartment  PLHIV not on ART, CD4≤200 and Female</v>
      </c>
      <c r="B15" s="8" t="s">
        <v>239</v>
      </c>
      <c r="C15" s="8">
        <v>1</v>
      </c>
      <c r="D15" s="9">
        <v>1</v>
      </c>
      <c r="E15" s="9">
        <v>3</v>
      </c>
      <c r="F15" s="9">
        <v>2</v>
      </c>
      <c r="G15" s="39" t="str">
        <f t="shared" si="1"/>
        <v>N,1,1,3,2</v>
      </c>
      <c r="H15" s="9">
        <f>IF(C15=1,indirect_model_parameters!$G$33,indirect_model_parameters!$G$34)</f>
        <v>0.8</v>
      </c>
      <c r="I15" s="9">
        <f t="shared" si="2"/>
        <v>1</v>
      </c>
      <c r="J15" s="9">
        <f>IF(E15=1,indirect_model_parameters!$G$16,indirect_model_parameters!$G$17)*IF(E15=2,indirect_model_parameters!$G$10,IF(E15=3,indirect_model_parameters!$G$12,IF(E15=4,indirect_model_parameters!$G$14,1)))</f>
        <v>0.16500000000000001</v>
      </c>
      <c r="L15" s="9">
        <f t="shared" si="3"/>
        <v>0.13200000000000001</v>
      </c>
      <c r="M15" s="9">
        <f>(L15/SUM($L$2:$L$33))*indirect_model_parameters!$G$22</f>
        <v>3.3000000000000015E-2</v>
      </c>
      <c r="N15" s="37">
        <f>M15*indirect_model_parameters!$G$9</f>
        <v>3300.0000000000014</v>
      </c>
    </row>
    <row r="16" spans="1:17" ht="48" x14ac:dyDescent="0.2">
      <c r="A16" s="1" t="str">
        <f t="shared" si="0"/>
        <v>Population in TB compartment  Uninfected, not on IPT with  Multidrug-resistant (MDR-TB) in HIV compartment  PLHIV and on ART and Female</v>
      </c>
      <c r="B16" s="8" t="s">
        <v>239</v>
      </c>
      <c r="C16" s="8">
        <v>1</v>
      </c>
      <c r="D16" s="9">
        <v>2</v>
      </c>
      <c r="E16" s="9">
        <v>4</v>
      </c>
      <c r="F16" s="9">
        <v>2</v>
      </c>
      <c r="G16" s="39" t="str">
        <f t="shared" si="1"/>
        <v>N,1,2,4,2</v>
      </c>
      <c r="H16" s="9">
        <f>IF(C16=1,indirect_model_parameters!$G$33,indirect_model_parameters!$G$34)</f>
        <v>0.8</v>
      </c>
      <c r="I16" s="9">
        <f t="shared" si="2"/>
        <v>0</v>
      </c>
      <c r="J16" s="9">
        <f>IF(E16=1,indirect_model_parameters!$G$16,indirect_model_parameters!$G$17)*IF(E16=2,indirect_model_parameters!$G$10,IF(E16=3,indirect_model_parameters!$G$12,IF(E16=4,indirect_model_parameters!$G$14,1)))</f>
        <v>8.1000000000000003E-2</v>
      </c>
      <c r="L16" s="9">
        <f t="shared" si="3"/>
        <v>0</v>
      </c>
      <c r="M16" s="9">
        <f>(L16/SUM($L$2:$L$33))*indirect_model_parameters!$G$22</f>
        <v>0</v>
      </c>
      <c r="N16" s="37">
        <f>M16*indirect_model_parameters!$G$9</f>
        <v>0</v>
      </c>
    </row>
    <row r="17" spans="1:14" ht="48" x14ac:dyDescent="0.2">
      <c r="A17" s="1" t="str">
        <f t="shared" si="0"/>
        <v>Population in TB compartment  Uninfected, not on IPT with Drug-susceptible (DS) in HIV compartment  PLHIV and on ART and Female</v>
      </c>
      <c r="B17" s="8" t="s">
        <v>239</v>
      </c>
      <c r="C17" s="8">
        <v>1</v>
      </c>
      <c r="D17" s="9">
        <v>1</v>
      </c>
      <c r="E17" s="9">
        <v>4</v>
      </c>
      <c r="F17" s="9">
        <v>2</v>
      </c>
      <c r="G17" s="39" t="str">
        <f t="shared" si="1"/>
        <v>N,1,1,4,2</v>
      </c>
      <c r="H17" s="9">
        <f>IF(C17=1,indirect_model_parameters!$G$33,indirect_model_parameters!$G$34)</f>
        <v>0.8</v>
      </c>
      <c r="I17" s="9">
        <f t="shared" si="2"/>
        <v>1</v>
      </c>
      <c r="J17" s="9">
        <f>IF(E17=1,indirect_model_parameters!$G$16,indirect_model_parameters!$G$17)*IF(E17=2,indirect_model_parameters!$G$10,IF(E17=3,indirect_model_parameters!$G$12,IF(E17=4,indirect_model_parameters!$G$14,1)))</f>
        <v>8.1000000000000003E-2</v>
      </c>
      <c r="L17" s="9">
        <f t="shared" si="3"/>
        <v>6.480000000000001E-2</v>
      </c>
      <c r="M17" s="9">
        <f>(L17/SUM($L$2:$L$33))*indirect_model_parameters!$G$22</f>
        <v>1.620000000000001E-2</v>
      </c>
      <c r="N17" s="37">
        <f>M17*indirect_model_parameters!$G$9</f>
        <v>1620.0000000000009</v>
      </c>
    </row>
    <row r="18" spans="1:14" ht="32" x14ac:dyDescent="0.2">
      <c r="A18" s="1" t="str">
        <f t="shared" si="0"/>
        <v>Population in TB compartment  Uninfected, on IPT with Drug-susceptible (DS) in HIV compartment  HIV-negative and Male</v>
      </c>
      <c r="B18" s="8" t="s">
        <v>239</v>
      </c>
      <c r="C18" s="8">
        <v>2</v>
      </c>
      <c r="D18" s="9">
        <v>1</v>
      </c>
      <c r="E18" s="9">
        <v>1</v>
      </c>
      <c r="F18" s="9">
        <v>1</v>
      </c>
      <c r="G18" s="39" t="str">
        <f t="shared" si="1"/>
        <v>N,2,1,1,1</v>
      </c>
      <c r="H18" s="9">
        <f>IF(C18=1,indirect_model_parameters!$G$33,indirect_model_parameters!$G$34)</f>
        <v>0.2</v>
      </c>
      <c r="I18" s="9">
        <f t="shared" si="2"/>
        <v>1</v>
      </c>
      <c r="J18" s="9">
        <f>IF(E18=1,indirect_model_parameters!$G$16,indirect_model_parameters!$G$17)*IF(E18=2,indirect_model_parameters!$G$10,IF(E18=3,indirect_model_parameters!$G$12,IF(E18=4,indirect_model_parameters!$G$14,1)))</f>
        <v>0.7</v>
      </c>
      <c r="L18" s="9">
        <f t="shared" si="3"/>
        <v>0.13999999999999999</v>
      </c>
      <c r="M18" s="9">
        <f>(L18/SUM($L$2:$L$33))*indirect_model_parameters!$G$22</f>
        <v>3.500000000000001E-2</v>
      </c>
      <c r="N18" s="37">
        <f>M18*indirect_model_parameters!$G$9</f>
        <v>3500.0000000000009</v>
      </c>
    </row>
    <row r="19" spans="1:14" ht="48" x14ac:dyDescent="0.2">
      <c r="A19" s="1" t="str">
        <f t="shared" si="0"/>
        <v>Population in TB compartment  Uninfected, on IPT with  Multidrug-resistant (MDR-TB) in HIV compartment  HIV-negative and Male</v>
      </c>
      <c r="B19" s="8" t="s">
        <v>239</v>
      </c>
      <c r="C19" s="8">
        <v>2</v>
      </c>
      <c r="D19" s="9">
        <v>2</v>
      </c>
      <c r="E19" s="9">
        <v>1</v>
      </c>
      <c r="F19" s="9">
        <v>1</v>
      </c>
      <c r="G19" s="39" t="str">
        <f t="shared" si="1"/>
        <v>N,2,2,1,1</v>
      </c>
      <c r="H19" s="9">
        <f>IF(C19=1,indirect_model_parameters!$G$33,indirect_model_parameters!$G$34)</f>
        <v>0.2</v>
      </c>
      <c r="I19" s="9">
        <f t="shared" si="2"/>
        <v>0</v>
      </c>
      <c r="J19" s="9">
        <f>IF(E19=1,indirect_model_parameters!$G$16,indirect_model_parameters!$G$17)*IF(E19=2,indirect_model_parameters!$G$10,IF(E19=3,indirect_model_parameters!$G$12,IF(E19=4,indirect_model_parameters!$G$14,1)))</f>
        <v>0.7</v>
      </c>
      <c r="L19" s="9">
        <f t="shared" si="3"/>
        <v>0</v>
      </c>
      <c r="M19" s="9">
        <f>(L19/SUM($L$2:$L$33))*indirect_model_parameters!$G$22</f>
        <v>0</v>
      </c>
      <c r="N19" s="37">
        <f>M19*indirect_model_parameters!$G$9</f>
        <v>0</v>
      </c>
    </row>
    <row r="20" spans="1:14" ht="48" x14ac:dyDescent="0.2">
      <c r="A20" s="1" t="str">
        <f t="shared" si="0"/>
        <v>Population in TB compartment  Uninfected, on IPT with Drug-susceptible (DS) in HIV compartment  PLHIV not on ART, CD4&gt;200 and Male</v>
      </c>
      <c r="B20" s="8" t="s">
        <v>239</v>
      </c>
      <c r="C20" s="8">
        <v>2</v>
      </c>
      <c r="D20" s="9">
        <v>1</v>
      </c>
      <c r="E20" s="9">
        <v>2</v>
      </c>
      <c r="F20" s="9">
        <v>1</v>
      </c>
      <c r="G20" s="39" t="str">
        <f t="shared" si="1"/>
        <v>N,2,1,2,1</v>
      </c>
      <c r="H20" s="9">
        <f>IF(C20=1,indirect_model_parameters!$G$33,indirect_model_parameters!$G$34)</f>
        <v>0.2</v>
      </c>
      <c r="I20" s="9">
        <f t="shared" si="2"/>
        <v>1</v>
      </c>
      <c r="J20" s="9">
        <f>IF(E20=1,indirect_model_parameters!$G$16,indirect_model_parameters!$G$17)*IF(E20=2,indirect_model_parameters!$G$10,IF(E20=3,indirect_model_parameters!$G$12,IF(E20=4,indirect_model_parameters!$G$14,1)))</f>
        <v>5.3999999999999979E-2</v>
      </c>
      <c r="L20" s="9">
        <f t="shared" si="3"/>
        <v>1.0799999999999997E-2</v>
      </c>
      <c r="M20" s="9">
        <f>(L20/SUM($L$2:$L$33))*indirect_model_parameters!$G$22</f>
        <v>2.7000000000000006E-3</v>
      </c>
      <c r="N20" s="37">
        <f>M20*indirect_model_parameters!$G$9</f>
        <v>270.00000000000006</v>
      </c>
    </row>
    <row r="21" spans="1:14" ht="48" x14ac:dyDescent="0.2">
      <c r="A21" s="1" t="str">
        <f t="shared" si="0"/>
        <v>Population in TB compartment  Uninfected, on IPT with  Multidrug-resistant (MDR-TB) in HIV compartment  PLHIV not on ART, CD4&gt;200 and Male</v>
      </c>
      <c r="B21" s="8" t="s">
        <v>239</v>
      </c>
      <c r="C21" s="8">
        <v>2</v>
      </c>
      <c r="D21" s="9">
        <v>2</v>
      </c>
      <c r="E21" s="9">
        <v>2</v>
      </c>
      <c r="F21" s="9">
        <v>1</v>
      </c>
      <c r="G21" s="39" t="str">
        <f t="shared" si="1"/>
        <v>N,2,2,2,1</v>
      </c>
      <c r="H21" s="9">
        <f>IF(C21=1,indirect_model_parameters!$G$33,indirect_model_parameters!$G$34)</f>
        <v>0.2</v>
      </c>
      <c r="I21" s="9">
        <f t="shared" si="2"/>
        <v>0</v>
      </c>
      <c r="J21" s="9">
        <f>IF(E21=1,indirect_model_parameters!$G$16,indirect_model_parameters!$G$17)*IF(E21=2,indirect_model_parameters!$G$10,IF(E21=3,indirect_model_parameters!$G$12,IF(E21=4,indirect_model_parameters!$G$14,1)))</f>
        <v>5.3999999999999979E-2</v>
      </c>
      <c r="L21" s="9">
        <f t="shared" si="3"/>
        <v>0</v>
      </c>
      <c r="M21" s="9">
        <f>(L21/SUM($L$2:$L$33))*indirect_model_parameters!$G$22</f>
        <v>0</v>
      </c>
      <c r="N21" s="37">
        <f>M21*indirect_model_parameters!$G$9</f>
        <v>0</v>
      </c>
    </row>
    <row r="22" spans="1:14" ht="48" x14ac:dyDescent="0.2">
      <c r="A22" s="1" t="str">
        <f t="shared" si="0"/>
        <v>Population in TB compartment  Uninfected, on IPT with Drug-susceptible (DS) in HIV compartment  PLHIV not on ART, CD4≤200 and Male</v>
      </c>
      <c r="B22" s="8" t="s">
        <v>239</v>
      </c>
      <c r="C22" s="8">
        <v>2</v>
      </c>
      <c r="D22" s="9">
        <v>1</v>
      </c>
      <c r="E22" s="9">
        <v>3</v>
      </c>
      <c r="F22" s="9">
        <v>1</v>
      </c>
      <c r="G22" s="39" t="str">
        <f t="shared" si="1"/>
        <v>N,2,1,3,1</v>
      </c>
      <c r="H22" s="9">
        <f>IF(C22=1,indirect_model_parameters!$G$33,indirect_model_parameters!$G$34)</f>
        <v>0.2</v>
      </c>
      <c r="I22" s="9">
        <f t="shared" si="2"/>
        <v>1</v>
      </c>
      <c r="J22" s="9">
        <f>IF(E22=1,indirect_model_parameters!$G$16,indirect_model_parameters!$G$17)*IF(E22=2,indirect_model_parameters!$G$10,IF(E22=3,indirect_model_parameters!$G$12,IF(E22=4,indirect_model_parameters!$G$14,1)))</f>
        <v>0.16500000000000001</v>
      </c>
      <c r="L22" s="9">
        <f t="shared" si="3"/>
        <v>3.3000000000000002E-2</v>
      </c>
      <c r="M22" s="9">
        <f>(L22/SUM($L$2:$L$33))*indirect_model_parameters!$G$22</f>
        <v>8.2500000000000039E-3</v>
      </c>
      <c r="N22" s="37">
        <f>M22*indirect_model_parameters!$G$9</f>
        <v>825.00000000000034</v>
      </c>
    </row>
    <row r="23" spans="1:14" ht="48" x14ac:dyDescent="0.2">
      <c r="A23" s="1" t="str">
        <f t="shared" si="0"/>
        <v>Population in TB compartment  Uninfected, on IPT with  Multidrug-resistant (MDR-TB) in HIV compartment  PLHIV not on ART, CD4≤200 and Male</v>
      </c>
      <c r="B23" s="8" t="s">
        <v>239</v>
      </c>
      <c r="C23" s="8">
        <v>2</v>
      </c>
      <c r="D23" s="9">
        <v>2</v>
      </c>
      <c r="E23" s="9">
        <v>3</v>
      </c>
      <c r="F23" s="9">
        <v>1</v>
      </c>
      <c r="G23" s="39" t="str">
        <f t="shared" si="1"/>
        <v>N,2,2,3,1</v>
      </c>
      <c r="H23" s="9">
        <f>IF(C23=1,indirect_model_parameters!$G$33,indirect_model_parameters!$G$34)</f>
        <v>0.2</v>
      </c>
      <c r="I23" s="9">
        <f t="shared" si="2"/>
        <v>0</v>
      </c>
      <c r="J23" s="9">
        <f>IF(E23=1,indirect_model_parameters!$G$16,indirect_model_parameters!$G$17)*IF(E23=2,indirect_model_parameters!$G$10,IF(E23=3,indirect_model_parameters!$G$12,IF(E23=4,indirect_model_parameters!$G$14,1)))</f>
        <v>0.16500000000000001</v>
      </c>
      <c r="L23" s="9">
        <f t="shared" si="3"/>
        <v>0</v>
      </c>
      <c r="M23" s="9">
        <f>(L23/SUM($L$2:$L$33))*indirect_model_parameters!$G$22</f>
        <v>0</v>
      </c>
      <c r="N23" s="37">
        <f>M23*indirect_model_parameters!$G$9</f>
        <v>0</v>
      </c>
    </row>
    <row r="24" spans="1:14" ht="32" x14ac:dyDescent="0.2">
      <c r="A24" s="1" t="str">
        <f t="shared" si="0"/>
        <v>Population in TB compartment  Uninfected, on IPT with Drug-susceptible (DS) in HIV compartment  PLHIV and on ART and Male</v>
      </c>
      <c r="B24" s="8" t="s">
        <v>239</v>
      </c>
      <c r="C24" s="8">
        <v>2</v>
      </c>
      <c r="D24" s="9">
        <v>1</v>
      </c>
      <c r="E24" s="9">
        <v>4</v>
      </c>
      <c r="F24" s="9">
        <v>1</v>
      </c>
      <c r="G24" s="39" t="str">
        <f t="shared" si="1"/>
        <v>N,2,1,4,1</v>
      </c>
      <c r="H24" s="9">
        <f>IF(C24=1,indirect_model_parameters!$G$33,indirect_model_parameters!$G$34)</f>
        <v>0.2</v>
      </c>
      <c r="I24" s="9">
        <f t="shared" si="2"/>
        <v>1</v>
      </c>
      <c r="J24" s="9">
        <f>IF(E24=1,indirect_model_parameters!$G$16,indirect_model_parameters!$G$17)*IF(E24=2,indirect_model_parameters!$G$10,IF(E24=3,indirect_model_parameters!$G$12,IF(E24=4,indirect_model_parameters!$G$14,1)))</f>
        <v>8.1000000000000003E-2</v>
      </c>
      <c r="L24" s="9">
        <f t="shared" si="3"/>
        <v>1.6200000000000003E-2</v>
      </c>
      <c r="M24" s="9">
        <f>(L24/SUM($L$2:$L$33))*indirect_model_parameters!$G$22</f>
        <v>4.0500000000000024E-3</v>
      </c>
      <c r="N24" s="37">
        <f>M24*indirect_model_parameters!$G$9</f>
        <v>405.00000000000023</v>
      </c>
    </row>
    <row r="25" spans="1:14" ht="48" x14ac:dyDescent="0.2">
      <c r="A25" s="1" t="str">
        <f t="shared" si="0"/>
        <v>Population in TB compartment  Uninfected, on IPT with  Multidrug-resistant (MDR-TB) in HIV compartment  PLHIV and on ART and Male</v>
      </c>
      <c r="B25" s="8" t="s">
        <v>239</v>
      </c>
      <c r="C25" s="8">
        <v>2</v>
      </c>
      <c r="D25" s="9">
        <v>2</v>
      </c>
      <c r="E25" s="9">
        <v>4</v>
      </c>
      <c r="F25" s="9">
        <v>1</v>
      </c>
      <c r="G25" s="39" t="str">
        <f t="shared" si="1"/>
        <v>N,2,2,4,1</v>
      </c>
      <c r="H25" s="9">
        <f>IF(C25=1,indirect_model_parameters!$G$33,indirect_model_parameters!$G$34)</f>
        <v>0.2</v>
      </c>
      <c r="I25" s="9">
        <f t="shared" si="2"/>
        <v>0</v>
      </c>
      <c r="J25" s="9">
        <f>IF(E25=1,indirect_model_parameters!$G$16,indirect_model_parameters!$G$17)*IF(E25=2,indirect_model_parameters!$G$10,IF(E25=3,indirect_model_parameters!$G$12,IF(E25=4,indirect_model_parameters!$G$14,1)))</f>
        <v>8.1000000000000003E-2</v>
      </c>
      <c r="L25" s="9">
        <f t="shared" si="3"/>
        <v>0</v>
      </c>
      <c r="M25" s="9">
        <f>(L25/SUM($L$2:$L$33))*indirect_model_parameters!$G$22</f>
        <v>0</v>
      </c>
      <c r="N25" s="37">
        <f>M25*indirect_model_parameters!$G$9</f>
        <v>0</v>
      </c>
    </row>
    <row r="26" spans="1:14" ht="32" x14ac:dyDescent="0.2">
      <c r="A26" s="1" t="str">
        <f t="shared" si="0"/>
        <v>Population in TB compartment  Uninfected, on IPT with Drug-susceptible (DS) in HIV compartment  HIV-negative and Female</v>
      </c>
      <c r="B26" s="8" t="s">
        <v>239</v>
      </c>
      <c r="C26" s="8">
        <v>2</v>
      </c>
      <c r="D26" s="9">
        <v>1</v>
      </c>
      <c r="E26" s="9">
        <v>1</v>
      </c>
      <c r="F26" s="9">
        <v>2</v>
      </c>
      <c r="G26" s="39" t="str">
        <f t="shared" si="1"/>
        <v>N,2,1,1,2</v>
      </c>
      <c r="H26" s="9">
        <f>IF(C26=1,indirect_model_parameters!$G$33,indirect_model_parameters!$G$34)</f>
        <v>0.2</v>
      </c>
      <c r="I26" s="9">
        <f t="shared" si="2"/>
        <v>1</v>
      </c>
      <c r="J26" s="9">
        <f>IF(E26=1,indirect_model_parameters!$G$16,indirect_model_parameters!$G$17)*IF(E26=2,indirect_model_parameters!$G$10,IF(E26=3,indirect_model_parameters!$G$12,IF(E26=4,indirect_model_parameters!$G$14,1)))</f>
        <v>0.7</v>
      </c>
      <c r="L26" s="9">
        <f t="shared" si="3"/>
        <v>0.13999999999999999</v>
      </c>
      <c r="M26" s="9">
        <f>(L26/SUM($L$2:$L$33))*indirect_model_parameters!$G$22</f>
        <v>3.500000000000001E-2</v>
      </c>
      <c r="N26" s="37">
        <f>M26*indirect_model_parameters!$G$9</f>
        <v>3500.0000000000009</v>
      </c>
    </row>
    <row r="27" spans="1:14" ht="48" x14ac:dyDescent="0.2">
      <c r="A27" s="1" t="str">
        <f t="shared" si="0"/>
        <v>Population in TB compartment  Uninfected, on IPT with  Multidrug-resistant (MDR-TB) in HIV compartment  HIV-negative and Female</v>
      </c>
      <c r="B27" s="8" t="s">
        <v>239</v>
      </c>
      <c r="C27" s="8">
        <v>2</v>
      </c>
      <c r="D27" s="9">
        <v>2</v>
      </c>
      <c r="E27" s="9">
        <v>1</v>
      </c>
      <c r="F27" s="9">
        <v>2</v>
      </c>
      <c r="G27" s="39" t="str">
        <f t="shared" si="1"/>
        <v>N,2,2,1,2</v>
      </c>
      <c r="H27" s="9">
        <f>IF(C27=1,indirect_model_parameters!$G$33,indirect_model_parameters!$G$34)</f>
        <v>0.2</v>
      </c>
      <c r="I27" s="9">
        <f t="shared" si="2"/>
        <v>0</v>
      </c>
      <c r="J27" s="9">
        <f>IF(E27=1,indirect_model_parameters!$G$16,indirect_model_parameters!$G$17)*IF(E27=2,indirect_model_parameters!$G$10,IF(E27=3,indirect_model_parameters!$G$12,IF(E27=4,indirect_model_parameters!$G$14,1)))</f>
        <v>0.7</v>
      </c>
      <c r="L27" s="9">
        <f t="shared" si="3"/>
        <v>0</v>
      </c>
      <c r="M27" s="9">
        <f>(L27/SUM($L$2:$L$33))*indirect_model_parameters!$G$22</f>
        <v>0</v>
      </c>
      <c r="N27" s="37">
        <f>M27*indirect_model_parameters!$G$9</f>
        <v>0</v>
      </c>
    </row>
    <row r="28" spans="1:14" ht="48" x14ac:dyDescent="0.2">
      <c r="A28" s="1" t="str">
        <f t="shared" si="0"/>
        <v>Population in TB compartment  Uninfected, on IPT with Drug-susceptible (DS) in HIV compartment  PLHIV not on ART, CD4&gt;200 and Female</v>
      </c>
      <c r="B28" s="8" t="s">
        <v>239</v>
      </c>
      <c r="C28" s="8">
        <v>2</v>
      </c>
      <c r="D28" s="9">
        <v>1</v>
      </c>
      <c r="E28" s="9">
        <v>2</v>
      </c>
      <c r="F28" s="9">
        <v>2</v>
      </c>
      <c r="G28" s="39" t="str">
        <f t="shared" si="1"/>
        <v>N,2,1,2,2</v>
      </c>
      <c r="H28" s="9">
        <f>IF(C28=1,indirect_model_parameters!$G$33,indirect_model_parameters!$G$34)</f>
        <v>0.2</v>
      </c>
      <c r="I28" s="9">
        <f t="shared" si="2"/>
        <v>1</v>
      </c>
      <c r="J28" s="9">
        <f>IF(E28=1,indirect_model_parameters!$G$16,indirect_model_parameters!$G$17)*IF(E28=2,indirect_model_parameters!$G$10,IF(E28=3,indirect_model_parameters!$G$12,IF(E28=4,indirect_model_parameters!$G$14,1)))</f>
        <v>5.3999999999999979E-2</v>
      </c>
      <c r="L28" s="9">
        <f t="shared" si="3"/>
        <v>1.0799999999999997E-2</v>
      </c>
      <c r="M28" s="9">
        <f>(L28/SUM($L$2:$L$33))*indirect_model_parameters!$G$22</f>
        <v>2.7000000000000006E-3</v>
      </c>
      <c r="N28" s="37">
        <f>M28*indirect_model_parameters!$G$9</f>
        <v>270.00000000000006</v>
      </c>
    </row>
    <row r="29" spans="1:14" ht="48" x14ac:dyDescent="0.2">
      <c r="A29" s="1" t="str">
        <f t="shared" si="0"/>
        <v>Population in TB compartment  Uninfected, on IPT with  Multidrug-resistant (MDR-TB) in HIV compartment  PLHIV not on ART, CD4&gt;200 and Female</v>
      </c>
      <c r="B29" s="8" t="s">
        <v>239</v>
      </c>
      <c r="C29" s="8">
        <v>2</v>
      </c>
      <c r="D29" s="9">
        <v>2</v>
      </c>
      <c r="E29" s="9">
        <v>2</v>
      </c>
      <c r="F29" s="9">
        <v>2</v>
      </c>
      <c r="G29" s="39" t="str">
        <f t="shared" si="1"/>
        <v>N,2,2,2,2</v>
      </c>
      <c r="H29" s="9">
        <f>IF(C29=1,indirect_model_parameters!$G$33,indirect_model_parameters!$G$34)</f>
        <v>0.2</v>
      </c>
      <c r="I29" s="9">
        <f t="shared" si="2"/>
        <v>0</v>
      </c>
      <c r="J29" s="9">
        <f>IF(E29=1,indirect_model_parameters!$G$16,indirect_model_parameters!$G$17)*IF(E29=2,indirect_model_parameters!$G$10,IF(E29=3,indirect_model_parameters!$G$12,IF(E29=4,indirect_model_parameters!$G$14,1)))</f>
        <v>5.3999999999999979E-2</v>
      </c>
      <c r="L29" s="9">
        <f t="shared" si="3"/>
        <v>0</v>
      </c>
      <c r="M29" s="9">
        <f>(L29/SUM($L$2:$L$33))*indirect_model_parameters!$G$22</f>
        <v>0</v>
      </c>
      <c r="N29" s="37">
        <f>M29*indirect_model_parameters!$G$9</f>
        <v>0</v>
      </c>
    </row>
    <row r="30" spans="1:14" ht="48" x14ac:dyDescent="0.2">
      <c r="A30" s="1" t="str">
        <f t="shared" si="0"/>
        <v>Population in TB compartment  Uninfected, on IPT with Drug-susceptible (DS) in HIV compartment  PLHIV not on ART, CD4≤200 and Female</v>
      </c>
      <c r="B30" s="8" t="s">
        <v>239</v>
      </c>
      <c r="C30" s="8">
        <v>2</v>
      </c>
      <c r="D30" s="9">
        <v>1</v>
      </c>
      <c r="E30" s="9">
        <v>3</v>
      </c>
      <c r="F30" s="9">
        <v>2</v>
      </c>
      <c r="G30" s="39" t="str">
        <f t="shared" si="1"/>
        <v>N,2,1,3,2</v>
      </c>
      <c r="H30" s="9">
        <f>IF(C30=1,indirect_model_parameters!$G$33,indirect_model_parameters!$G$34)</f>
        <v>0.2</v>
      </c>
      <c r="I30" s="9">
        <f t="shared" si="2"/>
        <v>1</v>
      </c>
      <c r="J30" s="9">
        <f>IF(E30=1,indirect_model_parameters!$G$16,indirect_model_parameters!$G$17)*IF(E30=2,indirect_model_parameters!$G$10,IF(E30=3,indirect_model_parameters!$G$12,IF(E30=4,indirect_model_parameters!$G$14,1)))</f>
        <v>0.16500000000000001</v>
      </c>
      <c r="L30" s="9">
        <f t="shared" si="3"/>
        <v>3.3000000000000002E-2</v>
      </c>
      <c r="M30" s="9">
        <f>(L30/SUM($L$2:$L$33))*indirect_model_parameters!$G$22</f>
        <v>8.2500000000000039E-3</v>
      </c>
      <c r="N30" s="37">
        <f>M30*indirect_model_parameters!$G$9</f>
        <v>825.00000000000034</v>
      </c>
    </row>
    <row r="31" spans="1:14" ht="48" x14ac:dyDescent="0.2">
      <c r="A31" s="1" t="str">
        <f t="shared" si="0"/>
        <v>Population in TB compartment  Uninfected, on IPT with  Multidrug-resistant (MDR-TB) in HIV compartment  PLHIV not on ART, CD4≤200 and Female</v>
      </c>
      <c r="B31" s="8" t="s">
        <v>239</v>
      </c>
      <c r="C31" s="8">
        <v>2</v>
      </c>
      <c r="D31" s="9">
        <v>2</v>
      </c>
      <c r="E31" s="9">
        <v>3</v>
      </c>
      <c r="F31" s="9">
        <v>2</v>
      </c>
      <c r="G31" s="39" t="str">
        <f t="shared" si="1"/>
        <v>N,2,2,3,2</v>
      </c>
      <c r="H31" s="9">
        <f>IF(C31=1,indirect_model_parameters!$G$33,indirect_model_parameters!$G$34)</f>
        <v>0.2</v>
      </c>
      <c r="I31" s="9">
        <f t="shared" si="2"/>
        <v>0</v>
      </c>
      <c r="J31" s="9">
        <f>IF(E31=1,indirect_model_parameters!$G$16,indirect_model_parameters!$G$17)*IF(E31=2,indirect_model_parameters!$G$10,IF(E31=3,indirect_model_parameters!$G$12,IF(E31=4,indirect_model_parameters!$G$14,1)))</f>
        <v>0.16500000000000001</v>
      </c>
      <c r="L31" s="9">
        <f t="shared" si="3"/>
        <v>0</v>
      </c>
      <c r="M31" s="9">
        <f>(L31/SUM($L$2:$L$33))*indirect_model_parameters!$G$22</f>
        <v>0</v>
      </c>
      <c r="N31" s="37">
        <f>M31*indirect_model_parameters!$G$9</f>
        <v>0</v>
      </c>
    </row>
    <row r="32" spans="1:14" ht="48" x14ac:dyDescent="0.2">
      <c r="A32" s="1" t="str">
        <f t="shared" si="0"/>
        <v>Population in TB compartment  Uninfected, on IPT with Drug-susceptible (DS) in HIV compartment  PLHIV and on ART and Female</v>
      </c>
      <c r="B32" s="8" t="s">
        <v>239</v>
      </c>
      <c r="C32" s="8">
        <v>2</v>
      </c>
      <c r="D32" s="9">
        <v>1</v>
      </c>
      <c r="E32" s="9">
        <v>4</v>
      </c>
      <c r="F32" s="9">
        <v>2</v>
      </c>
      <c r="G32" s="39" t="str">
        <f t="shared" si="1"/>
        <v>N,2,1,4,2</v>
      </c>
      <c r="H32" s="9">
        <f>IF(C32=1,indirect_model_parameters!$G$33,indirect_model_parameters!$G$34)</f>
        <v>0.2</v>
      </c>
      <c r="I32" s="9">
        <f t="shared" si="2"/>
        <v>1</v>
      </c>
      <c r="J32" s="9">
        <f>IF(E32=1,indirect_model_parameters!$G$16,indirect_model_parameters!$G$17)*IF(E32=2,indirect_model_parameters!$G$10,IF(E32=3,indirect_model_parameters!$G$12,IF(E32=4,indirect_model_parameters!$G$14,1)))</f>
        <v>8.1000000000000003E-2</v>
      </c>
      <c r="L32" s="9">
        <f t="shared" si="3"/>
        <v>1.6200000000000003E-2</v>
      </c>
      <c r="M32" s="9">
        <f>(L32/SUM($L$2:$L$33))*indirect_model_parameters!$G$22</f>
        <v>4.0500000000000024E-3</v>
      </c>
      <c r="N32" s="37">
        <f>M32*indirect_model_parameters!$G$9</f>
        <v>405.00000000000023</v>
      </c>
    </row>
    <row r="33" spans="1:14" ht="48" x14ac:dyDescent="0.2">
      <c r="A33" s="1" t="str">
        <f t="shared" si="0"/>
        <v>Population in TB compartment  Uninfected, on IPT with  Multidrug-resistant (MDR-TB) in HIV compartment  PLHIV and on ART and Female</v>
      </c>
      <c r="B33" s="8" t="s">
        <v>239</v>
      </c>
      <c r="C33" s="8">
        <v>2</v>
      </c>
      <c r="D33" s="9">
        <v>2</v>
      </c>
      <c r="E33" s="9">
        <v>4</v>
      </c>
      <c r="F33" s="9">
        <v>2</v>
      </c>
      <c r="G33" s="39" t="str">
        <f t="shared" si="1"/>
        <v>N,2,2,4,2</v>
      </c>
      <c r="H33" s="9">
        <f>IF(C33=1,indirect_model_parameters!$G$33,indirect_model_parameters!$G$34)</f>
        <v>0.2</v>
      </c>
      <c r="I33" s="9">
        <f t="shared" si="2"/>
        <v>0</v>
      </c>
      <c r="J33" s="9">
        <f>IF(E33=1,indirect_model_parameters!$G$16,indirect_model_parameters!$G$17)*IF(E33=2,indirect_model_parameters!$G$10,IF(E33=3,indirect_model_parameters!$G$12,IF(E33=4,indirect_model_parameters!$G$14,1)))</f>
        <v>8.1000000000000003E-2</v>
      </c>
      <c r="L33" s="9">
        <f t="shared" si="3"/>
        <v>0</v>
      </c>
      <c r="M33" s="9">
        <f>(L33/SUM($L$2:$L$33))*indirect_model_parameters!$G$22</f>
        <v>0</v>
      </c>
      <c r="N33" s="37">
        <f>M33*indirect_model_parameters!$G$9</f>
        <v>0</v>
      </c>
    </row>
    <row r="34" spans="1:14" ht="48" x14ac:dyDescent="0.2">
      <c r="A34" s="1" t="str">
        <f t="shared" ref="A34:A65" si="4">CONCATENATE("Population in TB compartment ",VLOOKUP(C34,TB_SET,2), " with ", VLOOKUP(D34,R_SET,2), " in HIV compartment ", VLOOKUP(E34,HIV_SET,2), " and ", VLOOKUP(F34, G_SET,2))</f>
        <v>Population in TB compartment  LTBI, infected recently (at risk for rapid progression) with Drug-susceptible (DS) in HIV compartment  HIV-negative and Male</v>
      </c>
      <c r="B34" s="8" t="s">
        <v>239</v>
      </c>
      <c r="C34" s="8">
        <v>3</v>
      </c>
      <c r="D34" s="9">
        <v>1</v>
      </c>
      <c r="E34" s="9">
        <v>1</v>
      </c>
      <c r="F34" s="9">
        <v>1</v>
      </c>
      <c r="G34" s="39" t="str">
        <f t="shared" ref="G34:G65" si="5">CONCATENATE( B34, IF(B34&lt;&gt;"",",",""), C34, IF(C34&lt;&gt;"",",",""),  D34, IF(D34&lt;&gt;"",",",""),  E34, IF(F34&lt;&gt;"",",",""), F34,)</f>
        <v>N,3,1,1,1</v>
      </c>
      <c r="H34" s="9">
        <f>indirect_model_parameters!$G$30</f>
        <v>0.4</v>
      </c>
      <c r="I34" s="9">
        <f>IF(D34=1,1-indirect_model_parameters!$G$55,indirect_model_parameters!$G$55)</f>
        <v>0.96299999999999997</v>
      </c>
      <c r="J34" s="9">
        <f>IF(E34=1,indirect_model_parameters!$G$16,indirect_model_parameters!$G$17)*IF(E34=2,indirect_model_parameters!$G$10,IF(E34=3,indirect_model_parameters!$G$12,IF(E34=4,indirect_model_parameters!$G$14,1)))</f>
        <v>0.7</v>
      </c>
      <c r="L34" s="9">
        <f t="shared" ref="L34:L65" si="6">PRODUCT(H34:J34)</f>
        <v>0.26963999999999999</v>
      </c>
      <c r="M34" s="9">
        <f>(L34/SUM($L$34:$L$81))*indirect_model_parameters!$G$20</f>
        <v>6.6061800000000004E-2</v>
      </c>
      <c r="N34" s="37">
        <f>M34*indirect_model_parameters!$G$9</f>
        <v>6606.18</v>
      </c>
    </row>
    <row r="35" spans="1:14" ht="48" x14ac:dyDescent="0.2">
      <c r="A35" s="1" t="str">
        <f t="shared" si="4"/>
        <v>Population in TB compartment  LTBI, infected recently (at risk for rapid progression) with  Multidrug-resistant (MDR-TB) in HIV compartment  HIV-negative and Male</v>
      </c>
      <c r="B35" s="8" t="s">
        <v>239</v>
      </c>
      <c r="C35" s="8">
        <v>3</v>
      </c>
      <c r="D35" s="9">
        <v>2</v>
      </c>
      <c r="E35" s="9">
        <v>1</v>
      </c>
      <c r="F35" s="9">
        <v>1</v>
      </c>
      <c r="G35" s="39" t="str">
        <f t="shared" si="5"/>
        <v>N,3,2,1,1</v>
      </c>
      <c r="H35" s="9">
        <f>indirect_model_parameters!$G$30</f>
        <v>0.4</v>
      </c>
      <c r="I35" s="9">
        <f>IF(D35=1,1-indirect_model_parameters!$G$55,indirect_model_parameters!$G$55)</f>
        <v>3.6999999999999998E-2</v>
      </c>
      <c r="J35" s="9">
        <f>IF(E35=1,indirect_model_parameters!$G$16,indirect_model_parameters!$G$17)*IF(E35=2,indirect_model_parameters!$G$10,IF(E35=3,indirect_model_parameters!$G$12,IF(E35=4,indirect_model_parameters!$G$14,1)))</f>
        <v>0.7</v>
      </c>
      <c r="L35" s="9">
        <f t="shared" si="6"/>
        <v>1.0359999999999999E-2</v>
      </c>
      <c r="M35" s="9">
        <f>(L35/SUM($L$34:$L$81))*indirect_model_parameters!$G$20</f>
        <v>2.5382000000000004E-3</v>
      </c>
      <c r="N35" s="37">
        <f>M35*indirect_model_parameters!$G$9</f>
        <v>253.82000000000005</v>
      </c>
    </row>
    <row r="36" spans="1:14" ht="48" x14ac:dyDescent="0.2">
      <c r="A36" s="1" t="str">
        <f t="shared" si="4"/>
        <v>Population in TB compartment  LTBI, infected recently (at risk for rapid progression) with Drug-susceptible (DS) in HIV compartment  PLHIV not on ART, CD4&gt;200 and Male</v>
      </c>
      <c r="B36" s="8" t="s">
        <v>239</v>
      </c>
      <c r="C36" s="8">
        <v>3</v>
      </c>
      <c r="D36" s="9">
        <v>1</v>
      </c>
      <c r="E36" s="9">
        <v>2</v>
      </c>
      <c r="F36" s="9">
        <v>1</v>
      </c>
      <c r="G36" s="39" t="str">
        <f t="shared" si="5"/>
        <v>N,3,1,2,1</v>
      </c>
      <c r="H36" s="9">
        <f>indirect_model_parameters!$G$30</f>
        <v>0.4</v>
      </c>
      <c r="I36" s="9">
        <f>IF(D36=1,1-indirect_model_parameters!$G$55,indirect_model_parameters!$G$55)</f>
        <v>0.96299999999999997</v>
      </c>
      <c r="J36" s="9">
        <f>IF(E36=1,indirect_model_parameters!$G$16,indirect_model_parameters!$G$17)*IF(E36=2,indirect_model_parameters!$G$10,IF(E36=3,indirect_model_parameters!$G$12,IF(E36=4,indirect_model_parameters!$G$14,1)))</f>
        <v>5.3999999999999979E-2</v>
      </c>
      <c r="L36" s="9">
        <f t="shared" si="6"/>
        <v>2.0800799999999991E-2</v>
      </c>
      <c r="M36" s="9">
        <f>(L36/SUM($L$34:$L$81))*indirect_model_parameters!$G$20</f>
        <v>5.0961959999999982E-3</v>
      </c>
      <c r="N36" s="37">
        <f>M36*indirect_model_parameters!$G$9</f>
        <v>509.61959999999982</v>
      </c>
    </row>
    <row r="37" spans="1:14" ht="48" x14ac:dyDescent="0.2">
      <c r="A37" s="1" t="str">
        <f t="shared" si="4"/>
        <v>Population in TB compartment  LTBI, infected recently (at risk for rapid progression) with  Multidrug-resistant (MDR-TB) in HIV compartment  PLHIV not on ART, CD4&gt;200 and Male</v>
      </c>
      <c r="B37" s="8" t="s">
        <v>239</v>
      </c>
      <c r="C37" s="8">
        <v>3</v>
      </c>
      <c r="D37" s="9">
        <v>2</v>
      </c>
      <c r="E37" s="9">
        <v>2</v>
      </c>
      <c r="F37" s="9">
        <v>1</v>
      </c>
      <c r="G37" s="39" t="str">
        <f t="shared" si="5"/>
        <v>N,3,2,2,1</v>
      </c>
      <c r="H37" s="9">
        <f>indirect_model_parameters!$G$30</f>
        <v>0.4</v>
      </c>
      <c r="I37" s="9">
        <f>IF(D37=1,1-indirect_model_parameters!$G$55,indirect_model_parameters!$G$55)</f>
        <v>3.6999999999999998E-2</v>
      </c>
      <c r="J37" s="9">
        <f>IF(E37=1,indirect_model_parameters!$G$16,indirect_model_parameters!$G$17)*IF(E37=2,indirect_model_parameters!$G$10,IF(E37=3,indirect_model_parameters!$G$12,IF(E37=4,indirect_model_parameters!$G$14,1)))</f>
        <v>5.3999999999999979E-2</v>
      </c>
      <c r="L37" s="9">
        <f t="shared" si="6"/>
        <v>7.9919999999999969E-4</v>
      </c>
      <c r="M37" s="9">
        <f>(L37/SUM($L$34:$L$81))*indirect_model_parameters!$G$20</f>
        <v>1.9580399999999994E-4</v>
      </c>
      <c r="N37" s="37">
        <f>M37*indirect_model_parameters!$G$9</f>
        <v>19.580399999999994</v>
      </c>
    </row>
    <row r="38" spans="1:14" ht="48" x14ac:dyDescent="0.2">
      <c r="A38" s="1" t="str">
        <f t="shared" si="4"/>
        <v>Population in TB compartment  LTBI, infected recently (at risk for rapid progression) with Drug-susceptible (DS) in HIV compartment  PLHIV not on ART, CD4≤200 and Male</v>
      </c>
      <c r="B38" s="8" t="s">
        <v>239</v>
      </c>
      <c r="C38" s="8">
        <v>3</v>
      </c>
      <c r="D38" s="9">
        <v>1</v>
      </c>
      <c r="E38" s="9">
        <v>3</v>
      </c>
      <c r="F38" s="9">
        <v>1</v>
      </c>
      <c r="G38" s="39" t="str">
        <f t="shared" si="5"/>
        <v>N,3,1,3,1</v>
      </c>
      <c r="H38" s="9">
        <f>indirect_model_parameters!$G$30</f>
        <v>0.4</v>
      </c>
      <c r="I38" s="9">
        <f>IF(D38=1,1-indirect_model_parameters!$G$55,indirect_model_parameters!$G$55)</f>
        <v>0.96299999999999997</v>
      </c>
      <c r="J38" s="9">
        <f>IF(E38=1,indirect_model_parameters!$G$16,indirect_model_parameters!$G$17)*IF(E38=2,indirect_model_parameters!$G$10,IF(E38=3,indirect_model_parameters!$G$12,IF(E38=4,indirect_model_parameters!$G$14,1)))</f>
        <v>0.16500000000000001</v>
      </c>
      <c r="L38" s="9">
        <f t="shared" si="6"/>
        <v>6.3558000000000003E-2</v>
      </c>
      <c r="M38" s="9">
        <f>(L38/SUM($L$34:$L$81))*indirect_model_parameters!$G$20</f>
        <v>1.5571710000000004E-2</v>
      </c>
      <c r="N38" s="37">
        <f>M38*indirect_model_parameters!$G$9</f>
        <v>1557.1710000000005</v>
      </c>
    </row>
    <row r="39" spans="1:14" ht="48" x14ac:dyDescent="0.2">
      <c r="A39" s="1" t="str">
        <f t="shared" si="4"/>
        <v>Population in TB compartment  LTBI, infected recently (at risk for rapid progression) with  Multidrug-resistant (MDR-TB) in HIV compartment  PLHIV not on ART, CD4≤200 and Male</v>
      </c>
      <c r="B39" s="8" t="s">
        <v>239</v>
      </c>
      <c r="C39" s="8">
        <v>3</v>
      </c>
      <c r="D39" s="9">
        <v>2</v>
      </c>
      <c r="E39" s="9">
        <v>3</v>
      </c>
      <c r="F39" s="9">
        <v>1</v>
      </c>
      <c r="G39" s="39" t="str">
        <f t="shared" si="5"/>
        <v>N,3,2,3,1</v>
      </c>
      <c r="H39" s="9">
        <f>indirect_model_parameters!$G$30</f>
        <v>0.4</v>
      </c>
      <c r="I39" s="9">
        <f>IF(D39=1,1-indirect_model_parameters!$G$55,indirect_model_parameters!$G$55)</f>
        <v>3.6999999999999998E-2</v>
      </c>
      <c r="J39" s="9">
        <f>IF(E39=1,indirect_model_parameters!$G$16,indirect_model_parameters!$G$17)*IF(E39=2,indirect_model_parameters!$G$10,IF(E39=3,indirect_model_parameters!$G$12,IF(E39=4,indirect_model_parameters!$G$14,1)))</f>
        <v>0.16500000000000001</v>
      </c>
      <c r="L39" s="9">
        <f t="shared" si="6"/>
        <v>2.4420000000000002E-3</v>
      </c>
      <c r="M39" s="9">
        <f>(L39/SUM($L$34:$L$81))*indirect_model_parameters!$G$20</f>
        <v>5.9829000000000013E-4</v>
      </c>
      <c r="N39" s="37">
        <f>M39*indirect_model_parameters!$G$9</f>
        <v>59.829000000000015</v>
      </c>
    </row>
    <row r="40" spans="1:14" ht="48" x14ac:dyDescent="0.2">
      <c r="A40" s="1" t="str">
        <f t="shared" si="4"/>
        <v>Population in TB compartment  LTBI, infected recently (at risk for rapid progression) with Drug-susceptible (DS) in HIV compartment  PLHIV and on ART and Male</v>
      </c>
      <c r="B40" s="8" t="s">
        <v>239</v>
      </c>
      <c r="C40" s="8">
        <v>3</v>
      </c>
      <c r="D40" s="9">
        <v>1</v>
      </c>
      <c r="E40" s="9">
        <v>4</v>
      </c>
      <c r="F40" s="9">
        <v>1</v>
      </c>
      <c r="G40" s="39" t="str">
        <f t="shared" si="5"/>
        <v>N,3,1,4,1</v>
      </c>
      <c r="H40" s="9">
        <f>indirect_model_parameters!$G$30</f>
        <v>0.4</v>
      </c>
      <c r="I40" s="9">
        <f>IF(D40=1,1-indirect_model_parameters!$G$55,indirect_model_parameters!$G$55)</f>
        <v>0.96299999999999997</v>
      </c>
      <c r="J40" s="9">
        <f>IF(E40=1,indirect_model_parameters!$G$16,indirect_model_parameters!$G$17)*IF(E40=2,indirect_model_parameters!$G$10,IF(E40=3,indirect_model_parameters!$G$12,IF(E40=4,indirect_model_parameters!$G$14,1)))</f>
        <v>8.1000000000000003E-2</v>
      </c>
      <c r="L40" s="9">
        <f t="shared" si="6"/>
        <v>3.1201199999999998E-2</v>
      </c>
      <c r="M40" s="9">
        <f>(L40/SUM($L$34:$L$81))*indirect_model_parameters!$G$20</f>
        <v>7.6442940000000003E-3</v>
      </c>
      <c r="N40" s="37">
        <f>M40*indirect_model_parameters!$G$9</f>
        <v>764.42939999999999</v>
      </c>
    </row>
    <row r="41" spans="1:14" ht="48" x14ac:dyDescent="0.2">
      <c r="A41" s="1" t="str">
        <f t="shared" si="4"/>
        <v>Population in TB compartment  LTBI, infected recently (at risk for rapid progression) with  Multidrug-resistant (MDR-TB) in HIV compartment  PLHIV and on ART and Male</v>
      </c>
      <c r="B41" s="8" t="s">
        <v>239</v>
      </c>
      <c r="C41" s="8">
        <v>3</v>
      </c>
      <c r="D41" s="9">
        <v>2</v>
      </c>
      <c r="E41" s="9">
        <v>4</v>
      </c>
      <c r="F41" s="9">
        <v>1</v>
      </c>
      <c r="G41" s="39" t="str">
        <f t="shared" si="5"/>
        <v>N,3,2,4,1</v>
      </c>
      <c r="H41" s="9">
        <f>indirect_model_parameters!$G$30</f>
        <v>0.4</v>
      </c>
      <c r="I41" s="9">
        <f>IF(D41=1,1-indirect_model_parameters!$G$55,indirect_model_parameters!$G$55)</f>
        <v>3.6999999999999998E-2</v>
      </c>
      <c r="J41" s="9">
        <f>IF(E41=1,indirect_model_parameters!$G$16,indirect_model_parameters!$G$17)*IF(E41=2,indirect_model_parameters!$G$10,IF(E41=3,indirect_model_parameters!$G$12,IF(E41=4,indirect_model_parameters!$G$14,1)))</f>
        <v>8.1000000000000003E-2</v>
      </c>
      <c r="L41" s="9">
        <f t="shared" si="6"/>
        <v>1.1988000000000001E-3</v>
      </c>
      <c r="M41" s="9">
        <f>(L41/SUM($L$34:$L$81))*indirect_model_parameters!$G$20</f>
        <v>2.9370600000000008E-4</v>
      </c>
      <c r="N41" s="37">
        <f>M41*indirect_model_parameters!$G$9</f>
        <v>29.370600000000007</v>
      </c>
    </row>
    <row r="42" spans="1:14" ht="48" x14ac:dyDescent="0.2">
      <c r="A42" s="1" t="str">
        <f t="shared" si="4"/>
        <v>Population in TB compartment  LTBI, infected recently (at risk for rapid progression) with Drug-susceptible (DS) in HIV compartment  HIV-negative and Female</v>
      </c>
      <c r="B42" s="8" t="s">
        <v>239</v>
      </c>
      <c r="C42" s="8">
        <v>3</v>
      </c>
      <c r="D42" s="9">
        <v>1</v>
      </c>
      <c r="E42" s="9">
        <v>1</v>
      </c>
      <c r="F42" s="9">
        <v>2</v>
      </c>
      <c r="G42" s="39" t="str">
        <f t="shared" si="5"/>
        <v>N,3,1,1,2</v>
      </c>
      <c r="H42" s="9">
        <f>indirect_model_parameters!$G$30</f>
        <v>0.4</v>
      </c>
      <c r="I42" s="9">
        <f>IF(D42=1,1-indirect_model_parameters!$G$55,indirect_model_parameters!$G$55)</f>
        <v>0.96299999999999997</v>
      </c>
      <c r="J42" s="9">
        <f>IF(E42=1,indirect_model_parameters!$G$16,indirect_model_parameters!$G$17)*IF(E42=2,indirect_model_parameters!$G$10,IF(E42=3,indirect_model_parameters!$G$12,IF(E42=4,indirect_model_parameters!$G$14,1)))</f>
        <v>0.7</v>
      </c>
      <c r="L42" s="9">
        <f t="shared" si="6"/>
        <v>0.26963999999999999</v>
      </c>
      <c r="M42" s="9">
        <f>(L42/SUM($L$34:$L$81))*indirect_model_parameters!$G$20</f>
        <v>6.6061800000000004E-2</v>
      </c>
      <c r="N42" s="37">
        <f>M42*indirect_model_parameters!$G$9</f>
        <v>6606.18</v>
      </c>
    </row>
    <row r="43" spans="1:14" ht="48" x14ac:dyDescent="0.2">
      <c r="A43" s="1" t="str">
        <f t="shared" si="4"/>
        <v>Population in TB compartment  LTBI, infected recently (at risk for rapid progression) with  Multidrug-resistant (MDR-TB) in HIV compartment  HIV-negative and Female</v>
      </c>
      <c r="B43" s="8" t="s">
        <v>239</v>
      </c>
      <c r="C43" s="8">
        <v>3</v>
      </c>
      <c r="D43" s="9">
        <v>2</v>
      </c>
      <c r="E43" s="9">
        <v>1</v>
      </c>
      <c r="F43" s="9">
        <v>2</v>
      </c>
      <c r="G43" s="39" t="str">
        <f t="shared" si="5"/>
        <v>N,3,2,1,2</v>
      </c>
      <c r="H43" s="9">
        <f>indirect_model_parameters!$G$30</f>
        <v>0.4</v>
      </c>
      <c r="I43" s="9">
        <f>IF(D43=1,1-indirect_model_parameters!$G$55,indirect_model_parameters!$G$55)</f>
        <v>3.6999999999999998E-2</v>
      </c>
      <c r="J43" s="9">
        <f>IF(E43=1,indirect_model_parameters!$G$16,indirect_model_parameters!$G$17)*IF(E43=2,indirect_model_parameters!$G$10,IF(E43=3,indirect_model_parameters!$G$12,IF(E43=4,indirect_model_parameters!$G$14,1)))</f>
        <v>0.7</v>
      </c>
      <c r="L43" s="9">
        <f t="shared" si="6"/>
        <v>1.0359999999999999E-2</v>
      </c>
      <c r="M43" s="9">
        <f>(L43/SUM($L$34:$L$81))*indirect_model_parameters!$G$20</f>
        <v>2.5382000000000004E-3</v>
      </c>
      <c r="N43" s="37">
        <f>M43*indirect_model_parameters!$G$9</f>
        <v>253.82000000000005</v>
      </c>
    </row>
    <row r="44" spans="1:14" ht="48" x14ac:dyDescent="0.2">
      <c r="A44" s="1" t="str">
        <f t="shared" si="4"/>
        <v>Population in TB compartment  LTBI, infected recently (at risk for rapid progression) with Drug-susceptible (DS) in HIV compartment  PLHIV not on ART, CD4&gt;200 and Female</v>
      </c>
      <c r="B44" s="8" t="s">
        <v>239</v>
      </c>
      <c r="C44" s="8">
        <v>3</v>
      </c>
      <c r="D44" s="9">
        <v>1</v>
      </c>
      <c r="E44" s="9">
        <v>2</v>
      </c>
      <c r="F44" s="9">
        <v>2</v>
      </c>
      <c r="G44" s="39" t="str">
        <f t="shared" si="5"/>
        <v>N,3,1,2,2</v>
      </c>
      <c r="H44" s="9">
        <f>indirect_model_parameters!$G$30</f>
        <v>0.4</v>
      </c>
      <c r="I44" s="9">
        <f>IF(D44=1,1-indirect_model_parameters!$G$55,indirect_model_parameters!$G$55)</f>
        <v>0.96299999999999997</v>
      </c>
      <c r="J44" s="9">
        <f>IF(E44=1,indirect_model_parameters!$G$16,indirect_model_parameters!$G$17)*IF(E44=2,indirect_model_parameters!$G$10,IF(E44=3,indirect_model_parameters!$G$12,IF(E44=4,indirect_model_parameters!$G$14,1)))</f>
        <v>5.3999999999999979E-2</v>
      </c>
      <c r="L44" s="9">
        <f t="shared" si="6"/>
        <v>2.0800799999999991E-2</v>
      </c>
      <c r="M44" s="9">
        <f>(L44/SUM($L$34:$L$81))*indirect_model_parameters!$G$20</f>
        <v>5.0961959999999982E-3</v>
      </c>
      <c r="N44" s="37">
        <f>M44*indirect_model_parameters!$G$9</f>
        <v>509.61959999999982</v>
      </c>
    </row>
    <row r="45" spans="1:14" ht="48" x14ac:dyDescent="0.2">
      <c r="A45" s="1" t="str">
        <f t="shared" si="4"/>
        <v>Population in TB compartment  LTBI, infected recently (at risk for rapid progression) with  Multidrug-resistant (MDR-TB) in HIV compartment  PLHIV not on ART, CD4&gt;200 and Female</v>
      </c>
      <c r="B45" s="8" t="s">
        <v>239</v>
      </c>
      <c r="C45" s="8">
        <v>3</v>
      </c>
      <c r="D45" s="9">
        <v>2</v>
      </c>
      <c r="E45" s="9">
        <v>2</v>
      </c>
      <c r="F45" s="9">
        <v>2</v>
      </c>
      <c r="G45" s="39" t="str">
        <f t="shared" si="5"/>
        <v>N,3,2,2,2</v>
      </c>
      <c r="H45" s="9">
        <f>indirect_model_parameters!$G$30</f>
        <v>0.4</v>
      </c>
      <c r="I45" s="9">
        <f>IF(D45=1,1-indirect_model_parameters!$G$55,indirect_model_parameters!$G$55)</f>
        <v>3.6999999999999998E-2</v>
      </c>
      <c r="J45" s="9">
        <f>IF(E45=1,indirect_model_parameters!$G$16,indirect_model_parameters!$G$17)*IF(E45=2,indirect_model_parameters!$G$10,IF(E45=3,indirect_model_parameters!$G$12,IF(E45=4,indirect_model_parameters!$G$14,1)))</f>
        <v>5.3999999999999979E-2</v>
      </c>
      <c r="L45" s="9">
        <f t="shared" si="6"/>
        <v>7.9919999999999969E-4</v>
      </c>
      <c r="M45" s="9">
        <f>(L45/SUM($L$34:$L$81))*indirect_model_parameters!$G$20</f>
        <v>1.9580399999999994E-4</v>
      </c>
      <c r="N45" s="37">
        <f>M45*indirect_model_parameters!$G$9</f>
        <v>19.580399999999994</v>
      </c>
    </row>
    <row r="46" spans="1:14" ht="48" x14ac:dyDescent="0.2">
      <c r="A46" s="1" t="str">
        <f t="shared" si="4"/>
        <v>Population in TB compartment  LTBI, infected recently (at risk for rapid progression) with Drug-susceptible (DS) in HIV compartment  PLHIV not on ART, CD4≤200 and Female</v>
      </c>
      <c r="B46" s="8" t="s">
        <v>239</v>
      </c>
      <c r="C46" s="8">
        <v>3</v>
      </c>
      <c r="D46" s="9">
        <v>1</v>
      </c>
      <c r="E46" s="9">
        <v>3</v>
      </c>
      <c r="F46" s="9">
        <v>2</v>
      </c>
      <c r="G46" s="39" t="str">
        <f t="shared" si="5"/>
        <v>N,3,1,3,2</v>
      </c>
      <c r="H46" s="9">
        <f>indirect_model_parameters!$G$30</f>
        <v>0.4</v>
      </c>
      <c r="I46" s="9">
        <f>IF(D46=1,1-indirect_model_parameters!$G$55,indirect_model_parameters!$G$55)</f>
        <v>0.96299999999999997</v>
      </c>
      <c r="J46" s="9">
        <f>IF(E46=1,indirect_model_parameters!$G$16,indirect_model_parameters!$G$17)*IF(E46=2,indirect_model_parameters!$G$10,IF(E46=3,indirect_model_parameters!$G$12,IF(E46=4,indirect_model_parameters!$G$14,1)))</f>
        <v>0.16500000000000001</v>
      </c>
      <c r="L46" s="9">
        <f t="shared" si="6"/>
        <v>6.3558000000000003E-2</v>
      </c>
      <c r="M46" s="9">
        <f>(L46/SUM($L$34:$L$81))*indirect_model_parameters!$G$20</f>
        <v>1.5571710000000004E-2</v>
      </c>
      <c r="N46" s="37">
        <f>M46*indirect_model_parameters!$G$9</f>
        <v>1557.1710000000005</v>
      </c>
    </row>
    <row r="47" spans="1:14" ht="48" x14ac:dyDescent="0.2">
      <c r="A47" s="1" t="str">
        <f t="shared" si="4"/>
        <v>Population in TB compartment  LTBI, infected recently (at risk for rapid progression) with  Multidrug-resistant (MDR-TB) in HIV compartment  PLHIV not on ART, CD4≤200 and Female</v>
      </c>
      <c r="B47" s="8" t="s">
        <v>239</v>
      </c>
      <c r="C47" s="8">
        <v>3</v>
      </c>
      <c r="D47" s="9">
        <v>2</v>
      </c>
      <c r="E47" s="9">
        <v>3</v>
      </c>
      <c r="F47" s="9">
        <v>2</v>
      </c>
      <c r="G47" s="39" t="str">
        <f t="shared" si="5"/>
        <v>N,3,2,3,2</v>
      </c>
      <c r="H47" s="9">
        <f>indirect_model_parameters!$G$30</f>
        <v>0.4</v>
      </c>
      <c r="I47" s="9">
        <f>IF(D47=1,1-indirect_model_parameters!$G$55,indirect_model_parameters!$G$55)</f>
        <v>3.6999999999999998E-2</v>
      </c>
      <c r="J47" s="9">
        <f>IF(E47=1,indirect_model_parameters!$G$16,indirect_model_parameters!$G$17)*IF(E47=2,indirect_model_parameters!$G$10,IF(E47=3,indirect_model_parameters!$G$12,IF(E47=4,indirect_model_parameters!$G$14,1)))</f>
        <v>0.16500000000000001</v>
      </c>
      <c r="L47" s="9">
        <f t="shared" si="6"/>
        <v>2.4420000000000002E-3</v>
      </c>
      <c r="M47" s="9">
        <f>(L47/SUM($L$34:$L$81))*indirect_model_parameters!$G$20</f>
        <v>5.9829000000000013E-4</v>
      </c>
      <c r="N47" s="37">
        <f>M47*indirect_model_parameters!$G$9</f>
        <v>59.829000000000015</v>
      </c>
    </row>
    <row r="48" spans="1:14" ht="48" x14ac:dyDescent="0.2">
      <c r="A48" s="1" t="str">
        <f t="shared" si="4"/>
        <v>Population in TB compartment  LTBI, infected recently (at risk for rapid progression) with Drug-susceptible (DS) in HIV compartment  PLHIV and on ART and Female</v>
      </c>
      <c r="B48" s="8" t="s">
        <v>239</v>
      </c>
      <c r="C48" s="8">
        <v>3</v>
      </c>
      <c r="D48" s="9">
        <v>1</v>
      </c>
      <c r="E48" s="9">
        <v>4</v>
      </c>
      <c r="F48" s="9">
        <v>2</v>
      </c>
      <c r="G48" s="39" t="str">
        <f t="shared" si="5"/>
        <v>N,3,1,4,2</v>
      </c>
      <c r="H48" s="9">
        <f>indirect_model_parameters!$G$30</f>
        <v>0.4</v>
      </c>
      <c r="I48" s="9">
        <f>IF(D48=1,1-indirect_model_parameters!$G$55,indirect_model_parameters!$G$55)</f>
        <v>0.96299999999999997</v>
      </c>
      <c r="J48" s="9">
        <f>IF(E48=1,indirect_model_parameters!$G$16,indirect_model_parameters!$G$17)*IF(E48=2,indirect_model_parameters!$G$10,IF(E48=3,indirect_model_parameters!$G$12,IF(E48=4,indirect_model_parameters!$G$14,1)))</f>
        <v>8.1000000000000003E-2</v>
      </c>
      <c r="L48" s="9">
        <f t="shared" si="6"/>
        <v>3.1201199999999998E-2</v>
      </c>
      <c r="M48" s="9">
        <f>(L48/SUM($L$34:$L$81))*indirect_model_parameters!$G$20</f>
        <v>7.6442940000000003E-3</v>
      </c>
      <c r="N48" s="37">
        <f>M48*indirect_model_parameters!$G$9</f>
        <v>764.42939999999999</v>
      </c>
    </row>
    <row r="49" spans="1:14" ht="48" x14ac:dyDescent="0.2">
      <c r="A49" s="1" t="str">
        <f t="shared" si="4"/>
        <v>Population in TB compartment  LTBI, infected recently (at risk for rapid progression) with  Multidrug-resistant (MDR-TB) in HIV compartment  PLHIV and on ART and Female</v>
      </c>
      <c r="B49" s="8" t="s">
        <v>239</v>
      </c>
      <c r="C49" s="8">
        <v>3</v>
      </c>
      <c r="D49" s="9">
        <v>2</v>
      </c>
      <c r="E49" s="9">
        <v>4</v>
      </c>
      <c r="F49" s="9">
        <v>2</v>
      </c>
      <c r="G49" s="39" t="str">
        <f t="shared" si="5"/>
        <v>N,3,2,4,2</v>
      </c>
      <c r="H49" s="9">
        <f>indirect_model_parameters!$G$30</f>
        <v>0.4</v>
      </c>
      <c r="I49" s="9">
        <f>IF(D49=1,1-indirect_model_parameters!$G$55,indirect_model_parameters!$G$55)</f>
        <v>3.6999999999999998E-2</v>
      </c>
      <c r="J49" s="9">
        <f>IF(E49=1,indirect_model_parameters!$G$16,indirect_model_parameters!$G$17)*IF(E49=2,indirect_model_parameters!$G$10,IF(E49=3,indirect_model_parameters!$G$12,IF(E49=4,indirect_model_parameters!$G$14,1)))</f>
        <v>8.1000000000000003E-2</v>
      </c>
      <c r="L49" s="9">
        <f t="shared" si="6"/>
        <v>1.1988000000000001E-3</v>
      </c>
      <c r="M49" s="9">
        <f>(L49/SUM($L$34:$L$81))*indirect_model_parameters!$G$20</f>
        <v>2.9370600000000008E-4</v>
      </c>
      <c r="N49" s="37">
        <f>M49*indirect_model_parameters!$G$9</f>
        <v>29.370600000000007</v>
      </c>
    </row>
    <row r="50" spans="1:14" ht="32" x14ac:dyDescent="0.2">
      <c r="A50" s="1" t="str">
        <f t="shared" si="4"/>
        <v>Population in TB compartment  LTBI, infected remotely with Drug-susceptible (DS) in HIV compartment  HIV-negative and Male</v>
      </c>
      <c r="B50" s="8" t="s">
        <v>239</v>
      </c>
      <c r="C50" s="8">
        <v>4</v>
      </c>
      <c r="D50" s="9">
        <v>1</v>
      </c>
      <c r="E50" s="9">
        <v>1</v>
      </c>
      <c r="F50" s="9">
        <v>1</v>
      </c>
      <c r="G50" s="39" t="str">
        <f t="shared" si="5"/>
        <v>N,4,1,1,1</v>
      </c>
      <c r="H50" s="9">
        <f>indirect_model_parameters!$G$31</f>
        <v>0.5</v>
      </c>
      <c r="I50" s="9">
        <f>IF(D50=1,1-indirect_model_parameters!$G$55,indirect_model_parameters!$G$55)</f>
        <v>0.96299999999999997</v>
      </c>
      <c r="J50" s="9">
        <f>IF(E50=1,indirect_model_parameters!$G$16,indirect_model_parameters!$G$17)*IF(E50=2,indirect_model_parameters!$G$10,IF(E50=3,indirect_model_parameters!$G$12,IF(E50=4,indirect_model_parameters!$G$14,1)))</f>
        <v>0.7</v>
      </c>
      <c r="L50" s="9">
        <f t="shared" si="6"/>
        <v>0.33704999999999996</v>
      </c>
      <c r="M50" s="9">
        <f>(L50/SUM($L$34:$L$81))*indirect_model_parameters!$G$20</f>
        <v>8.2577250000000005E-2</v>
      </c>
      <c r="N50" s="37">
        <f>M50*indirect_model_parameters!$G$9</f>
        <v>8257.7250000000004</v>
      </c>
    </row>
    <row r="51" spans="1:14" ht="48" x14ac:dyDescent="0.2">
      <c r="A51" s="1" t="str">
        <f t="shared" si="4"/>
        <v>Population in TB compartment  LTBI, infected remotely with  Multidrug-resistant (MDR-TB) in HIV compartment  HIV-negative and Male</v>
      </c>
      <c r="B51" s="8" t="s">
        <v>239</v>
      </c>
      <c r="C51" s="8">
        <v>4</v>
      </c>
      <c r="D51" s="9">
        <v>2</v>
      </c>
      <c r="E51" s="9">
        <v>1</v>
      </c>
      <c r="F51" s="9">
        <v>1</v>
      </c>
      <c r="G51" s="39" t="str">
        <f t="shared" si="5"/>
        <v>N,4,2,1,1</v>
      </c>
      <c r="H51" s="9">
        <f>indirect_model_parameters!$G$31</f>
        <v>0.5</v>
      </c>
      <c r="I51" s="9">
        <f>IF(D51=1,1-indirect_model_parameters!$G$55,indirect_model_parameters!$G$55)</f>
        <v>3.6999999999999998E-2</v>
      </c>
      <c r="J51" s="9">
        <f>IF(E51=1,indirect_model_parameters!$G$16,indirect_model_parameters!$G$17)*IF(E51=2,indirect_model_parameters!$G$10,IF(E51=3,indirect_model_parameters!$G$12,IF(E51=4,indirect_model_parameters!$G$14,1)))</f>
        <v>0.7</v>
      </c>
      <c r="L51" s="9">
        <f t="shared" si="6"/>
        <v>1.2949999999999998E-2</v>
      </c>
      <c r="M51" s="9">
        <f>(L51/SUM($L$34:$L$81))*indirect_model_parameters!$G$20</f>
        <v>3.1727499999999998E-3</v>
      </c>
      <c r="N51" s="37">
        <f>M51*indirect_model_parameters!$G$9</f>
        <v>317.27499999999998</v>
      </c>
    </row>
    <row r="52" spans="1:14" ht="48" x14ac:dyDescent="0.2">
      <c r="A52" s="1" t="str">
        <f t="shared" si="4"/>
        <v>Population in TB compartment  LTBI, infected remotely with Drug-susceptible (DS) in HIV compartment  PLHIV not on ART, CD4&gt;200 and Male</v>
      </c>
      <c r="B52" s="8" t="s">
        <v>239</v>
      </c>
      <c r="C52" s="8">
        <v>4</v>
      </c>
      <c r="D52" s="9">
        <v>1</v>
      </c>
      <c r="E52" s="9">
        <v>2</v>
      </c>
      <c r="F52" s="9">
        <v>1</v>
      </c>
      <c r="G52" s="39" t="str">
        <f t="shared" si="5"/>
        <v>N,4,1,2,1</v>
      </c>
      <c r="H52" s="9">
        <f>indirect_model_parameters!$G$31</f>
        <v>0.5</v>
      </c>
      <c r="I52" s="9">
        <f>IF(D52=1,1-indirect_model_parameters!$G$55,indirect_model_parameters!$G$55)</f>
        <v>0.96299999999999997</v>
      </c>
      <c r="J52" s="9">
        <f>IF(E52=1,indirect_model_parameters!$G$16,indirect_model_parameters!$G$17)*IF(E52=2,indirect_model_parameters!$G$10,IF(E52=3,indirect_model_parameters!$G$12,IF(E52=4,indirect_model_parameters!$G$14,1)))</f>
        <v>5.3999999999999979E-2</v>
      </c>
      <c r="L52" s="9">
        <f t="shared" si="6"/>
        <v>2.6000999999999989E-2</v>
      </c>
      <c r="M52" s="9">
        <f>(L52/SUM($L$34:$L$81))*indirect_model_parameters!$G$20</f>
        <v>6.3702449999999983E-3</v>
      </c>
      <c r="N52" s="37">
        <f>M52*indirect_model_parameters!$G$9</f>
        <v>637.02449999999988</v>
      </c>
    </row>
    <row r="53" spans="1:14" ht="48" x14ac:dyDescent="0.2">
      <c r="A53" s="1" t="str">
        <f t="shared" si="4"/>
        <v>Population in TB compartment  LTBI, infected remotely with  Multidrug-resistant (MDR-TB) in HIV compartment  PLHIV not on ART, CD4&gt;200 and Male</v>
      </c>
      <c r="B53" s="8" t="s">
        <v>239</v>
      </c>
      <c r="C53" s="8">
        <v>4</v>
      </c>
      <c r="D53" s="9">
        <v>2</v>
      </c>
      <c r="E53" s="9">
        <v>2</v>
      </c>
      <c r="F53" s="9">
        <v>1</v>
      </c>
      <c r="G53" s="39" t="str">
        <f t="shared" si="5"/>
        <v>N,4,2,2,1</v>
      </c>
      <c r="H53" s="9">
        <f>indirect_model_parameters!$G$31</f>
        <v>0.5</v>
      </c>
      <c r="I53" s="9">
        <f>IF(D53=1,1-indirect_model_parameters!$G$55,indirect_model_parameters!$G$55)</f>
        <v>3.6999999999999998E-2</v>
      </c>
      <c r="J53" s="9">
        <f>IF(E53=1,indirect_model_parameters!$G$16,indirect_model_parameters!$G$17)*IF(E53=2,indirect_model_parameters!$G$10,IF(E53=3,indirect_model_parameters!$G$12,IF(E53=4,indirect_model_parameters!$G$14,1)))</f>
        <v>5.3999999999999979E-2</v>
      </c>
      <c r="L53" s="9">
        <f t="shared" si="6"/>
        <v>9.9899999999999945E-4</v>
      </c>
      <c r="M53" s="9">
        <f>(L53/SUM($L$34:$L$81))*indirect_model_parameters!$G$20</f>
        <v>2.4475499999999993E-4</v>
      </c>
      <c r="N53" s="37">
        <f>M53*indirect_model_parameters!$G$9</f>
        <v>24.475499999999993</v>
      </c>
    </row>
    <row r="54" spans="1:14" ht="48" x14ac:dyDescent="0.2">
      <c r="A54" s="1" t="str">
        <f t="shared" si="4"/>
        <v>Population in TB compartment  LTBI, infected remotely with Drug-susceptible (DS) in HIV compartment  PLHIV not on ART, CD4≤200 and Male</v>
      </c>
      <c r="B54" s="8" t="s">
        <v>239</v>
      </c>
      <c r="C54" s="8">
        <v>4</v>
      </c>
      <c r="D54" s="9">
        <v>1</v>
      </c>
      <c r="E54" s="9">
        <v>3</v>
      </c>
      <c r="F54" s="9">
        <v>1</v>
      </c>
      <c r="G54" s="39" t="str">
        <f t="shared" si="5"/>
        <v>N,4,1,3,1</v>
      </c>
      <c r="H54" s="9">
        <f>indirect_model_parameters!$G$31</f>
        <v>0.5</v>
      </c>
      <c r="I54" s="9">
        <f>IF(D54=1,1-indirect_model_parameters!$G$55,indirect_model_parameters!$G$55)</f>
        <v>0.96299999999999997</v>
      </c>
      <c r="J54" s="9">
        <f>IF(E54=1,indirect_model_parameters!$G$16,indirect_model_parameters!$G$17)*IF(E54=2,indirect_model_parameters!$G$10,IF(E54=3,indirect_model_parameters!$G$12,IF(E54=4,indirect_model_parameters!$G$14,1)))</f>
        <v>0.16500000000000001</v>
      </c>
      <c r="L54" s="9">
        <f t="shared" si="6"/>
        <v>7.9447500000000004E-2</v>
      </c>
      <c r="M54" s="9">
        <f>(L54/SUM($L$34:$L$81))*indirect_model_parameters!$G$20</f>
        <v>1.9464637500000003E-2</v>
      </c>
      <c r="N54" s="37">
        <f>M54*indirect_model_parameters!$G$9</f>
        <v>1946.4637500000003</v>
      </c>
    </row>
    <row r="55" spans="1:14" ht="48" x14ac:dyDescent="0.2">
      <c r="A55" s="1" t="str">
        <f t="shared" si="4"/>
        <v>Population in TB compartment  LTBI, infected remotely with  Multidrug-resistant (MDR-TB) in HIV compartment  PLHIV not on ART, CD4≤200 and Male</v>
      </c>
      <c r="B55" s="8" t="s">
        <v>239</v>
      </c>
      <c r="C55" s="8">
        <v>4</v>
      </c>
      <c r="D55" s="9">
        <v>2</v>
      </c>
      <c r="E55" s="9">
        <v>3</v>
      </c>
      <c r="F55" s="9">
        <v>1</v>
      </c>
      <c r="G55" s="39" t="str">
        <f t="shared" si="5"/>
        <v>N,4,2,3,1</v>
      </c>
      <c r="H55" s="9">
        <f>indirect_model_parameters!$G$31</f>
        <v>0.5</v>
      </c>
      <c r="I55" s="9">
        <f>IF(D55=1,1-indirect_model_parameters!$G$55,indirect_model_parameters!$G$55)</f>
        <v>3.6999999999999998E-2</v>
      </c>
      <c r="J55" s="9">
        <f>IF(E55=1,indirect_model_parameters!$G$16,indirect_model_parameters!$G$17)*IF(E55=2,indirect_model_parameters!$G$10,IF(E55=3,indirect_model_parameters!$G$12,IF(E55=4,indirect_model_parameters!$G$14,1)))</f>
        <v>0.16500000000000001</v>
      </c>
      <c r="L55" s="9">
        <f t="shared" si="6"/>
        <v>3.0525000000000001E-3</v>
      </c>
      <c r="M55" s="9">
        <f>(L55/SUM($L$34:$L$81))*indirect_model_parameters!$G$20</f>
        <v>7.4786250000000013E-4</v>
      </c>
      <c r="N55" s="37">
        <f>M55*indirect_model_parameters!$G$9</f>
        <v>74.78625000000001</v>
      </c>
    </row>
    <row r="56" spans="1:14" ht="32" x14ac:dyDescent="0.2">
      <c r="A56" s="1" t="str">
        <f t="shared" si="4"/>
        <v>Population in TB compartment  LTBI, infected remotely with Drug-susceptible (DS) in HIV compartment  PLHIV and on ART and Male</v>
      </c>
      <c r="B56" s="8" t="s">
        <v>239</v>
      </c>
      <c r="C56" s="8">
        <v>4</v>
      </c>
      <c r="D56" s="9">
        <v>1</v>
      </c>
      <c r="E56" s="9">
        <v>4</v>
      </c>
      <c r="F56" s="9">
        <v>1</v>
      </c>
      <c r="G56" s="39" t="str">
        <f t="shared" si="5"/>
        <v>N,4,1,4,1</v>
      </c>
      <c r="H56" s="9">
        <f>indirect_model_parameters!$G$31</f>
        <v>0.5</v>
      </c>
      <c r="I56" s="9">
        <f>IF(D56=1,1-indirect_model_parameters!$G$55,indirect_model_parameters!$G$55)</f>
        <v>0.96299999999999997</v>
      </c>
      <c r="J56" s="9">
        <f>IF(E56=1,indirect_model_parameters!$G$16,indirect_model_parameters!$G$17)*IF(E56=2,indirect_model_parameters!$G$10,IF(E56=3,indirect_model_parameters!$G$12,IF(E56=4,indirect_model_parameters!$G$14,1)))</f>
        <v>8.1000000000000003E-2</v>
      </c>
      <c r="L56" s="9">
        <f t="shared" si="6"/>
        <v>3.9001500000000001E-2</v>
      </c>
      <c r="M56" s="9">
        <f>(L56/SUM($L$34:$L$81))*indirect_model_parameters!$G$20</f>
        <v>9.5553675000000018E-3</v>
      </c>
      <c r="N56" s="37">
        <f>M56*indirect_model_parameters!$G$9</f>
        <v>955.53675000000021</v>
      </c>
    </row>
    <row r="57" spans="1:14" ht="48" x14ac:dyDescent="0.2">
      <c r="A57" s="1" t="str">
        <f t="shared" si="4"/>
        <v>Population in TB compartment  LTBI, infected remotely with  Multidrug-resistant (MDR-TB) in HIV compartment  PLHIV and on ART and Male</v>
      </c>
      <c r="B57" s="8" t="s">
        <v>239</v>
      </c>
      <c r="C57" s="8">
        <v>4</v>
      </c>
      <c r="D57" s="9">
        <v>2</v>
      </c>
      <c r="E57" s="9">
        <v>4</v>
      </c>
      <c r="F57" s="9">
        <v>1</v>
      </c>
      <c r="G57" s="39" t="str">
        <f t="shared" si="5"/>
        <v>N,4,2,4,1</v>
      </c>
      <c r="H57" s="9">
        <f>indirect_model_parameters!$G$31</f>
        <v>0.5</v>
      </c>
      <c r="I57" s="9">
        <f>IF(D57=1,1-indirect_model_parameters!$G$55,indirect_model_parameters!$G$55)</f>
        <v>3.6999999999999998E-2</v>
      </c>
      <c r="J57" s="9">
        <f>IF(E57=1,indirect_model_parameters!$G$16,indirect_model_parameters!$G$17)*IF(E57=2,indirect_model_parameters!$G$10,IF(E57=3,indirect_model_parameters!$G$12,IF(E57=4,indirect_model_parameters!$G$14,1)))</f>
        <v>8.1000000000000003E-2</v>
      </c>
      <c r="L57" s="9">
        <f t="shared" si="6"/>
        <v>1.4985E-3</v>
      </c>
      <c r="M57" s="9">
        <f>(L57/SUM($L$34:$L$81))*indirect_model_parameters!$G$20</f>
        <v>3.6713250000000006E-4</v>
      </c>
      <c r="N57" s="37">
        <f>M57*indirect_model_parameters!$G$9</f>
        <v>36.713250000000002</v>
      </c>
    </row>
    <row r="58" spans="1:14" ht="32" x14ac:dyDescent="0.2">
      <c r="A58" s="1" t="str">
        <f t="shared" si="4"/>
        <v>Population in TB compartment  LTBI, infected remotely with Drug-susceptible (DS) in HIV compartment  HIV-negative and Female</v>
      </c>
      <c r="B58" s="8" t="s">
        <v>239</v>
      </c>
      <c r="C58" s="8">
        <v>4</v>
      </c>
      <c r="D58" s="9">
        <v>1</v>
      </c>
      <c r="E58" s="9">
        <v>1</v>
      </c>
      <c r="F58" s="9">
        <v>2</v>
      </c>
      <c r="G58" s="39" t="str">
        <f t="shared" si="5"/>
        <v>N,4,1,1,2</v>
      </c>
      <c r="H58" s="9">
        <f>indirect_model_parameters!$G$31</f>
        <v>0.5</v>
      </c>
      <c r="I58" s="9">
        <f>IF(D58=1,1-indirect_model_parameters!$G$55,indirect_model_parameters!$G$55)</f>
        <v>0.96299999999999997</v>
      </c>
      <c r="J58" s="9">
        <f>IF(E58=1,indirect_model_parameters!$G$16,indirect_model_parameters!$G$17)*IF(E58=2,indirect_model_parameters!$G$10,IF(E58=3,indirect_model_parameters!$G$12,IF(E58=4,indirect_model_parameters!$G$14,1)))</f>
        <v>0.7</v>
      </c>
      <c r="L58" s="9">
        <f t="shared" si="6"/>
        <v>0.33704999999999996</v>
      </c>
      <c r="M58" s="9">
        <f>(L58/SUM($L$34:$L$81))*indirect_model_parameters!$G$20</f>
        <v>8.2577250000000005E-2</v>
      </c>
      <c r="N58" s="37">
        <f>M58*indirect_model_parameters!$G$9</f>
        <v>8257.7250000000004</v>
      </c>
    </row>
    <row r="59" spans="1:14" ht="48" x14ac:dyDescent="0.2">
      <c r="A59" s="1" t="str">
        <f t="shared" si="4"/>
        <v>Population in TB compartment  LTBI, infected remotely with  Multidrug-resistant (MDR-TB) in HIV compartment  HIV-negative and Female</v>
      </c>
      <c r="B59" s="8" t="s">
        <v>239</v>
      </c>
      <c r="C59" s="8">
        <v>4</v>
      </c>
      <c r="D59" s="9">
        <v>2</v>
      </c>
      <c r="E59" s="9">
        <v>1</v>
      </c>
      <c r="F59" s="9">
        <v>2</v>
      </c>
      <c r="G59" s="39" t="str">
        <f t="shared" si="5"/>
        <v>N,4,2,1,2</v>
      </c>
      <c r="H59" s="9">
        <f>indirect_model_parameters!$G$31</f>
        <v>0.5</v>
      </c>
      <c r="I59" s="9">
        <f>IF(D59=1,1-indirect_model_parameters!$G$55,indirect_model_parameters!$G$55)</f>
        <v>3.6999999999999998E-2</v>
      </c>
      <c r="J59" s="9">
        <f>IF(E59=1,indirect_model_parameters!$G$16,indirect_model_parameters!$G$17)*IF(E59=2,indirect_model_parameters!$G$10,IF(E59=3,indirect_model_parameters!$G$12,IF(E59=4,indirect_model_parameters!$G$14,1)))</f>
        <v>0.7</v>
      </c>
      <c r="L59" s="9">
        <f t="shared" si="6"/>
        <v>1.2949999999999998E-2</v>
      </c>
      <c r="M59" s="9">
        <f>(L59/SUM($L$34:$L$81))*indirect_model_parameters!$G$20</f>
        <v>3.1727499999999998E-3</v>
      </c>
      <c r="N59" s="37">
        <f>M59*indirect_model_parameters!$G$9</f>
        <v>317.27499999999998</v>
      </c>
    </row>
    <row r="60" spans="1:14" ht="48" x14ac:dyDescent="0.2">
      <c r="A60" s="1" t="str">
        <f t="shared" si="4"/>
        <v>Population in TB compartment  LTBI, infected remotely with Drug-susceptible (DS) in HIV compartment  PLHIV not on ART, CD4&gt;200 and Female</v>
      </c>
      <c r="B60" s="8" t="s">
        <v>239</v>
      </c>
      <c r="C60" s="8">
        <v>4</v>
      </c>
      <c r="D60" s="9">
        <v>1</v>
      </c>
      <c r="E60" s="9">
        <v>2</v>
      </c>
      <c r="F60" s="9">
        <v>2</v>
      </c>
      <c r="G60" s="39" t="str">
        <f t="shared" si="5"/>
        <v>N,4,1,2,2</v>
      </c>
      <c r="H60" s="9">
        <f>indirect_model_parameters!$G$31</f>
        <v>0.5</v>
      </c>
      <c r="I60" s="9">
        <f>IF(D60=1,1-indirect_model_parameters!$G$55,indirect_model_parameters!$G$55)</f>
        <v>0.96299999999999997</v>
      </c>
      <c r="J60" s="9">
        <f>IF(E60=1,indirect_model_parameters!$G$16,indirect_model_parameters!$G$17)*IF(E60=2,indirect_model_parameters!$G$10,IF(E60=3,indirect_model_parameters!$G$12,IF(E60=4,indirect_model_parameters!$G$14,1)))</f>
        <v>5.3999999999999979E-2</v>
      </c>
      <c r="L60" s="9">
        <f t="shared" si="6"/>
        <v>2.6000999999999989E-2</v>
      </c>
      <c r="M60" s="9">
        <f>(L60/SUM($L$34:$L$81))*indirect_model_parameters!$G$20</f>
        <v>6.3702449999999983E-3</v>
      </c>
      <c r="N60" s="37">
        <f>M60*indirect_model_parameters!$G$9</f>
        <v>637.02449999999988</v>
      </c>
    </row>
    <row r="61" spans="1:14" ht="48" x14ac:dyDescent="0.2">
      <c r="A61" s="1" t="str">
        <f t="shared" si="4"/>
        <v>Population in TB compartment  LTBI, infected remotely with  Multidrug-resistant (MDR-TB) in HIV compartment  PLHIV not on ART, CD4&gt;200 and Female</v>
      </c>
      <c r="B61" s="8" t="s">
        <v>239</v>
      </c>
      <c r="C61" s="8">
        <v>4</v>
      </c>
      <c r="D61" s="9">
        <v>2</v>
      </c>
      <c r="E61" s="9">
        <v>2</v>
      </c>
      <c r="F61" s="9">
        <v>2</v>
      </c>
      <c r="G61" s="39" t="str">
        <f t="shared" si="5"/>
        <v>N,4,2,2,2</v>
      </c>
      <c r="H61" s="9">
        <f>indirect_model_parameters!$G$31</f>
        <v>0.5</v>
      </c>
      <c r="I61" s="9">
        <f>IF(D61=1,1-indirect_model_parameters!$G$55,indirect_model_parameters!$G$55)</f>
        <v>3.6999999999999998E-2</v>
      </c>
      <c r="J61" s="9">
        <f>IF(E61=1,indirect_model_parameters!$G$16,indirect_model_parameters!$G$17)*IF(E61=2,indirect_model_parameters!$G$10,IF(E61=3,indirect_model_parameters!$G$12,IF(E61=4,indirect_model_parameters!$G$14,1)))</f>
        <v>5.3999999999999979E-2</v>
      </c>
      <c r="L61" s="9">
        <f t="shared" si="6"/>
        <v>9.9899999999999945E-4</v>
      </c>
      <c r="M61" s="9">
        <f>(L61/SUM($L$34:$L$81))*indirect_model_parameters!$G$20</f>
        <v>2.4475499999999993E-4</v>
      </c>
      <c r="N61" s="37">
        <f>M61*indirect_model_parameters!$G$9</f>
        <v>24.475499999999993</v>
      </c>
    </row>
    <row r="62" spans="1:14" ht="48" x14ac:dyDescent="0.2">
      <c r="A62" s="1" t="str">
        <f t="shared" si="4"/>
        <v>Population in TB compartment  LTBI, infected remotely with Drug-susceptible (DS) in HIV compartment  PLHIV not on ART, CD4≤200 and Female</v>
      </c>
      <c r="B62" s="8" t="s">
        <v>239</v>
      </c>
      <c r="C62" s="8">
        <v>4</v>
      </c>
      <c r="D62" s="9">
        <v>1</v>
      </c>
      <c r="E62" s="9">
        <v>3</v>
      </c>
      <c r="F62" s="9">
        <v>2</v>
      </c>
      <c r="G62" s="39" t="str">
        <f t="shared" si="5"/>
        <v>N,4,1,3,2</v>
      </c>
      <c r="H62" s="9">
        <f>indirect_model_parameters!$G$31</f>
        <v>0.5</v>
      </c>
      <c r="I62" s="9">
        <f>IF(D62=1,1-indirect_model_parameters!$G$55,indirect_model_parameters!$G$55)</f>
        <v>0.96299999999999997</v>
      </c>
      <c r="J62" s="9">
        <f>IF(E62=1,indirect_model_parameters!$G$16,indirect_model_parameters!$G$17)*IF(E62=2,indirect_model_parameters!$G$10,IF(E62=3,indirect_model_parameters!$G$12,IF(E62=4,indirect_model_parameters!$G$14,1)))</f>
        <v>0.16500000000000001</v>
      </c>
      <c r="L62" s="9">
        <f t="shared" si="6"/>
        <v>7.9447500000000004E-2</v>
      </c>
      <c r="M62" s="9">
        <f>(L62/SUM($L$34:$L$81))*indirect_model_parameters!$G$20</f>
        <v>1.9464637500000003E-2</v>
      </c>
      <c r="N62" s="37">
        <f>M62*indirect_model_parameters!$G$9</f>
        <v>1946.4637500000003</v>
      </c>
    </row>
    <row r="63" spans="1:14" ht="48" x14ac:dyDescent="0.2">
      <c r="A63" s="1" t="str">
        <f t="shared" si="4"/>
        <v>Population in TB compartment  LTBI, infected remotely with  Multidrug-resistant (MDR-TB) in HIV compartment  PLHIV not on ART, CD4≤200 and Female</v>
      </c>
      <c r="B63" s="8" t="s">
        <v>239</v>
      </c>
      <c r="C63" s="8">
        <v>4</v>
      </c>
      <c r="D63" s="9">
        <v>2</v>
      </c>
      <c r="E63" s="9">
        <v>3</v>
      </c>
      <c r="F63" s="9">
        <v>2</v>
      </c>
      <c r="G63" s="39" t="str">
        <f t="shared" si="5"/>
        <v>N,4,2,3,2</v>
      </c>
      <c r="H63" s="9">
        <f>indirect_model_parameters!$G$31</f>
        <v>0.5</v>
      </c>
      <c r="I63" s="9">
        <f>IF(D63=1,1-indirect_model_parameters!$G$55,indirect_model_parameters!$G$55)</f>
        <v>3.6999999999999998E-2</v>
      </c>
      <c r="J63" s="9">
        <f>IF(E63=1,indirect_model_parameters!$G$16,indirect_model_parameters!$G$17)*IF(E63=2,indirect_model_parameters!$G$10,IF(E63=3,indirect_model_parameters!$G$12,IF(E63=4,indirect_model_parameters!$G$14,1)))</f>
        <v>0.16500000000000001</v>
      </c>
      <c r="L63" s="9">
        <f t="shared" si="6"/>
        <v>3.0525000000000001E-3</v>
      </c>
      <c r="M63" s="9">
        <f>(L63/SUM($L$34:$L$81))*indirect_model_parameters!$G$20</f>
        <v>7.4786250000000013E-4</v>
      </c>
      <c r="N63" s="37">
        <f>M63*indirect_model_parameters!$G$9</f>
        <v>74.78625000000001</v>
      </c>
    </row>
    <row r="64" spans="1:14" ht="48" x14ac:dyDescent="0.2">
      <c r="A64" s="1" t="str">
        <f t="shared" si="4"/>
        <v>Population in TB compartment  LTBI, infected remotely with Drug-susceptible (DS) in HIV compartment  PLHIV and on ART and Female</v>
      </c>
      <c r="B64" s="8" t="s">
        <v>239</v>
      </c>
      <c r="C64" s="8">
        <v>4</v>
      </c>
      <c r="D64" s="9">
        <v>1</v>
      </c>
      <c r="E64" s="9">
        <v>4</v>
      </c>
      <c r="F64" s="9">
        <v>2</v>
      </c>
      <c r="G64" s="39" t="str">
        <f t="shared" si="5"/>
        <v>N,4,1,4,2</v>
      </c>
      <c r="H64" s="9">
        <f>indirect_model_parameters!$G$31</f>
        <v>0.5</v>
      </c>
      <c r="I64" s="9">
        <f>IF(D64=1,1-indirect_model_parameters!$G$55,indirect_model_parameters!$G$55)</f>
        <v>0.96299999999999997</v>
      </c>
      <c r="J64" s="9">
        <f>IF(E64=1,indirect_model_parameters!$G$16,indirect_model_parameters!$G$17)*IF(E64=2,indirect_model_parameters!$G$10,IF(E64=3,indirect_model_parameters!$G$12,IF(E64=4,indirect_model_parameters!$G$14,1)))</f>
        <v>8.1000000000000003E-2</v>
      </c>
      <c r="L64" s="9">
        <f t="shared" si="6"/>
        <v>3.9001500000000001E-2</v>
      </c>
      <c r="M64" s="9">
        <f>(L64/SUM($L$34:$L$81))*indirect_model_parameters!$G$20</f>
        <v>9.5553675000000018E-3</v>
      </c>
      <c r="N64" s="37">
        <f>M64*indirect_model_parameters!$G$9</f>
        <v>955.53675000000021</v>
      </c>
    </row>
    <row r="65" spans="1:14" ht="48" x14ac:dyDescent="0.2">
      <c r="A65" s="1" t="str">
        <f t="shared" si="4"/>
        <v>Population in TB compartment  LTBI, infected remotely with  Multidrug-resistant (MDR-TB) in HIV compartment  PLHIV and on ART and Female</v>
      </c>
      <c r="B65" s="8" t="s">
        <v>239</v>
      </c>
      <c r="C65" s="8">
        <v>4</v>
      </c>
      <c r="D65" s="9">
        <v>2</v>
      </c>
      <c r="E65" s="9">
        <v>4</v>
      </c>
      <c r="F65" s="9">
        <v>2</v>
      </c>
      <c r="G65" s="39" t="str">
        <f t="shared" si="5"/>
        <v>N,4,2,4,2</v>
      </c>
      <c r="H65" s="9">
        <f>indirect_model_parameters!$G$31</f>
        <v>0.5</v>
      </c>
      <c r="I65" s="9">
        <f>IF(D65=1,1-indirect_model_parameters!$G$55,indirect_model_parameters!$G$55)</f>
        <v>3.6999999999999998E-2</v>
      </c>
      <c r="J65" s="9">
        <f>IF(E65=1,indirect_model_parameters!$G$16,indirect_model_parameters!$G$17)*IF(E65=2,indirect_model_parameters!$G$10,IF(E65=3,indirect_model_parameters!$G$12,IF(E65=4,indirect_model_parameters!$G$14,1)))</f>
        <v>8.1000000000000003E-2</v>
      </c>
      <c r="L65" s="9">
        <f t="shared" si="6"/>
        <v>1.4985E-3</v>
      </c>
      <c r="M65" s="9">
        <f>(L65/SUM($L$34:$L$81))*indirect_model_parameters!$G$20</f>
        <v>3.6713250000000006E-4</v>
      </c>
      <c r="N65" s="37">
        <f>M65*indirect_model_parameters!$G$9</f>
        <v>36.713250000000002</v>
      </c>
    </row>
    <row r="66" spans="1:14" ht="32" x14ac:dyDescent="0.2">
      <c r="A66" s="1" t="str">
        <f t="shared" ref="A66:A97" si="7">CONCATENATE("Population in TB compartment ",VLOOKUP(C66,TB_SET,2), " with ", VLOOKUP(D66,R_SET,2), " in HIV compartment ", VLOOKUP(E66,HIV_SET,2), " and ", VLOOKUP(F66, G_SET,2))</f>
        <v>Population in TB compartment  LTBI, on IPT with Drug-susceptible (DS) in HIV compartment  HIV-negative and Male</v>
      </c>
      <c r="B66" s="8" t="s">
        <v>239</v>
      </c>
      <c r="C66" s="8">
        <v>5</v>
      </c>
      <c r="D66" s="9">
        <v>1</v>
      </c>
      <c r="E66" s="9">
        <v>1</v>
      </c>
      <c r="F66" s="9">
        <v>1</v>
      </c>
      <c r="G66" s="39" t="str">
        <f t="shared" ref="G66:G97" si="8">CONCATENATE( B66, IF(B66&lt;&gt;"",",",""), C66, IF(C66&lt;&gt;"",",",""),  D66, IF(D66&lt;&gt;"",",",""),  E66, IF(F66&lt;&gt;"",",",""), F66,)</f>
        <v>N,5,1,1,1</v>
      </c>
      <c r="H66" s="9">
        <f>indirect_model_parameters!$G$32</f>
        <v>0.1</v>
      </c>
      <c r="I66" s="9">
        <f>IF(D66=1,1-indirect_model_parameters!$G$55,indirect_model_parameters!$G$55)</f>
        <v>0.96299999999999997</v>
      </c>
      <c r="J66" s="9">
        <f>IF(E66=1,indirect_model_parameters!$G$16,indirect_model_parameters!$G$17)*IF(E66=2,indirect_model_parameters!$G$10,IF(E66=3,indirect_model_parameters!$G$12,IF(E66=4,indirect_model_parameters!$G$14,1)))</f>
        <v>0.7</v>
      </c>
      <c r="L66" s="9">
        <f t="shared" ref="L66:L97" si="9">PRODUCT(H66:J66)</f>
        <v>6.7409999999999998E-2</v>
      </c>
      <c r="M66" s="9">
        <f>(L66/SUM($L$34:$L$81))*indirect_model_parameters!$G$20</f>
        <v>1.6515450000000001E-2</v>
      </c>
      <c r="N66" s="37">
        <f>M66*indirect_model_parameters!$G$9</f>
        <v>1651.5450000000001</v>
      </c>
    </row>
    <row r="67" spans="1:14" ht="32" x14ac:dyDescent="0.2">
      <c r="A67" s="1" t="str">
        <f t="shared" si="7"/>
        <v>Population in TB compartment  LTBI, on IPT with  Multidrug-resistant (MDR-TB) in HIV compartment  HIV-negative and Male</v>
      </c>
      <c r="B67" s="8" t="s">
        <v>239</v>
      </c>
      <c r="C67" s="8">
        <v>5</v>
      </c>
      <c r="D67" s="9">
        <v>2</v>
      </c>
      <c r="E67" s="9">
        <v>1</v>
      </c>
      <c r="F67" s="9">
        <v>1</v>
      </c>
      <c r="G67" s="39" t="str">
        <f t="shared" si="8"/>
        <v>N,5,2,1,1</v>
      </c>
      <c r="H67" s="9">
        <f>indirect_model_parameters!$G$32</f>
        <v>0.1</v>
      </c>
      <c r="I67" s="9">
        <f>IF(D67=1,1-indirect_model_parameters!$G$55,indirect_model_parameters!$G$55)</f>
        <v>3.6999999999999998E-2</v>
      </c>
      <c r="J67" s="9">
        <f>IF(E67=1,indirect_model_parameters!$G$16,indirect_model_parameters!$G$17)*IF(E67=2,indirect_model_parameters!$G$10,IF(E67=3,indirect_model_parameters!$G$12,IF(E67=4,indirect_model_parameters!$G$14,1)))</f>
        <v>0.7</v>
      </c>
      <c r="L67" s="9">
        <f t="shared" si="9"/>
        <v>2.5899999999999999E-3</v>
      </c>
      <c r="M67" s="9">
        <f>(L67/SUM($L$34:$L$81))*indirect_model_parameters!$G$20</f>
        <v>6.3455000000000011E-4</v>
      </c>
      <c r="N67" s="37">
        <f>M67*indirect_model_parameters!$G$9</f>
        <v>63.455000000000013</v>
      </c>
    </row>
    <row r="68" spans="1:14" ht="32" x14ac:dyDescent="0.2">
      <c r="A68" s="1" t="str">
        <f t="shared" si="7"/>
        <v>Population in TB compartment  LTBI, on IPT with Drug-susceptible (DS) in HIV compartment  PLHIV not on ART, CD4&gt;200 and Male</v>
      </c>
      <c r="B68" s="8" t="s">
        <v>239</v>
      </c>
      <c r="C68" s="8">
        <v>5</v>
      </c>
      <c r="D68" s="9">
        <v>1</v>
      </c>
      <c r="E68" s="9">
        <v>2</v>
      </c>
      <c r="F68" s="9">
        <v>1</v>
      </c>
      <c r="G68" s="39" t="str">
        <f t="shared" si="8"/>
        <v>N,5,1,2,1</v>
      </c>
      <c r="H68" s="9">
        <f>indirect_model_parameters!$G$32</f>
        <v>0.1</v>
      </c>
      <c r="I68" s="9">
        <f>IF(D68=1,1-indirect_model_parameters!$G$55,indirect_model_parameters!$G$55)</f>
        <v>0.96299999999999997</v>
      </c>
      <c r="J68" s="9">
        <f>IF(E68=1,indirect_model_parameters!$G$16,indirect_model_parameters!$G$17)*IF(E68=2,indirect_model_parameters!$G$10,IF(E68=3,indirect_model_parameters!$G$12,IF(E68=4,indirect_model_parameters!$G$14,1)))</f>
        <v>5.3999999999999979E-2</v>
      </c>
      <c r="L68" s="9">
        <f t="shared" si="9"/>
        <v>5.2001999999999977E-3</v>
      </c>
      <c r="M68" s="9">
        <f>(L68/SUM($L$34:$L$81))*indirect_model_parameters!$G$20</f>
        <v>1.2740489999999995E-3</v>
      </c>
      <c r="N68" s="37">
        <f>M68*indirect_model_parameters!$G$9</f>
        <v>127.40489999999996</v>
      </c>
    </row>
    <row r="69" spans="1:14" ht="48" x14ac:dyDescent="0.2">
      <c r="A69" s="1" t="str">
        <f t="shared" si="7"/>
        <v>Population in TB compartment  LTBI, on IPT with  Multidrug-resistant (MDR-TB) in HIV compartment  PLHIV not on ART, CD4&gt;200 and Male</v>
      </c>
      <c r="B69" s="8" t="s">
        <v>239</v>
      </c>
      <c r="C69" s="8">
        <v>5</v>
      </c>
      <c r="D69" s="9">
        <v>2</v>
      </c>
      <c r="E69" s="9">
        <v>2</v>
      </c>
      <c r="F69" s="9">
        <v>1</v>
      </c>
      <c r="G69" s="39" t="str">
        <f t="shared" si="8"/>
        <v>N,5,2,2,1</v>
      </c>
      <c r="H69" s="9">
        <f>indirect_model_parameters!$G$32</f>
        <v>0.1</v>
      </c>
      <c r="I69" s="9">
        <f>IF(D69=1,1-indirect_model_parameters!$G$55,indirect_model_parameters!$G$55)</f>
        <v>3.6999999999999998E-2</v>
      </c>
      <c r="J69" s="9">
        <f>IF(E69=1,indirect_model_parameters!$G$16,indirect_model_parameters!$G$17)*IF(E69=2,indirect_model_parameters!$G$10,IF(E69=3,indirect_model_parameters!$G$12,IF(E69=4,indirect_model_parameters!$G$14,1)))</f>
        <v>5.3999999999999979E-2</v>
      </c>
      <c r="L69" s="9">
        <f t="shared" si="9"/>
        <v>1.9979999999999992E-4</v>
      </c>
      <c r="M69" s="9">
        <f>(L69/SUM($L$34:$L$81))*indirect_model_parameters!$G$20</f>
        <v>4.8950999999999986E-5</v>
      </c>
      <c r="N69" s="37">
        <f>M69*indirect_model_parameters!$G$9</f>
        <v>4.8950999999999985</v>
      </c>
    </row>
    <row r="70" spans="1:14" ht="32" x14ac:dyDescent="0.2">
      <c r="A70" s="1" t="str">
        <f t="shared" si="7"/>
        <v>Population in TB compartment  LTBI, on IPT with Drug-susceptible (DS) in HIV compartment  PLHIV not on ART, CD4≤200 and Male</v>
      </c>
      <c r="B70" s="8" t="s">
        <v>239</v>
      </c>
      <c r="C70" s="8">
        <v>5</v>
      </c>
      <c r="D70" s="9">
        <v>1</v>
      </c>
      <c r="E70" s="9">
        <v>3</v>
      </c>
      <c r="F70" s="9">
        <v>1</v>
      </c>
      <c r="G70" s="39" t="str">
        <f t="shared" si="8"/>
        <v>N,5,1,3,1</v>
      </c>
      <c r="H70" s="9">
        <f>indirect_model_parameters!$G$32</f>
        <v>0.1</v>
      </c>
      <c r="I70" s="9">
        <f>IF(D70=1,1-indirect_model_parameters!$G$55,indirect_model_parameters!$G$55)</f>
        <v>0.96299999999999997</v>
      </c>
      <c r="J70" s="9">
        <f>IF(E70=1,indirect_model_parameters!$G$16,indirect_model_parameters!$G$17)*IF(E70=2,indirect_model_parameters!$G$10,IF(E70=3,indirect_model_parameters!$G$12,IF(E70=4,indirect_model_parameters!$G$14,1)))</f>
        <v>0.16500000000000001</v>
      </c>
      <c r="L70" s="9">
        <f t="shared" si="9"/>
        <v>1.5889500000000001E-2</v>
      </c>
      <c r="M70" s="9">
        <f>(L70/SUM($L$34:$L$81))*indirect_model_parameters!$G$20</f>
        <v>3.8929275000000011E-3</v>
      </c>
      <c r="N70" s="37">
        <f>M70*indirect_model_parameters!$G$9</f>
        <v>389.29275000000013</v>
      </c>
    </row>
    <row r="71" spans="1:14" ht="48" x14ac:dyDescent="0.2">
      <c r="A71" s="1" t="str">
        <f t="shared" si="7"/>
        <v>Population in TB compartment  LTBI, on IPT with  Multidrug-resistant (MDR-TB) in HIV compartment  PLHIV not on ART, CD4≤200 and Male</v>
      </c>
      <c r="B71" s="8" t="s">
        <v>239</v>
      </c>
      <c r="C71" s="8">
        <v>5</v>
      </c>
      <c r="D71" s="9">
        <v>2</v>
      </c>
      <c r="E71" s="9">
        <v>3</v>
      </c>
      <c r="F71" s="9">
        <v>1</v>
      </c>
      <c r="G71" s="39" t="str">
        <f t="shared" si="8"/>
        <v>N,5,2,3,1</v>
      </c>
      <c r="H71" s="9">
        <f>indirect_model_parameters!$G$32</f>
        <v>0.1</v>
      </c>
      <c r="I71" s="9">
        <f>IF(D71=1,1-indirect_model_parameters!$G$55,indirect_model_parameters!$G$55)</f>
        <v>3.6999999999999998E-2</v>
      </c>
      <c r="J71" s="9">
        <f>IF(E71=1,indirect_model_parameters!$G$16,indirect_model_parameters!$G$17)*IF(E71=2,indirect_model_parameters!$G$10,IF(E71=3,indirect_model_parameters!$G$12,IF(E71=4,indirect_model_parameters!$G$14,1)))</f>
        <v>0.16500000000000001</v>
      </c>
      <c r="L71" s="9">
        <f t="shared" si="9"/>
        <v>6.1050000000000004E-4</v>
      </c>
      <c r="M71" s="9">
        <f>(L71/SUM($L$34:$L$81))*indirect_model_parameters!$G$20</f>
        <v>1.4957250000000003E-4</v>
      </c>
      <c r="N71" s="37">
        <f>M71*indirect_model_parameters!$G$9</f>
        <v>14.957250000000004</v>
      </c>
    </row>
    <row r="72" spans="1:14" ht="32" x14ac:dyDescent="0.2">
      <c r="A72" s="1" t="str">
        <f t="shared" si="7"/>
        <v>Population in TB compartment  LTBI, on IPT with Drug-susceptible (DS) in HIV compartment  PLHIV and on ART and Male</v>
      </c>
      <c r="B72" s="8" t="s">
        <v>239</v>
      </c>
      <c r="C72" s="8">
        <v>5</v>
      </c>
      <c r="D72" s="9">
        <v>1</v>
      </c>
      <c r="E72" s="9">
        <v>4</v>
      </c>
      <c r="F72" s="9">
        <v>1</v>
      </c>
      <c r="G72" s="39" t="str">
        <f t="shared" si="8"/>
        <v>N,5,1,4,1</v>
      </c>
      <c r="H72" s="9">
        <f>indirect_model_parameters!$G$32</f>
        <v>0.1</v>
      </c>
      <c r="I72" s="9">
        <f>IF(D72=1,1-indirect_model_parameters!$G$55,indirect_model_parameters!$G$55)</f>
        <v>0.96299999999999997</v>
      </c>
      <c r="J72" s="9">
        <f>IF(E72=1,indirect_model_parameters!$G$16,indirect_model_parameters!$G$17)*IF(E72=2,indirect_model_parameters!$G$10,IF(E72=3,indirect_model_parameters!$G$12,IF(E72=4,indirect_model_parameters!$G$14,1)))</f>
        <v>8.1000000000000003E-2</v>
      </c>
      <c r="L72" s="9">
        <f t="shared" si="9"/>
        <v>7.8002999999999996E-3</v>
      </c>
      <c r="M72" s="9">
        <f>(L72/SUM($L$34:$L$81))*indirect_model_parameters!$G$20</f>
        <v>1.9110735000000001E-3</v>
      </c>
      <c r="N72" s="37">
        <f>M72*indirect_model_parameters!$G$9</f>
        <v>191.10735</v>
      </c>
    </row>
    <row r="73" spans="1:14" ht="48" x14ac:dyDescent="0.2">
      <c r="A73" s="1" t="str">
        <f t="shared" si="7"/>
        <v>Population in TB compartment  LTBI, on IPT with  Multidrug-resistant (MDR-TB) in HIV compartment  PLHIV and on ART and Male</v>
      </c>
      <c r="B73" s="8" t="s">
        <v>239</v>
      </c>
      <c r="C73" s="8">
        <v>5</v>
      </c>
      <c r="D73" s="9">
        <v>2</v>
      </c>
      <c r="E73" s="9">
        <v>4</v>
      </c>
      <c r="F73" s="9">
        <v>1</v>
      </c>
      <c r="G73" s="39" t="str">
        <f t="shared" si="8"/>
        <v>N,5,2,4,1</v>
      </c>
      <c r="H73" s="9">
        <f>indirect_model_parameters!$G$32</f>
        <v>0.1</v>
      </c>
      <c r="I73" s="9">
        <f>IF(D73=1,1-indirect_model_parameters!$G$55,indirect_model_parameters!$G$55)</f>
        <v>3.6999999999999998E-2</v>
      </c>
      <c r="J73" s="9">
        <f>IF(E73=1,indirect_model_parameters!$G$16,indirect_model_parameters!$G$17)*IF(E73=2,indirect_model_parameters!$G$10,IF(E73=3,indirect_model_parameters!$G$12,IF(E73=4,indirect_model_parameters!$G$14,1)))</f>
        <v>8.1000000000000003E-2</v>
      </c>
      <c r="L73" s="9">
        <f t="shared" si="9"/>
        <v>2.9970000000000002E-4</v>
      </c>
      <c r="M73" s="9">
        <f>(L73/SUM($L$34:$L$81))*indirect_model_parameters!$G$20</f>
        <v>7.3426500000000019E-5</v>
      </c>
      <c r="N73" s="37">
        <f>M73*indirect_model_parameters!$G$9</f>
        <v>7.3426500000000017</v>
      </c>
    </row>
    <row r="74" spans="1:14" ht="32" x14ac:dyDescent="0.2">
      <c r="A74" s="1" t="str">
        <f t="shared" si="7"/>
        <v>Population in TB compartment  LTBI, on IPT with Drug-susceptible (DS) in HIV compartment  HIV-negative and Female</v>
      </c>
      <c r="B74" s="8" t="s">
        <v>239</v>
      </c>
      <c r="C74" s="8">
        <v>5</v>
      </c>
      <c r="D74" s="9">
        <v>1</v>
      </c>
      <c r="E74" s="9">
        <v>1</v>
      </c>
      <c r="F74" s="9">
        <v>2</v>
      </c>
      <c r="G74" s="39" t="str">
        <f t="shared" si="8"/>
        <v>N,5,1,1,2</v>
      </c>
      <c r="H74" s="9">
        <f>indirect_model_parameters!$G$32</f>
        <v>0.1</v>
      </c>
      <c r="I74" s="9">
        <f>IF(D74=1,1-indirect_model_parameters!$G$55,indirect_model_parameters!$G$55)</f>
        <v>0.96299999999999997</v>
      </c>
      <c r="J74" s="9">
        <f>IF(E74=1,indirect_model_parameters!$G$16,indirect_model_parameters!$G$17)*IF(E74=2,indirect_model_parameters!$G$10,IF(E74=3,indirect_model_parameters!$G$12,IF(E74=4,indirect_model_parameters!$G$14,1)))</f>
        <v>0.7</v>
      </c>
      <c r="L74" s="9">
        <f t="shared" si="9"/>
        <v>6.7409999999999998E-2</v>
      </c>
      <c r="M74" s="9">
        <f>(L74/SUM($L$34:$L$81))*indirect_model_parameters!$G$20</f>
        <v>1.6515450000000001E-2</v>
      </c>
      <c r="N74" s="37">
        <f>M74*indirect_model_parameters!$G$9</f>
        <v>1651.5450000000001</v>
      </c>
    </row>
    <row r="75" spans="1:14" ht="32" x14ac:dyDescent="0.2">
      <c r="A75" s="1" t="str">
        <f t="shared" si="7"/>
        <v>Population in TB compartment  LTBI, on IPT with  Multidrug-resistant (MDR-TB) in HIV compartment  HIV-negative and Female</v>
      </c>
      <c r="B75" s="8" t="s">
        <v>239</v>
      </c>
      <c r="C75" s="8">
        <v>5</v>
      </c>
      <c r="D75" s="9">
        <v>2</v>
      </c>
      <c r="E75" s="9">
        <v>1</v>
      </c>
      <c r="F75" s="9">
        <v>2</v>
      </c>
      <c r="G75" s="39" t="str">
        <f t="shared" si="8"/>
        <v>N,5,2,1,2</v>
      </c>
      <c r="H75" s="9">
        <f>indirect_model_parameters!$G$32</f>
        <v>0.1</v>
      </c>
      <c r="I75" s="9">
        <f>IF(D75=1,1-indirect_model_parameters!$G$55,indirect_model_parameters!$G$55)</f>
        <v>3.6999999999999998E-2</v>
      </c>
      <c r="J75" s="9">
        <f>IF(E75=1,indirect_model_parameters!$G$16,indirect_model_parameters!$G$17)*IF(E75=2,indirect_model_parameters!$G$10,IF(E75=3,indirect_model_parameters!$G$12,IF(E75=4,indirect_model_parameters!$G$14,1)))</f>
        <v>0.7</v>
      </c>
      <c r="L75" s="9">
        <f t="shared" si="9"/>
        <v>2.5899999999999999E-3</v>
      </c>
      <c r="M75" s="9">
        <f>(L75/SUM($L$34:$L$81))*indirect_model_parameters!$G$20</f>
        <v>6.3455000000000011E-4</v>
      </c>
      <c r="N75" s="37">
        <f>M75*indirect_model_parameters!$G$9</f>
        <v>63.455000000000013</v>
      </c>
    </row>
    <row r="76" spans="1:14" ht="32" x14ac:dyDescent="0.2">
      <c r="A76" s="1" t="str">
        <f t="shared" si="7"/>
        <v>Population in TB compartment  LTBI, on IPT with Drug-susceptible (DS) in HIV compartment  PLHIV not on ART, CD4&gt;200 and Female</v>
      </c>
      <c r="B76" s="8" t="s">
        <v>239</v>
      </c>
      <c r="C76" s="8">
        <v>5</v>
      </c>
      <c r="D76" s="9">
        <v>1</v>
      </c>
      <c r="E76" s="9">
        <v>2</v>
      </c>
      <c r="F76" s="9">
        <v>2</v>
      </c>
      <c r="G76" s="39" t="str">
        <f t="shared" si="8"/>
        <v>N,5,1,2,2</v>
      </c>
      <c r="H76" s="9">
        <f>indirect_model_parameters!$G$32</f>
        <v>0.1</v>
      </c>
      <c r="I76" s="9">
        <f>IF(D76=1,1-indirect_model_parameters!$G$55,indirect_model_parameters!$G$55)</f>
        <v>0.96299999999999997</v>
      </c>
      <c r="J76" s="9">
        <f>IF(E76=1,indirect_model_parameters!$G$16,indirect_model_parameters!$G$17)*IF(E76=2,indirect_model_parameters!$G$10,IF(E76=3,indirect_model_parameters!$G$12,IF(E76=4,indirect_model_parameters!$G$14,1)))</f>
        <v>5.3999999999999979E-2</v>
      </c>
      <c r="L76" s="9">
        <f t="shared" si="9"/>
        <v>5.2001999999999977E-3</v>
      </c>
      <c r="M76" s="9">
        <f>(L76/SUM($L$34:$L$81))*indirect_model_parameters!$G$20</f>
        <v>1.2740489999999995E-3</v>
      </c>
      <c r="N76" s="37">
        <f>M76*indirect_model_parameters!$G$9</f>
        <v>127.40489999999996</v>
      </c>
    </row>
    <row r="77" spans="1:14" ht="48" x14ac:dyDescent="0.2">
      <c r="A77" s="1" t="str">
        <f t="shared" si="7"/>
        <v>Population in TB compartment  LTBI, on IPT with  Multidrug-resistant (MDR-TB) in HIV compartment  PLHIV not on ART, CD4&gt;200 and Female</v>
      </c>
      <c r="B77" s="8" t="s">
        <v>239</v>
      </c>
      <c r="C77" s="8">
        <v>5</v>
      </c>
      <c r="D77" s="9">
        <v>2</v>
      </c>
      <c r="E77" s="9">
        <v>2</v>
      </c>
      <c r="F77" s="9">
        <v>2</v>
      </c>
      <c r="G77" s="39" t="str">
        <f t="shared" si="8"/>
        <v>N,5,2,2,2</v>
      </c>
      <c r="H77" s="9">
        <f>indirect_model_parameters!$G$32</f>
        <v>0.1</v>
      </c>
      <c r="I77" s="9">
        <f>IF(D77=1,1-indirect_model_parameters!$G$55,indirect_model_parameters!$G$55)</f>
        <v>3.6999999999999998E-2</v>
      </c>
      <c r="J77" s="9">
        <f>IF(E77=1,indirect_model_parameters!$G$16,indirect_model_parameters!$G$17)*IF(E77=2,indirect_model_parameters!$G$10,IF(E77=3,indirect_model_parameters!$G$12,IF(E77=4,indirect_model_parameters!$G$14,1)))</f>
        <v>5.3999999999999979E-2</v>
      </c>
      <c r="L77" s="9">
        <f t="shared" si="9"/>
        <v>1.9979999999999992E-4</v>
      </c>
      <c r="M77" s="9">
        <f>(L77/SUM($L$34:$L$81))*indirect_model_parameters!$G$20</f>
        <v>4.8950999999999986E-5</v>
      </c>
      <c r="N77" s="37">
        <f>M77*indirect_model_parameters!$G$9</f>
        <v>4.8950999999999985</v>
      </c>
    </row>
    <row r="78" spans="1:14" ht="32" x14ac:dyDescent="0.2">
      <c r="A78" s="1" t="str">
        <f t="shared" si="7"/>
        <v>Population in TB compartment  LTBI, on IPT with Drug-susceptible (DS) in HIV compartment  PLHIV not on ART, CD4≤200 and Female</v>
      </c>
      <c r="B78" s="8" t="s">
        <v>239</v>
      </c>
      <c r="C78" s="8">
        <v>5</v>
      </c>
      <c r="D78" s="9">
        <v>1</v>
      </c>
      <c r="E78" s="9">
        <v>3</v>
      </c>
      <c r="F78" s="9">
        <v>2</v>
      </c>
      <c r="G78" s="39" t="str">
        <f t="shared" si="8"/>
        <v>N,5,1,3,2</v>
      </c>
      <c r="H78" s="9">
        <f>indirect_model_parameters!$G$32</f>
        <v>0.1</v>
      </c>
      <c r="I78" s="9">
        <f>IF(D78=1,1-indirect_model_parameters!$G$55,indirect_model_parameters!$G$55)</f>
        <v>0.96299999999999997</v>
      </c>
      <c r="J78" s="9">
        <f>IF(E78=1,indirect_model_parameters!$G$16,indirect_model_parameters!$G$17)*IF(E78=2,indirect_model_parameters!$G$10,IF(E78=3,indirect_model_parameters!$G$12,IF(E78=4,indirect_model_parameters!$G$14,1)))</f>
        <v>0.16500000000000001</v>
      </c>
      <c r="L78" s="9">
        <f t="shared" si="9"/>
        <v>1.5889500000000001E-2</v>
      </c>
      <c r="M78" s="9">
        <f>(L78/SUM($L$34:$L$81))*indirect_model_parameters!$G$20</f>
        <v>3.8929275000000011E-3</v>
      </c>
      <c r="N78" s="37">
        <f>M78*indirect_model_parameters!$G$9</f>
        <v>389.29275000000013</v>
      </c>
    </row>
    <row r="79" spans="1:14" ht="48" x14ac:dyDescent="0.2">
      <c r="A79" s="1" t="str">
        <f t="shared" si="7"/>
        <v>Population in TB compartment  LTBI, on IPT with  Multidrug-resistant (MDR-TB) in HIV compartment  PLHIV not on ART, CD4≤200 and Female</v>
      </c>
      <c r="B79" s="8" t="s">
        <v>239</v>
      </c>
      <c r="C79" s="8">
        <v>5</v>
      </c>
      <c r="D79" s="9">
        <v>2</v>
      </c>
      <c r="E79" s="9">
        <v>3</v>
      </c>
      <c r="F79" s="9">
        <v>2</v>
      </c>
      <c r="G79" s="39" t="str">
        <f t="shared" si="8"/>
        <v>N,5,2,3,2</v>
      </c>
      <c r="H79" s="9">
        <f>indirect_model_parameters!$G$32</f>
        <v>0.1</v>
      </c>
      <c r="I79" s="9">
        <f>IF(D79=1,1-indirect_model_parameters!$G$55,indirect_model_parameters!$G$55)</f>
        <v>3.6999999999999998E-2</v>
      </c>
      <c r="J79" s="9">
        <f>IF(E79=1,indirect_model_parameters!$G$16,indirect_model_parameters!$G$17)*IF(E79=2,indirect_model_parameters!$G$10,IF(E79=3,indirect_model_parameters!$G$12,IF(E79=4,indirect_model_parameters!$G$14,1)))</f>
        <v>0.16500000000000001</v>
      </c>
      <c r="L79" s="9">
        <f t="shared" si="9"/>
        <v>6.1050000000000004E-4</v>
      </c>
      <c r="M79" s="9">
        <f>(L79/SUM($L$34:$L$81))*indirect_model_parameters!$G$20</f>
        <v>1.4957250000000003E-4</v>
      </c>
      <c r="N79" s="37">
        <f>M79*indirect_model_parameters!$G$9</f>
        <v>14.957250000000004</v>
      </c>
    </row>
    <row r="80" spans="1:14" ht="32" x14ac:dyDescent="0.2">
      <c r="A80" s="1" t="str">
        <f t="shared" si="7"/>
        <v>Population in TB compartment  LTBI, on IPT with Drug-susceptible (DS) in HIV compartment  PLHIV and on ART and Female</v>
      </c>
      <c r="B80" s="8" t="s">
        <v>239</v>
      </c>
      <c r="C80" s="8">
        <v>5</v>
      </c>
      <c r="D80" s="9">
        <v>1</v>
      </c>
      <c r="E80" s="9">
        <v>4</v>
      </c>
      <c r="F80" s="9">
        <v>2</v>
      </c>
      <c r="G80" s="39" t="str">
        <f t="shared" si="8"/>
        <v>N,5,1,4,2</v>
      </c>
      <c r="H80" s="9">
        <f>indirect_model_parameters!$G$32</f>
        <v>0.1</v>
      </c>
      <c r="I80" s="9">
        <f>IF(D80=1,1-indirect_model_parameters!$G$55,indirect_model_parameters!$G$55)</f>
        <v>0.96299999999999997</v>
      </c>
      <c r="J80" s="9">
        <f>IF(E80=1,indirect_model_parameters!$G$16,indirect_model_parameters!$G$17)*IF(E80=2,indirect_model_parameters!$G$10,IF(E80=3,indirect_model_parameters!$G$12,IF(E80=4,indirect_model_parameters!$G$14,1)))</f>
        <v>8.1000000000000003E-2</v>
      </c>
      <c r="L80" s="9">
        <f t="shared" si="9"/>
        <v>7.8002999999999996E-3</v>
      </c>
      <c r="M80" s="9">
        <f>(L80/SUM($L$34:$L$81))*indirect_model_parameters!$G$20</f>
        <v>1.9110735000000001E-3</v>
      </c>
      <c r="N80" s="37">
        <f>M80*indirect_model_parameters!$G$9</f>
        <v>191.10735</v>
      </c>
    </row>
    <row r="81" spans="1:14" ht="48" x14ac:dyDescent="0.2">
      <c r="A81" s="1" t="str">
        <f t="shared" si="7"/>
        <v>Population in TB compartment  LTBI, on IPT with  Multidrug-resistant (MDR-TB) in HIV compartment  PLHIV and on ART and Female</v>
      </c>
      <c r="B81" s="8" t="s">
        <v>239</v>
      </c>
      <c r="C81" s="8">
        <v>5</v>
      </c>
      <c r="D81" s="9">
        <v>2</v>
      </c>
      <c r="E81" s="9">
        <v>4</v>
      </c>
      <c r="F81" s="9">
        <v>2</v>
      </c>
      <c r="G81" s="39" t="str">
        <f t="shared" si="8"/>
        <v>N,5,2,4,2</v>
      </c>
      <c r="H81" s="9">
        <f>indirect_model_parameters!$G$32</f>
        <v>0.1</v>
      </c>
      <c r="I81" s="9">
        <f>IF(D81=1,1-indirect_model_parameters!$G$55,indirect_model_parameters!$G$55)</f>
        <v>3.6999999999999998E-2</v>
      </c>
      <c r="J81" s="9">
        <f>IF(E81=1,indirect_model_parameters!$G$16,indirect_model_parameters!$G$17)*IF(E81=2,indirect_model_parameters!$G$10,IF(E81=3,indirect_model_parameters!$G$12,IF(E81=4,indirect_model_parameters!$G$14,1)))</f>
        <v>8.1000000000000003E-2</v>
      </c>
      <c r="L81" s="9">
        <f t="shared" si="9"/>
        <v>2.9970000000000002E-4</v>
      </c>
      <c r="M81" s="9">
        <f>(L81/SUM($L$34:$L$81))*indirect_model_parameters!$G$20</f>
        <v>7.3426500000000019E-5</v>
      </c>
      <c r="N81" s="37">
        <f>M81*indirect_model_parameters!$G$9</f>
        <v>7.3426500000000017</v>
      </c>
    </row>
    <row r="82" spans="1:14" ht="32" x14ac:dyDescent="0.2">
      <c r="A82" s="1" t="str">
        <f t="shared" si="7"/>
        <v>Population in TB compartment  Active with Drug-susceptible (DS) in HIV compartment  HIV-negative and Male</v>
      </c>
      <c r="B82" s="8" t="s">
        <v>239</v>
      </c>
      <c r="C82" s="8">
        <v>6</v>
      </c>
      <c r="D82" s="9">
        <v>1</v>
      </c>
      <c r="E82" s="9">
        <v>1</v>
      </c>
      <c r="F82" s="9">
        <v>1</v>
      </c>
      <c r="G82" s="39" t="str">
        <f t="shared" si="8"/>
        <v>N,6,1,1,1</v>
      </c>
      <c r="H82" s="9">
        <v>1</v>
      </c>
      <c r="I82" s="9">
        <f>IF(D82=1,1-indirect_model_parameters!$G$55,indirect_model_parameters!$G$55)</f>
        <v>0.96299999999999997</v>
      </c>
      <c r="J82" s="9">
        <f>IF(E82=1,indirect_model_parameters!$G$28,indirect_model_parameters!$G$26)*IF(E82=2,indirect_model_parameters!$G$10,IF(E82=3,indirect_model_parameters!$G$12,IF(E82=4,indirect_model_parameters!$G$14,1)))</f>
        <v>0.4</v>
      </c>
      <c r="L82" s="9">
        <f t="shared" si="9"/>
        <v>0.38519999999999999</v>
      </c>
      <c r="M82" s="9">
        <f>(L82/SUM($L$82:$L$97))*indirect_model_parameters!$G$24</f>
        <v>1.926E-3</v>
      </c>
      <c r="N82" s="37">
        <f>M82*indirect_model_parameters!$G$9</f>
        <v>192.6</v>
      </c>
    </row>
    <row r="83" spans="1:14" ht="32" x14ac:dyDescent="0.2">
      <c r="A83" s="1" t="str">
        <f t="shared" si="7"/>
        <v>Population in TB compartment  Active with  Multidrug-resistant (MDR-TB) in HIV compartment  HIV-negative and Male</v>
      </c>
      <c r="B83" s="8" t="s">
        <v>239</v>
      </c>
      <c r="C83" s="8">
        <v>6</v>
      </c>
      <c r="D83" s="9">
        <v>2</v>
      </c>
      <c r="E83" s="9">
        <v>1</v>
      </c>
      <c r="F83" s="9">
        <v>1</v>
      </c>
      <c r="G83" s="39" t="str">
        <f t="shared" si="8"/>
        <v>N,6,2,1,1</v>
      </c>
      <c r="H83" s="9">
        <v>1</v>
      </c>
      <c r="I83" s="9">
        <f>IF(D83=1,1-indirect_model_parameters!$G$55,indirect_model_parameters!$G$55)</f>
        <v>3.6999999999999998E-2</v>
      </c>
      <c r="J83" s="9">
        <f>IF(E83=1,indirect_model_parameters!$G$28,indirect_model_parameters!$G$26)*IF(E83=2,indirect_model_parameters!$G$10,IF(E83=3,indirect_model_parameters!$G$12,IF(E83=4,indirect_model_parameters!$G$14,1)))</f>
        <v>0.4</v>
      </c>
      <c r="L83" s="9">
        <f t="shared" si="9"/>
        <v>1.4800000000000001E-2</v>
      </c>
      <c r="M83" s="9">
        <f>(L83/SUM($L$82:$L$97))*indirect_model_parameters!$G$24</f>
        <v>7.400000000000001E-5</v>
      </c>
      <c r="N83" s="37">
        <f>M83*indirect_model_parameters!$G$9</f>
        <v>7.4000000000000012</v>
      </c>
    </row>
    <row r="84" spans="1:14" ht="32" x14ac:dyDescent="0.2">
      <c r="A84" s="1" t="str">
        <f t="shared" si="7"/>
        <v>Population in TB compartment  Active with Drug-susceptible (DS) in HIV compartment  PLHIV not on ART, CD4&gt;200 and Male</v>
      </c>
      <c r="B84" s="8" t="s">
        <v>239</v>
      </c>
      <c r="C84" s="8">
        <v>6</v>
      </c>
      <c r="D84" s="9">
        <v>1</v>
      </c>
      <c r="E84" s="9">
        <v>2</v>
      </c>
      <c r="F84" s="9">
        <v>1</v>
      </c>
      <c r="G84" s="39" t="str">
        <f t="shared" si="8"/>
        <v>N,6,1,2,1</v>
      </c>
      <c r="H84" s="9">
        <v>1</v>
      </c>
      <c r="I84" s="9">
        <f>IF(D84=1,1-indirect_model_parameters!$G$55,indirect_model_parameters!$G$55)</f>
        <v>0.96299999999999997</v>
      </c>
      <c r="J84" s="9">
        <f>IF(E84=1,indirect_model_parameters!$G$28,indirect_model_parameters!$G$26)*IF(E84=2,indirect_model_parameters!$G$10,IF(E84=3,indirect_model_parameters!$G$12,IF(E84=4,indirect_model_parameters!$G$14,1)))</f>
        <v>0.10799999999999996</v>
      </c>
      <c r="L84" s="9">
        <f t="shared" si="9"/>
        <v>0.10400399999999996</v>
      </c>
      <c r="M84" s="9">
        <f>(L84/SUM($L$82:$L$97))*indirect_model_parameters!$G$24</f>
        <v>5.2001999999999984E-4</v>
      </c>
      <c r="N84" s="37">
        <f>M84*indirect_model_parameters!$G$9</f>
        <v>52.001999999999981</v>
      </c>
    </row>
    <row r="85" spans="1:14" ht="48" x14ac:dyDescent="0.2">
      <c r="A85" s="1" t="str">
        <f t="shared" si="7"/>
        <v>Population in TB compartment  Active with  Multidrug-resistant (MDR-TB) in HIV compartment  PLHIV not on ART, CD4&gt;200 and Male</v>
      </c>
      <c r="B85" s="8" t="s">
        <v>239</v>
      </c>
      <c r="C85" s="8">
        <v>6</v>
      </c>
      <c r="D85" s="9">
        <v>2</v>
      </c>
      <c r="E85" s="9">
        <v>2</v>
      </c>
      <c r="F85" s="9">
        <v>1</v>
      </c>
      <c r="G85" s="39" t="str">
        <f t="shared" si="8"/>
        <v>N,6,2,2,1</v>
      </c>
      <c r="H85" s="9">
        <v>1</v>
      </c>
      <c r="I85" s="9">
        <f>IF(D85=1,1-indirect_model_parameters!$G$55,indirect_model_parameters!$G$55)</f>
        <v>3.6999999999999998E-2</v>
      </c>
      <c r="J85" s="9">
        <f>IF(E85=1,indirect_model_parameters!$G$28,indirect_model_parameters!$G$26)*IF(E85=2,indirect_model_parameters!$G$10,IF(E85=3,indirect_model_parameters!$G$12,IF(E85=4,indirect_model_parameters!$G$14,1)))</f>
        <v>0.10799999999999996</v>
      </c>
      <c r="L85" s="9">
        <f t="shared" si="9"/>
        <v>3.9959999999999978E-3</v>
      </c>
      <c r="M85" s="9">
        <f>(L85/SUM($L$82:$L$97))*indirect_model_parameters!$G$24</f>
        <v>1.9979999999999988E-5</v>
      </c>
      <c r="N85" s="37">
        <f>M85*indirect_model_parameters!$G$9</f>
        <v>1.9979999999999989</v>
      </c>
    </row>
    <row r="86" spans="1:14" ht="32" x14ac:dyDescent="0.2">
      <c r="A86" s="1" t="str">
        <f t="shared" si="7"/>
        <v>Population in TB compartment  Active with Drug-susceptible (DS) in HIV compartment  PLHIV not on ART, CD4≤200 and Male</v>
      </c>
      <c r="B86" s="8" t="s">
        <v>239</v>
      </c>
      <c r="C86" s="8">
        <v>6</v>
      </c>
      <c r="D86" s="9">
        <v>1</v>
      </c>
      <c r="E86" s="9">
        <v>3</v>
      </c>
      <c r="F86" s="9">
        <v>1</v>
      </c>
      <c r="G86" s="39" t="str">
        <f t="shared" si="8"/>
        <v>N,6,1,3,1</v>
      </c>
      <c r="H86" s="9">
        <v>1</v>
      </c>
      <c r="I86" s="9">
        <f>IF(D86=1,1-indirect_model_parameters!$G$55,indirect_model_parameters!$G$55)</f>
        <v>0.96299999999999997</v>
      </c>
      <c r="J86" s="9">
        <f>IF(E86=1,indirect_model_parameters!$G$28,indirect_model_parameters!$G$26)*IF(E86=2,indirect_model_parameters!$G$10,IF(E86=3,indirect_model_parameters!$G$12,IF(E86=4,indirect_model_parameters!$G$14,1)))</f>
        <v>0.33</v>
      </c>
      <c r="L86" s="9">
        <f t="shared" si="9"/>
        <v>0.31779000000000002</v>
      </c>
      <c r="M86" s="9">
        <f>(L86/SUM($L$82:$L$97))*indirect_model_parameters!$G$24</f>
        <v>1.5889500000000002E-3</v>
      </c>
      <c r="N86" s="37">
        <f>M86*indirect_model_parameters!$G$9</f>
        <v>158.89500000000001</v>
      </c>
    </row>
    <row r="87" spans="1:14" ht="48" x14ac:dyDescent="0.2">
      <c r="A87" s="1" t="str">
        <f t="shared" si="7"/>
        <v>Population in TB compartment  Active with  Multidrug-resistant (MDR-TB) in HIV compartment  PLHIV not on ART, CD4≤200 and Male</v>
      </c>
      <c r="B87" s="8" t="s">
        <v>239</v>
      </c>
      <c r="C87" s="8">
        <v>6</v>
      </c>
      <c r="D87" s="9">
        <v>2</v>
      </c>
      <c r="E87" s="9">
        <v>3</v>
      </c>
      <c r="F87" s="9">
        <v>1</v>
      </c>
      <c r="G87" s="39" t="str">
        <f t="shared" si="8"/>
        <v>N,6,2,3,1</v>
      </c>
      <c r="H87" s="9">
        <v>1</v>
      </c>
      <c r="I87" s="9">
        <f>IF(D87=1,1-indirect_model_parameters!$G$55,indirect_model_parameters!$G$55)</f>
        <v>3.6999999999999998E-2</v>
      </c>
      <c r="J87" s="9">
        <f>IF(E87=1,indirect_model_parameters!$G$28,indirect_model_parameters!$G$26)*IF(E87=2,indirect_model_parameters!$G$10,IF(E87=3,indirect_model_parameters!$G$12,IF(E87=4,indirect_model_parameters!$G$14,1)))</f>
        <v>0.33</v>
      </c>
      <c r="L87" s="9">
        <f t="shared" si="9"/>
        <v>1.221E-2</v>
      </c>
      <c r="M87" s="9">
        <f>(L87/SUM($L$82:$L$97))*indirect_model_parameters!$G$24</f>
        <v>6.1050000000000007E-5</v>
      </c>
      <c r="N87" s="37">
        <f>M87*indirect_model_parameters!$G$9</f>
        <v>6.1050000000000004</v>
      </c>
    </row>
    <row r="88" spans="1:14" ht="32" x14ac:dyDescent="0.2">
      <c r="A88" s="1" t="str">
        <f t="shared" si="7"/>
        <v>Population in TB compartment  Active with Drug-susceptible (DS) in HIV compartment  PLHIV and on ART and Male</v>
      </c>
      <c r="B88" s="8" t="s">
        <v>239</v>
      </c>
      <c r="C88" s="8">
        <v>6</v>
      </c>
      <c r="D88" s="9">
        <v>1</v>
      </c>
      <c r="E88" s="9">
        <v>4</v>
      </c>
      <c r="F88" s="9">
        <v>1</v>
      </c>
      <c r="G88" s="39" t="str">
        <f t="shared" si="8"/>
        <v>N,6,1,4,1</v>
      </c>
      <c r="H88" s="9">
        <v>1</v>
      </c>
      <c r="I88" s="9">
        <f>IF(D88=1,1-indirect_model_parameters!$G$55,indirect_model_parameters!$G$55)</f>
        <v>0.96299999999999997</v>
      </c>
      <c r="J88" s="9">
        <f>IF(E88=1,indirect_model_parameters!$G$28,indirect_model_parameters!$G$26)*IF(E88=2,indirect_model_parameters!$G$10,IF(E88=3,indirect_model_parameters!$G$12,IF(E88=4,indirect_model_parameters!$G$14,1)))</f>
        <v>0.16200000000000001</v>
      </c>
      <c r="L88" s="9">
        <f t="shared" si="9"/>
        <v>0.15600600000000001</v>
      </c>
      <c r="M88" s="9">
        <f>(L88/SUM($L$82:$L$97))*indirect_model_parameters!$G$24</f>
        <v>7.8003000000000002E-4</v>
      </c>
      <c r="N88" s="37">
        <f>M88*indirect_model_parameters!$G$9</f>
        <v>78.003</v>
      </c>
    </row>
    <row r="89" spans="1:14" ht="32" x14ac:dyDescent="0.2">
      <c r="A89" s="1" t="str">
        <f t="shared" si="7"/>
        <v>Population in TB compartment  Active with  Multidrug-resistant (MDR-TB) in HIV compartment  PLHIV and on ART and Male</v>
      </c>
      <c r="B89" s="8" t="s">
        <v>239</v>
      </c>
      <c r="C89" s="8">
        <v>6</v>
      </c>
      <c r="D89" s="9">
        <v>2</v>
      </c>
      <c r="E89" s="9">
        <v>4</v>
      </c>
      <c r="F89" s="9">
        <v>1</v>
      </c>
      <c r="G89" s="39" t="str">
        <f t="shared" si="8"/>
        <v>N,6,2,4,1</v>
      </c>
      <c r="H89" s="9">
        <v>1</v>
      </c>
      <c r="I89" s="9">
        <f>IF(D89=1,1-indirect_model_parameters!$G$55,indirect_model_parameters!$G$55)</f>
        <v>3.6999999999999998E-2</v>
      </c>
      <c r="J89" s="9">
        <f>IF(E89=1,indirect_model_parameters!$G$28,indirect_model_parameters!$G$26)*IF(E89=2,indirect_model_parameters!$G$10,IF(E89=3,indirect_model_parameters!$G$12,IF(E89=4,indirect_model_parameters!$G$14,1)))</f>
        <v>0.16200000000000001</v>
      </c>
      <c r="L89" s="9">
        <f t="shared" si="9"/>
        <v>5.9940000000000002E-3</v>
      </c>
      <c r="M89" s="9">
        <f>(L89/SUM($L$82:$L$97))*indirect_model_parameters!$G$24</f>
        <v>2.9970000000000003E-5</v>
      </c>
      <c r="N89" s="37">
        <f>M89*indirect_model_parameters!$G$9</f>
        <v>2.9970000000000003</v>
      </c>
    </row>
    <row r="90" spans="1:14" ht="32" x14ac:dyDescent="0.2">
      <c r="A90" s="1" t="str">
        <f t="shared" si="7"/>
        <v>Population in TB compartment  Active with Drug-susceptible (DS) in HIV compartment  HIV-negative and Female</v>
      </c>
      <c r="B90" s="8" t="s">
        <v>239</v>
      </c>
      <c r="C90" s="8">
        <v>6</v>
      </c>
      <c r="D90" s="9">
        <v>1</v>
      </c>
      <c r="E90" s="9">
        <v>1</v>
      </c>
      <c r="F90" s="9">
        <v>2</v>
      </c>
      <c r="G90" s="39" t="str">
        <f t="shared" si="8"/>
        <v>N,6,1,1,2</v>
      </c>
      <c r="H90" s="9">
        <v>1</v>
      </c>
      <c r="I90" s="9">
        <f>IF(D90=1,1-indirect_model_parameters!$G$55,indirect_model_parameters!$G$55)</f>
        <v>0.96299999999999997</v>
      </c>
      <c r="J90" s="9">
        <f>IF(E90=1,indirect_model_parameters!$G$29,indirect_model_parameters!$G$27)*IF(E90=2,indirect_model_parameters!$G$10,IF(E90=3,indirect_model_parameters!$G$12,IF(E90=4,indirect_model_parameters!$G$14,1)))</f>
        <v>0.19999999999999996</v>
      </c>
      <c r="L90" s="9">
        <f t="shared" si="9"/>
        <v>0.19259999999999994</v>
      </c>
      <c r="M90" s="9">
        <f>(L90/SUM($L$82:$L$97))*indirect_model_parameters!$G$24</f>
        <v>9.6299999999999966E-4</v>
      </c>
      <c r="N90" s="37">
        <f>M90*indirect_model_parameters!$G$9</f>
        <v>96.299999999999969</v>
      </c>
    </row>
    <row r="91" spans="1:14" ht="32" x14ac:dyDescent="0.2">
      <c r="A91" s="1" t="str">
        <f t="shared" si="7"/>
        <v>Population in TB compartment  Active with  Multidrug-resistant (MDR-TB) in HIV compartment  HIV-negative and Female</v>
      </c>
      <c r="B91" s="8" t="s">
        <v>239</v>
      </c>
      <c r="C91" s="8">
        <v>6</v>
      </c>
      <c r="D91" s="9">
        <v>2</v>
      </c>
      <c r="E91" s="9">
        <v>1</v>
      </c>
      <c r="F91" s="9">
        <v>2</v>
      </c>
      <c r="G91" s="39" t="str">
        <f t="shared" si="8"/>
        <v>N,6,2,1,2</v>
      </c>
      <c r="H91" s="9">
        <v>1</v>
      </c>
      <c r="I91" s="9">
        <f>IF(D91=1,1-indirect_model_parameters!$G$55,indirect_model_parameters!$G$55)</f>
        <v>3.6999999999999998E-2</v>
      </c>
      <c r="J91" s="9">
        <f>IF(E91=1,indirect_model_parameters!$G$29,indirect_model_parameters!$G$27)*IF(E91=2,indirect_model_parameters!$G$10,IF(E91=3,indirect_model_parameters!$G$12,IF(E91=4,indirect_model_parameters!$G$14,1)))</f>
        <v>0.19999999999999996</v>
      </c>
      <c r="L91" s="9">
        <f t="shared" si="9"/>
        <v>7.3999999999999977E-3</v>
      </c>
      <c r="M91" s="9">
        <f>(L91/SUM($L$82:$L$97))*indirect_model_parameters!$G$24</f>
        <v>3.6999999999999991E-5</v>
      </c>
      <c r="N91" s="37">
        <f>M91*indirect_model_parameters!$G$9</f>
        <v>3.6999999999999993</v>
      </c>
    </row>
    <row r="92" spans="1:14" ht="32" x14ac:dyDescent="0.2">
      <c r="A92" s="1" t="str">
        <f t="shared" si="7"/>
        <v>Population in TB compartment  Active with Drug-susceptible (DS) in HIV compartment  PLHIV not on ART, CD4&gt;200 and Female</v>
      </c>
      <c r="B92" s="8" t="s">
        <v>239</v>
      </c>
      <c r="C92" s="8">
        <v>6</v>
      </c>
      <c r="D92" s="9">
        <v>1</v>
      </c>
      <c r="E92" s="9">
        <v>2</v>
      </c>
      <c r="F92" s="9">
        <v>2</v>
      </c>
      <c r="G92" s="39" t="str">
        <f t="shared" si="8"/>
        <v>N,6,1,2,2</v>
      </c>
      <c r="H92" s="9">
        <v>1</v>
      </c>
      <c r="I92" s="9">
        <f>IF(D92=1,1-indirect_model_parameters!$G$55,indirect_model_parameters!$G$55)</f>
        <v>0.96299999999999997</v>
      </c>
      <c r="J92" s="9">
        <f>IF(E92=1,indirect_model_parameters!$G$29,indirect_model_parameters!$G$27)*IF(E92=2,indirect_model_parameters!$G$10,IF(E92=3,indirect_model_parameters!$G$12,IF(E92=4,indirect_model_parameters!$G$14,1)))</f>
        <v>0.14399999999999996</v>
      </c>
      <c r="L92" s="9">
        <f t="shared" si="9"/>
        <v>0.13867199999999996</v>
      </c>
      <c r="M92" s="9">
        <f>(L92/SUM($L$82:$L$97))*indirect_model_parameters!$G$24</f>
        <v>6.9335999999999985E-4</v>
      </c>
      <c r="N92" s="37">
        <f>M92*indirect_model_parameters!$G$9</f>
        <v>69.335999999999984</v>
      </c>
    </row>
    <row r="93" spans="1:14" ht="48" x14ac:dyDescent="0.2">
      <c r="A93" s="1" t="str">
        <f t="shared" si="7"/>
        <v>Population in TB compartment  Active with  Multidrug-resistant (MDR-TB) in HIV compartment  PLHIV not on ART, CD4&gt;200 and Female</v>
      </c>
      <c r="B93" s="8" t="s">
        <v>239</v>
      </c>
      <c r="C93" s="8">
        <v>6</v>
      </c>
      <c r="D93" s="9">
        <v>2</v>
      </c>
      <c r="E93" s="9">
        <v>2</v>
      </c>
      <c r="F93" s="9">
        <v>2</v>
      </c>
      <c r="G93" s="39" t="str">
        <f t="shared" si="8"/>
        <v>N,6,2,2,2</v>
      </c>
      <c r="H93" s="9">
        <v>1</v>
      </c>
      <c r="I93" s="9">
        <f>IF(D93=1,1-indirect_model_parameters!$G$55,indirect_model_parameters!$G$55)</f>
        <v>3.6999999999999998E-2</v>
      </c>
      <c r="J93" s="9">
        <f>IF(E93=1,indirect_model_parameters!$G$29,indirect_model_parameters!$G$27)*IF(E93=2,indirect_model_parameters!$G$10,IF(E93=3,indirect_model_parameters!$G$12,IF(E93=4,indirect_model_parameters!$G$14,1)))</f>
        <v>0.14399999999999996</v>
      </c>
      <c r="L93" s="9">
        <f t="shared" si="9"/>
        <v>5.3279999999999985E-3</v>
      </c>
      <c r="M93" s="9">
        <f>(L93/SUM($L$82:$L$97))*indirect_model_parameters!$G$24</f>
        <v>2.6639999999999992E-5</v>
      </c>
      <c r="N93" s="37">
        <f>M93*indirect_model_parameters!$G$9</f>
        <v>2.6639999999999993</v>
      </c>
    </row>
    <row r="94" spans="1:14" ht="32" x14ac:dyDescent="0.2">
      <c r="A94" s="1" t="str">
        <f t="shared" si="7"/>
        <v>Population in TB compartment  Active with Drug-susceptible (DS) in HIV compartment  PLHIV not on ART, CD4≤200 and Female</v>
      </c>
      <c r="B94" s="8" t="s">
        <v>239</v>
      </c>
      <c r="C94" s="8">
        <v>6</v>
      </c>
      <c r="D94" s="9">
        <v>1</v>
      </c>
      <c r="E94" s="9">
        <v>3</v>
      </c>
      <c r="F94" s="9">
        <v>2</v>
      </c>
      <c r="G94" s="39" t="str">
        <f t="shared" si="8"/>
        <v>N,6,1,3,2</v>
      </c>
      <c r="H94" s="9">
        <v>1</v>
      </c>
      <c r="I94" s="9">
        <f>IF(D94=1,1-indirect_model_parameters!$G$55,indirect_model_parameters!$G$55)</f>
        <v>0.96299999999999997</v>
      </c>
      <c r="J94" s="9">
        <f>IF(E94=1,indirect_model_parameters!$G$29,indirect_model_parameters!$G$27)*IF(E94=2,indirect_model_parameters!$G$10,IF(E94=3,indirect_model_parameters!$G$12,IF(E94=4,indirect_model_parameters!$G$14,1)))</f>
        <v>0.44000000000000006</v>
      </c>
      <c r="L94" s="9">
        <f t="shared" si="9"/>
        <v>0.42372000000000004</v>
      </c>
      <c r="M94" s="9">
        <f>(L94/SUM($L$82:$L$97))*indirect_model_parameters!$G$24</f>
        <v>2.1186000000000004E-3</v>
      </c>
      <c r="N94" s="37">
        <f>M94*indirect_model_parameters!$G$9</f>
        <v>211.86000000000004</v>
      </c>
    </row>
    <row r="95" spans="1:14" ht="48" x14ac:dyDescent="0.2">
      <c r="A95" s="1" t="str">
        <f t="shared" si="7"/>
        <v>Population in TB compartment  Active with  Multidrug-resistant (MDR-TB) in HIV compartment  PLHIV not on ART, CD4≤200 and Female</v>
      </c>
      <c r="B95" s="8" t="s">
        <v>239</v>
      </c>
      <c r="C95" s="8">
        <v>6</v>
      </c>
      <c r="D95" s="9">
        <v>2</v>
      </c>
      <c r="E95" s="9">
        <v>3</v>
      </c>
      <c r="F95" s="9">
        <v>2</v>
      </c>
      <c r="G95" s="39" t="str">
        <f t="shared" si="8"/>
        <v>N,6,2,3,2</v>
      </c>
      <c r="H95" s="9">
        <v>1</v>
      </c>
      <c r="I95" s="9">
        <f>IF(D95=1,1-indirect_model_parameters!$G$55,indirect_model_parameters!$G$55)</f>
        <v>3.6999999999999998E-2</v>
      </c>
      <c r="J95" s="9">
        <f>IF(E95=1,indirect_model_parameters!$G$29,indirect_model_parameters!$G$27)*IF(E95=2,indirect_model_parameters!$G$10,IF(E95=3,indirect_model_parameters!$G$12,IF(E95=4,indirect_model_parameters!$G$14,1)))</f>
        <v>0.44000000000000006</v>
      </c>
      <c r="L95" s="9">
        <f t="shared" si="9"/>
        <v>1.6280000000000003E-2</v>
      </c>
      <c r="M95" s="9">
        <f>(L95/SUM($L$82:$L$97))*indirect_model_parameters!$G$24</f>
        <v>8.1400000000000013E-5</v>
      </c>
      <c r="N95" s="37">
        <f>M95*indirect_model_parameters!$G$9</f>
        <v>8.14</v>
      </c>
    </row>
    <row r="96" spans="1:14" ht="32" x14ac:dyDescent="0.2">
      <c r="A96" s="1" t="str">
        <f t="shared" si="7"/>
        <v>Population in TB compartment  Active with Drug-susceptible (DS) in HIV compartment  PLHIV and on ART and Female</v>
      </c>
      <c r="B96" s="8" t="s">
        <v>239</v>
      </c>
      <c r="C96" s="8">
        <v>6</v>
      </c>
      <c r="D96" s="9">
        <v>1</v>
      </c>
      <c r="E96" s="9">
        <v>4</v>
      </c>
      <c r="F96" s="9">
        <v>2</v>
      </c>
      <c r="G96" s="39" t="str">
        <f t="shared" si="8"/>
        <v>N,6,1,4,2</v>
      </c>
      <c r="H96" s="9">
        <v>1</v>
      </c>
      <c r="I96" s="9">
        <f>IF(D96=1,1-indirect_model_parameters!$G$55,indirect_model_parameters!$G$55)</f>
        <v>0.96299999999999997</v>
      </c>
      <c r="J96" s="9">
        <f>IF(E96=1,indirect_model_parameters!$G$29,indirect_model_parameters!$G$27)*IF(E96=2,indirect_model_parameters!$G$10,IF(E96=3,indirect_model_parameters!$G$12,IF(E96=4,indirect_model_parameters!$G$14,1)))</f>
        <v>0.21600000000000003</v>
      </c>
      <c r="L96" s="9">
        <f t="shared" si="9"/>
        <v>0.20800800000000003</v>
      </c>
      <c r="M96" s="9">
        <f>(L96/SUM($L$82:$L$97))*indirect_model_parameters!$G$24</f>
        <v>1.0400400000000001E-3</v>
      </c>
      <c r="N96" s="37">
        <f>M96*indirect_model_parameters!$G$9</f>
        <v>104.004</v>
      </c>
    </row>
    <row r="97" spans="1:14" ht="32" x14ac:dyDescent="0.2">
      <c r="A97" s="1" t="str">
        <f t="shared" si="7"/>
        <v>Population in TB compartment  Active with  Multidrug-resistant (MDR-TB) in HIV compartment  PLHIV and on ART and Female</v>
      </c>
      <c r="B97" s="8" t="s">
        <v>239</v>
      </c>
      <c r="C97" s="8">
        <v>6</v>
      </c>
      <c r="D97" s="9">
        <v>2</v>
      </c>
      <c r="E97" s="9">
        <v>4</v>
      </c>
      <c r="F97" s="9">
        <v>2</v>
      </c>
      <c r="G97" s="39" t="str">
        <f t="shared" si="8"/>
        <v>N,6,2,4,2</v>
      </c>
      <c r="H97" s="9">
        <v>1</v>
      </c>
      <c r="I97" s="9">
        <f>IF(D97=1,1-indirect_model_parameters!$G$55,indirect_model_parameters!$G$55)</f>
        <v>3.6999999999999998E-2</v>
      </c>
      <c r="J97" s="9">
        <f>IF(E97=1,indirect_model_parameters!$G$29,indirect_model_parameters!$G$27)*IF(E97=2,indirect_model_parameters!$G$10,IF(E97=3,indirect_model_parameters!$G$12,IF(E97=4,indirect_model_parameters!$G$14,1)))</f>
        <v>0.21600000000000003</v>
      </c>
      <c r="L97" s="9">
        <f t="shared" si="9"/>
        <v>7.9920000000000008E-3</v>
      </c>
      <c r="M97" s="9">
        <f>(L97/SUM($L$82:$L$97))*indirect_model_parameters!$G$24</f>
        <v>3.9960000000000004E-5</v>
      </c>
      <c r="N97" s="37">
        <f>M97*indirect_model_parameters!$G$9</f>
        <v>3.9960000000000004</v>
      </c>
    </row>
    <row r="98" spans="1:14" ht="32" x14ac:dyDescent="0.2">
      <c r="A98" s="1" t="str">
        <f t="shared" ref="A98:A129" si="10">CONCATENATE("Population in TB compartment ",VLOOKUP(C98,TB_SET,2), " with ", VLOOKUP(D98,R_SET,2), " in HIV compartment ", VLOOKUP(E98,HIV_SET,2), " and ", VLOOKUP(F98, G_SET,2))</f>
        <v>Population in TB compartment  Recovered/Treated with Drug-susceptible (DS) in HIV compartment  HIV-negative and Male</v>
      </c>
      <c r="B98" s="8" t="s">
        <v>239</v>
      </c>
      <c r="C98" s="8">
        <v>7</v>
      </c>
      <c r="D98" s="9">
        <v>1</v>
      </c>
      <c r="E98" s="9">
        <v>1</v>
      </c>
      <c r="F98" s="9">
        <v>1</v>
      </c>
      <c r="G98" s="39" t="str">
        <f t="shared" ref="G98:G129" si="11">CONCATENATE( B98, IF(B98&lt;&gt;"",",",""), C98, IF(C98&lt;&gt;"",",",""),  D98, IF(D98&lt;&gt;"",",",""),  E98, IF(F98&lt;&gt;"",",",""), F98,)</f>
        <v>N,7,1,1,1</v>
      </c>
      <c r="H98" s="9">
        <v>0</v>
      </c>
      <c r="I98" s="9">
        <f>IF(D98=1,1-indirect_model_parameters!$G$55,indirect_model_parameters!$G$55)</f>
        <v>0.96299999999999997</v>
      </c>
      <c r="J98" s="9">
        <f>IF(E98=1,indirect_model_parameters!$G$16,indirect_model_parameters!$G$17)*IF(E98=2,indirect_model_parameters!$G$10,IF(E98=3,indirect_model_parameters!$G$12,IF(E98=4,indirect_model_parameters!$G$14,1)))</f>
        <v>0.7</v>
      </c>
      <c r="L98" s="9">
        <f t="shared" ref="L98:L129" si="12">PRODUCT(H98:J98)</f>
        <v>0</v>
      </c>
      <c r="M98" s="9">
        <v>0</v>
      </c>
      <c r="N98" s="37">
        <f>M98*indirect_model_parameters!$G$9</f>
        <v>0</v>
      </c>
    </row>
    <row r="99" spans="1:14" ht="48" x14ac:dyDescent="0.2">
      <c r="A99" s="1" t="str">
        <f t="shared" si="10"/>
        <v>Population in TB compartment  Recovered/Treated with  Multidrug-resistant (MDR-TB) in HIV compartment  HIV-negative and Male</v>
      </c>
      <c r="B99" s="8" t="s">
        <v>239</v>
      </c>
      <c r="C99" s="8">
        <v>7</v>
      </c>
      <c r="D99" s="9">
        <v>2</v>
      </c>
      <c r="E99" s="9">
        <v>1</v>
      </c>
      <c r="F99" s="9">
        <v>1</v>
      </c>
      <c r="G99" s="39" t="str">
        <f t="shared" si="11"/>
        <v>N,7,2,1,1</v>
      </c>
      <c r="H99" s="9">
        <v>0</v>
      </c>
      <c r="I99" s="9">
        <f>IF(D99=1,1-indirect_model_parameters!$G$55,indirect_model_parameters!$G$55)</f>
        <v>3.6999999999999998E-2</v>
      </c>
      <c r="J99" s="9">
        <f>IF(E99=1,indirect_model_parameters!$G$16,indirect_model_parameters!$G$17)*IF(E99=2,indirect_model_parameters!$G$10,IF(E99=3,indirect_model_parameters!$G$12,IF(E99=4,indirect_model_parameters!$G$14,1)))</f>
        <v>0.7</v>
      </c>
      <c r="L99" s="9">
        <f t="shared" si="12"/>
        <v>0</v>
      </c>
      <c r="M99" s="9">
        <v>0</v>
      </c>
      <c r="N99" s="37">
        <f>M99*indirect_model_parameters!$G$9</f>
        <v>0</v>
      </c>
    </row>
    <row r="100" spans="1:14" ht="48" x14ac:dyDescent="0.2">
      <c r="A100" s="1" t="str">
        <f t="shared" si="10"/>
        <v>Population in TB compartment  Recovered/Treated with Drug-susceptible (DS) in HIV compartment  PLHIV not on ART, CD4&gt;200 and Male</v>
      </c>
      <c r="B100" s="8" t="s">
        <v>239</v>
      </c>
      <c r="C100" s="8">
        <v>7</v>
      </c>
      <c r="D100" s="9">
        <v>1</v>
      </c>
      <c r="E100" s="9">
        <v>2</v>
      </c>
      <c r="F100" s="9">
        <v>1</v>
      </c>
      <c r="G100" s="39" t="str">
        <f t="shared" si="11"/>
        <v>N,7,1,2,1</v>
      </c>
      <c r="H100" s="9">
        <v>0</v>
      </c>
      <c r="I100" s="9">
        <f>IF(D100=1,1-indirect_model_parameters!$G$55,indirect_model_parameters!$G$55)</f>
        <v>0.96299999999999997</v>
      </c>
      <c r="J100" s="9">
        <f>IF(E100=1,indirect_model_parameters!$G$16,indirect_model_parameters!$G$17)*IF(E100=2,indirect_model_parameters!$G$10,IF(E100=3,indirect_model_parameters!$G$12,IF(E100=4,indirect_model_parameters!$G$14,1)))</f>
        <v>5.3999999999999979E-2</v>
      </c>
      <c r="L100" s="9">
        <f t="shared" si="12"/>
        <v>0</v>
      </c>
      <c r="M100" s="9">
        <v>0</v>
      </c>
      <c r="N100" s="37">
        <f>M100*indirect_model_parameters!$G$9</f>
        <v>0</v>
      </c>
    </row>
    <row r="101" spans="1:14" ht="48" x14ac:dyDescent="0.2">
      <c r="A101" s="1" t="str">
        <f t="shared" si="10"/>
        <v>Population in TB compartment  Recovered/Treated with  Multidrug-resistant (MDR-TB) in HIV compartment  PLHIV not on ART, CD4&gt;200 and Male</v>
      </c>
      <c r="B101" s="8" t="s">
        <v>239</v>
      </c>
      <c r="C101" s="8">
        <v>7</v>
      </c>
      <c r="D101" s="9">
        <v>2</v>
      </c>
      <c r="E101" s="9">
        <v>2</v>
      </c>
      <c r="F101" s="9">
        <v>1</v>
      </c>
      <c r="G101" s="39" t="str">
        <f t="shared" si="11"/>
        <v>N,7,2,2,1</v>
      </c>
      <c r="H101" s="9">
        <v>0</v>
      </c>
      <c r="I101" s="9">
        <f>IF(D101=1,1-indirect_model_parameters!$G$55,indirect_model_parameters!$G$55)</f>
        <v>3.6999999999999998E-2</v>
      </c>
      <c r="J101" s="9">
        <f>IF(E101=1,indirect_model_parameters!$G$16,indirect_model_parameters!$G$17)*IF(E101=2,indirect_model_parameters!$G$10,IF(E101=3,indirect_model_parameters!$G$12,IF(E101=4,indirect_model_parameters!$G$14,1)))</f>
        <v>5.3999999999999979E-2</v>
      </c>
      <c r="L101" s="9">
        <f t="shared" si="12"/>
        <v>0</v>
      </c>
      <c r="M101" s="9">
        <v>0</v>
      </c>
      <c r="N101" s="37">
        <f>M101*indirect_model_parameters!$G$9</f>
        <v>0</v>
      </c>
    </row>
    <row r="102" spans="1:14" ht="48" x14ac:dyDescent="0.2">
      <c r="A102" s="1" t="str">
        <f t="shared" si="10"/>
        <v>Population in TB compartment  Recovered/Treated with Drug-susceptible (DS) in HIV compartment  PLHIV not on ART, CD4≤200 and Male</v>
      </c>
      <c r="B102" s="8" t="s">
        <v>239</v>
      </c>
      <c r="C102" s="8">
        <v>7</v>
      </c>
      <c r="D102" s="9">
        <v>1</v>
      </c>
      <c r="E102" s="9">
        <v>3</v>
      </c>
      <c r="F102" s="9">
        <v>1</v>
      </c>
      <c r="G102" s="39" t="str">
        <f t="shared" si="11"/>
        <v>N,7,1,3,1</v>
      </c>
      <c r="H102" s="9">
        <v>0</v>
      </c>
      <c r="I102" s="9">
        <f>IF(D102=1,1-indirect_model_parameters!$G$55,indirect_model_parameters!$G$55)</f>
        <v>0.96299999999999997</v>
      </c>
      <c r="J102" s="9">
        <f>IF(E102=1,indirect_model_parameters!$G$16,indirect_model_parameters!$G$17)*IF(E102=2,indirect_model_parameters!$G$10,IF(E102=3,indirect_model_parameters!$G$12,IF(E102=4,indirect_model_parameters!$G$14,1)))</f>
        <v>0.16500000000000001</v>
      </c>
      <c r="L102" s="9">
        <f t="shared" si="12"/>
        <v>0</v>
      </c>
      <c r="M102" s="9">
        <v>0</v>
      </c>
      <c r="N102" s="37">
        <f>M102*indirect_model_parameters!$G$9</f>
        <v>0</v>
      </c>
    </row>
    <row r="103" spans="1:14" ht="48" x14ac:dyDescent="0.2">
      <c r="A103" s="1" t="str">
        <f t="shared" si="10"/>
        <v>Population in TB compartment  Recovered/Treated with  Multidrug-resistant (MDR-TB) in HIV compartment  PLHIV not on ART, CD4≤200 and Male</v>
      </c>
      <c r="B103" s="8" t="s">
        <v>239</v>
      </c>
      <c r="C103" s="8">
        <v>7</v>
      </c>
      <c r="D103" s="9">
        <v>2</v>
      </c>
      <c r="E103" s="9">
        <v>3</v>
      </c>
      <c r="F103" s="9">
        <v>1</v>
      </c>
      <c r="G103" s="39" t="str">
        <f t="shared" si="11"/>
        <v>N,7,2,3,1</v>
      </c>
      <c r="H103" s="9">
        <v>0</v>
      </c>
      <c r="I103" s="9">
        <f>IF(D103=1,1-indirect_model_parameters!$G$55,indirect_model_parameters!$G$55)</f>
        <v>3.6999999999999998E-2</v>
      </c>
      <c r="J103" s="9">
        <f>IF(E103=1,indirect_model_parameters!$G$16,indirect_model_parameters!$G$17)*IF(E103=2,indirect_model_parameters!$G$10,IF(E103=3,indirect_model_parameters!$G$12,IF(E103=4,indirect_model_parameters!$G$14,1)))</f>
        <v>0.16500000000000001</v>
      </c>
      <c r="L103" s="9">
        <f t="shared" si="12"/>
        <v>0</v>
      </c>
      <c r="M103" s="9">
        <v>0</v>
      </c>
      <c r="N103" s="37">
        <f>M103*indirect_model_parameters!$G$9</f>
        <v>0</v>
      </c>
    </row>
    <row r="104" spans="1:14" ht="32" x14ac:dyDescent="0.2">
      <c r="A104" s="1" t="str">
        <f t="shared" si="10"/>
        <v>Population in TB compartment  Recovered/Treated with Drug-susceptible (DS) in HIV compartment  PLHIV and on ART and Male</v>
      </c>
      <c r="B104" s="8" t="s">
        <v>239</v>
      </c>
      <c r="C104" s="8">
        <v>7</v>
      </c>
      <c r="D104" s="9">
        <v>1</v>
      </c>
      <c r="E104" s="9">
        <v>4</v>
      </c>
      <c r="F104" s="9">
        <v>1</v>
      </c>
      <c r="G104" s="39" t="str">
        <f t="shared" si="11"/>
        <v>N,7,1,4,1</v>
      </c>
      <c r="H104" s="9">
        <v>0</v>
      </c>
      <c r="I104" s="9">
        <f>IF(D104=1,1-indirect_model_parameters!$G$55,indirect_model_parameters!$G$55)</f>
        <v>0.96299999999999997</v>
      </c>
      <c r="J104" s="9">
        <f>IF(E104=1,indirect_model_parameters!$G$16,indirect_model_parameters!$G$17)*IF(E104=2,indirect_model_parameters!$G$10,IF(E104=3,indirect_model_parameters!$G$12,IF(E104=4,indirect_model_parameters!$G$14,1)))</f>
        <v>8.1000000000000003E-2</v>
      </c>
      <c r="L104" s="9">
        <f t="shared" si="12"/>
        <v>0</v>
      </c>
      <c r="M104" s="9">
        <v>0</v>
      </c>
      <c r="N104" s="37">
        <f>M104*indirect_model_parameters!$G$9</f>
        <v>0</v>
      </c>
    </row>
    <row r="105" spans="1:14" ht="48" x14ac:dyDescent="0.2">
      <c r="A105" s="1" t="str">
        <f t="shared" si="10"/>
        <v>Population in TB compartment  Recovered/Treated with  Multidrug-resistant (MDR-TB) in HIV compartment  PLHIV and on ART and Male</v>
      </c>
      <c r="B105" s="8" t="s">
        <v>239</v>
      </c>
      <c r="C105" s="8">
        <v>7</v>
      </c>
      <c r="D105" s="9">
        <v>2</v>
      </c>
      <c r="E105" s="9">
        <v>4</v>
      </c>
      <c r="F105" s="9">
        <v>1</v>
      </c>
      <c r="G105" s="39" t="str">
        <f t="shared" si="11"/>
        <v>N,7,2,4,1</v>
      </c>
      <c r="H105" s="9">
        <v>0</v>
      </c>
      <c r="I105" s="9">
        <f>IF(D105=1,1-indirect_model_parameters!$G$55,indirect_model_parameters!$G$55)</f>
        <v>3.6999999999999998E-2</v>
      </c>
      <c r="J105" s="9">
        <f>IF(E105=1,indirect_model_parameters!$G$16,indirect_model_parameters!$G$17)*IF(E105=2,indirect_model_parameters!$G$10,IF(E105=3,indirect_model_parameters!$G$12,IF(E105=4,indirect_model_parameters!$G$14,1)))</f>
        <v>8.1000000000000003E-2</v>
      </c>
      <c r="L105" s="9">
        <f t="shared" si="12"/>
        <v>0</v>
      </c>
      <c r="M105" s="9">
        <v>0</v>
      </c>
      <c r="N105" s="37">
        <f>M105*indirect_model_parameters!$G$9</f>
        <v>0</v>
      </c>
    </row>
    <row r="106" spans="1:14" ht="32" x14ac:dyDescent="0.2">
      <c r="A106" s="1" t="str">
        <f t="shared" si="10"/>
        <v>Population in TB compartment  Recovered/Treated with Drug-susceptible (DS) in HIV compartment  HIV-negative and Female</v>
      </c>
      <c r="B106" s="8" t="s">
        <v>239</v>
      </c>
      <c r="C106" s="8">
        <v>7</v>
      </c>
      <c r="D106" s="9">
        <v>1</v>
      </c>
      <c r="E106" s="9">
        <v>1</v>
      </c>
      <c r="F106" s="9">
        <v>2</v>
      </c>
      <c r="G106" s="39" t="str">
        <f t="shared" si="11"/>
        <v>N,7,1,1,2</v>
      </c>
      <c r="H106" s="9">
        <v>0</v>
      </c>
      <c r="I106" s="9">
        <f>IF(D106=1,1-indirect_model_parameters!$G$55,indirect_model_parameters!$G$55)</f>
        <v>0.96299999999999997</v>
      </c>
      <c r="J106" s="9">
        <f>IF(E106=1,indirect_model_parameters!$G$16,indirect_model_parameters!$G$17)*IF(E106=2,indirect_model_parameters!$G$10,IF(E106=3,indirect_model_parameters!$G$12,IF(E106=4,indirect_model_parameters!$G$14,1)))</f>
        <v>0.7</v>
      </c>
      <c r="L106" s="9">
        <f t="shared" si="12"/>
        <v>0</v>
      </c>
      <c r="M106" s="9">
        <v>0</v>
      </c>
      <c r="N106" s="37">
        <f>M106*indirect_model_parameters!$G$9</f>
        <v>0</v>
      </c>
    </row>
    <row r="107" spans="1:14" ht="48" x14ac:dyDescent="0.2">
      <c r="A107" s="1" t="str">
        <f t="shared" si="10"/>
        <v>Population in TB compartment  Recovered/Treated with  Multidrug-resistant (MDR-TB) in HIV compartment  HIV-negative and Female</v>
      </c>
      <c r="B107" s="8" t="s">
        <v>239</v>
      </c>
      <c r="C107" s="8">
        <v>7</v>
      </c>
      <c r="D107" s="9">
        <v>2</v>
      </c>
      <c r="E107" s="9">
        <v>1</v>
      </c>
      <c r="F107" s="9">
        <v>2</v>
      </c>
      <c r="G107" s="39" t="str">
        <f t="shared" si="11"/>
        <v>N,7,2,1,2</v>
      </c>
      <c r="H107" s="9">
        <v>0</v>
      </c>
      <c r="I107" s="9">
        <f>IF(D107=1,1-indirect_model_parameters!$G$55,indirect_model_parameters!$G$55)</f>
        <v>3.6999999999999998E-2</v>
      </c>
      <c r="J107" s="9">
        <f>IF(E107=1,indirect_model_parameters!$G$16,indirect_model_parameters!$G$17)*IF(E107=2,indirect_model_parameters!$G$10,IF(E107=3,indirect_model_parameters!$G$12,IF(E107=4,indirect_model_parameters!$G$14,1)))</f>
        <v>0.7</v>
      </c>
      <c r="L107" s="9">
        <f t="shared" si="12"/>
        <v>0</v>
      </c>
      <c r="M107" s="9">
        <v>0</v>
      </c>
      <c r="N107" s="37">
        <f>M107*indirect_model_parameters!$G$9</f>
        <v>0</v>
      </c>
    </row>
    <row r="108" spans="1:14" ht="48" x14ac:dyDescent="0.2">
      <c r="A108" s="1" t="str">
        <f t="shared" si="10"/>
        <v>Population in TB compartment  Recovered/Treated with Drug-susceptible (DS) in HIV compartment  PLHIV not on ART, CD4&gt;200 and Female</v>
      </c>
      <c r="B108" s="8" t="s">
        <v>239</v>
      </c>
      <c r="C108" s="8">
        <v>7</v>
      </c>
      <c r="D108" s="9">
        <v>1</v>
      </c>
      <c r="E108" s="9">
        <v>2</v>
      </c>
      <c r="F108" s="9">
        <v>2</v>
      </c>
      <c r="G108" s="39" t="str">
        <f t="shared" si="11"/>
        <v>N,7,1,2,2</v>
      </c>
      <c r="H108" s="9">
        <v>0</v>
      </c>
      <c r="I108" s="9">
        <f>IF(D108=1,1-indirect_model_parameters!$G$55,indirect_model_parameters!$G$55)</f>
        <v>0.96299999999999997</v>
      </c>
      <c r="J108" s="9">
        <f>IF(E108=1,indirect_model_parameters!$G$16,indirect_model_parameters!$G$17)*IF(E108=2,indirect_model_parameters!$G$10,IF(E108=3,indirect_model_parameters!$G$12,IF(E108=4,indirect_model_parameters!$G$14,1)))</f>
        <v>5.3999999999999979E-2</v>
      </c>
      <c r="L108" s="9">
        <f t="shared" si="12"/>
        <v>0</v>
      </c>
      <c r="M108" s="9">
        <v>0</v>
      </c>
      <c r="N108" s="37">
        <f>M108*indirect_model_parameters!$G$9</f>
        <v>0</v>
      </c>
    </row>
    <row r="109" spans="1:14" ht="48" x14ac:dyDescent="0.2">
      <c r="A109" s="1" t="str">
        <f t="shared" si="10"/>
        <v>Population in TB compartment  Recovered/Treated with  Multidrug-resistant (MDR-TB) in HIV compartment  PLHIV not on ART, CD4&gt;200 and Female</v>
      </c>
      <c r="B109" s="8" t="s">
        <v>239</v>
      </c>
      <c r="C109" s="8">
        <v>7</v>
      </c>
      <c r="D109" s="9">
        <v>2</v>
      </c>
      <c r="E109" s="9">
        <v>2</v>
      </c>
      <c r="F109" s="9">
        <v>2</v>
      </c>
      <c r="G109" s="39" t="str">
        <f t="shared" si="11"/>
        <v>N,7,2,2,2</v>
      </c>
      <c r="H109" s="9">
        <v>0</v>
      </c>
      <c r="I109" s="9">
        <f>IF(D109=1,1-indirect_model_parameters!$G$55,indirect_model_parameters!$G$55)</f>
        <v>3.6999999999999998E-2</v>
      </c>
      <c r="J109" s="9">
        <f>IF(E109=1,indirect_model_parameters!$G$16,indirect_model_parameters!$G$17)*IF(E109=2,indirect_model_parameters!$G$10,IF(E109=3,indirect_model_parameters!$G$12,IF(E109=4,indirect_model_parameters!$G$14,1)))</f>
        <v>5.3999999999999979E-2</v>
      </c>
      <c r="L109" s="9">
        <f t="shared" si="12"/>
        <v>0</v>
      </c>
      <c r="M109" s="9">
        <v>0</v>
      </c>
      <c r="N109" s="37">
        <f>M109*indirect_model_parameters!$G$9</f>
        <v>0</v>
      </c>
    </row>
    <row r="110" spans="1:14" ht="48" x14ac:dyDescent="0.2">
      <c r="A110" s="1" t="str">
        <f t="shared" si="10"/>
        <v>Population in TB compartment  Recovered/Treated with Drug-susceptible (DS) in HIV compartment  PLHIV not on ART, CD4≤200 and Female</v>
      </c>
      <c r="B110" s="8" t="s">
        <v>239</v>
      </c>
      <c r="C110" s="8">
        <v>7</v>
      </c>
      <c r="D110" s="9">
        <v>1</v>
      </c>
      <c r="E110" s="9">
        <v>3</v>
      </c>
      <c r="F110" s="9">
        <v>2</v>
      </c>
      <c r="G110" s="39" t="str">
        <f t="shared" si="11"/>
        <v>N,7,1,3,2</v>
      </c>
      <c r="H110" s="9">
        <v>0</v>
      </c>
      <c r="I110" s="9">
        <f>IF(D110=1,1-indirect_model_parameters!$G$55,indirect_model_parameters!$G$55)</f>
        <v>0.96299999999999997</v>
      </c>
      <c r="J110" s="9">
        <f>IF(E110=1,indirect_model_parameters!$G$16,indirect_model_parameters!$G$17)*IF(E110=2,indirect_model_parameters!$G$10,IF(E110=3,indirect_model_parameters!$G$12,IF(E110=4,indirect_model_parameters!$G$14,1)))</f>
        <v>0.16500000000000001</v>
      </c>
      <c r="L110" s="9">
        <f t="shared" si="12"/>
        <v>0</v>
      </c>
      <c r="M110" s="9">
        <v>0</v>
      </c>
      <c r="N110" s="37">
        <f>M110*indirect_model_parameters!$G$9</f>
        <v>0</v>
      </c>
    </row>
    <row r="111" spans="1:14" ht="48" x14ac:dyDescent="0.2">
      <c r="A111" s="1" t="str">
        <f t="shared" si="10"/>
        <v>Population in TB compartment  Recovered/Treated with  Multidrug-resistant (MDR-TB) in HIV compartment  PLHIV not on ART, CD4≤200 and Female</v>
      </c>
      <c r="B111" s="8" t="s">
        <v>239</v>
      </c>
      <c r="C111" s="8">
        <v>7</v>
      </c>
      <c r="D111" s="9">
        <v>2</v>
      </c>
      <c r="E111" s="9">
        <v>3</v>
      </c>
      <c r="F111" s="9">
        <v>2</v>
      </c>
      <c r="G111" s="39" t="str">
        <f t="shared" si="11"/>
        <v>N,7,2,3,2</v>
      </c>
      <c r="H111" s="9">
        <v>0</v>
      </c>
      <c r="I111" s="9">
        <f>IF(D111=1,1-indirect_model_parameters!$G$55,indirect_model_parameters!$G$55)</f>
        <v>3.6999999999999998E-2</v>
      </c>
      <c r="J111" s="9">
        <f>IF(E111=1,indirect_model_parameters!$G$16,indirect_model_parameters!$G$17)*IF(E111=2,indirect_model_parameters!$G$10,IF(E111=3,indirect_model_parameters!$G$12,IF(E111=4,indirect_model_parameters!$G$14,1)))</f>
        <v>0.16500000000000001</v>
      </c>
      <c r="L111" s="9">
        <f t="shared" si="12"/>
        <v>0</v>
      </c>
      <c r="M111" s="9">
        <v>0</v>
      </c>
      <c r="N111" s="37">
        <f>M111*indirect_model_parameters!$G$9</f>
        <v>0</v>
      </c>
    </row>
    <row r="112" spans="1:14" ht="48" x14ac:dyDescent="0.2">
      <c r="A112" s="1" t="str">
        <f t="shared" si="10"/>
        <v>Population in TB compartment  Recovered/Treated with Drug-susceptible (DS) in HIV compartment  PLHIV and on ART and Female</v>
      </c>
      <c r="B112" s="8" t="s">
        <v>239</v>
      </c>
      <c r="C112" s="8">
        <v>7</v>
      </c>
      <c r="D112" s="9">
        <v>1</v>
      </c>
      <c r="E112" s="9">
        <v>4</v>
      </c>
      <c r="F112" s="9">
        <v>2</v>
      </c>
      <c r="G112" s="39" t="str">
        <f t="shared" si="11"/>
        <v>N,7,1,4,2</v>
      </c>
      <c r="H112" s="9">
        <v>0</v>
      </c>
      <c r="I112" s="9">
        <f>IF(D112=1,1-indirect_model_parameters!$G$55,indirect_model_parameters!$G$55)</f>
        <v>0.96299999999999997</v>
      </c>
      <c r="J112" s="9">
        <f>IF(E112=1,indirect_model_parameters!$G$16,indirect_model_parameters!$G$17)*IF(E112=2,indirect_model_parameters!$G$10,IF(E112=3,indirect_model_parameters!$G$12,IF(E112=4,indirect_model_parameters!$G$14,1)))</f>
        <v>8.1000000000000003E-2</v>
      </c>
      <c r="L112" s="9">
        <f t="shared" si="12"/>
        <v>0</v>
      </c>
      <c r="M112" s="9">
        <v>0</v>
      </c>
      <c r="N112" s="37">
        <f>M112*indirect_model_parameters!$G$9</f>
        <v>0</v>
      </c>
    </row>
    <row r="113" spans="1:14" ht="48" x14ac:dyDescent="0.2">
      <c r="A113" s="1" t="str">
        <f t="shared" si="10"/>
        <v>Population in TB compartment  Recovered/Treated with  Multidrug-resistant (MDR-TB) in HIV compartment  PLHIV and on ART and Female</v>
      </c>
      <c r="B113" s="8" t="s">
        <v>239</v>
      </c>
      <c r="C113" s="8">
        <v>7</v>
      </c>
      <c r="D113" s="9">
        <v>2</v>
      </c>
      <c r="E113" s="9">
        <v>4</v>
      </c>
      <c r="F113" s="9">
        <v>2</v>
      </c>
      <c r="G113" s="39" t="str">
        <f t="shared" si="11"/>
        <v>N,7,2,4,2</v>
      </c>
      <c r="H113" s="9">
        <v>0</v>
      </c>
      <c r="I113" s="9">
        <f>IF(D113=1,1-indirect_model_parameters!$G$55,indirect_model_parameters!$G$55)</f>
        <v>3.6999999999999998E-2</v>
      </c>
      <c r="J113" s="9">
        <f>IF(E113=1,indirect_model_parameters!$G$16,indirect_model_parameters!$G$17)*IF(E113=2,indirect_model_parameters!$G$10,IF(E113=3,indirect_model_parameters!$G$12,IF(E113=4,indirect_model_parameters!$G$14,1)))</f>
        <v>8.1000000000000003E-2</v>
      </c>
      <c r="L113" s="9">
        <f t="shared" si="12"/>
        <v>0</v>
      </c>
      <c r="M113" s="9">
        <v>0</v>
      </c>
      <c r="N113" s="37">
        <f>M113*indirect_model_parameters!$G$9</f>
        <v>0</v>
      </c>
    </row>
    <row r="114" spans="1:14" ht="32" x14ac:dyDescent="0.2">
      <c r="A114" s="1" t="str">
        <f t="shared" si="10"/>
        <v>Population in TB compartment  LTBI, after IPT with Drug-susceptible (DS) in HIV compartment  HIV-negative and Male</v>
      </c>
      <c r="B114" s="8" t="s">
        <v>239</v>
      </c>
      <c r="C114" s="8">
        <v>8</v>
      </c>
      <c r="D114" s="9">
        <v>1</v>
      </c>
      <c r="E114" s="9">
        <v>1</v>
      </c>
      <c r="F114" s="9">
        <v>1</v>
      </c>
      <c r="G114" s="39" t="str">
        <f t="shared" si="11"/>
        <v>N,8,1,1,1</v>
      </c>
      <c r="H114" s="9">
        <v>0</v>
      </c>
      <c r="I114" s="9">
        <f>IF(D114=1,1-indirect_model_parameters!$G$55,indirect_model_parameters!$G$55)</f>
        <v>0.96299999999999997</v>
      </c>
      <c r="J114" s="9">
        <f>IF(E114=1,indirect_model_parameters!$G$16,indirect_model_parameters!$G$17)*IF(E114=2,indirect_model_parameters!$G$10,IF(E114=3,indirect_model_parameters!$G$12,IF(E114=4,indirect_model_parameters!$G$14,1)))</f>
        <v>0.7</v>
      </c>
      <c r="L114" s="9">
        <f t="shared" si="12"/>
        <v>0</v>
      </c>
      <c r="M114" s="9">
        <v>0</v>
      </c>
      <c r="N114" s="37">
        <f>M114*indirect_model_parameters!$G$9</f>
        <v>0</v>
      </c>
    </row>
    <row r="115" spans="1:14" ht="32" x14ac:dyDescent="0.2">
      <c r="A115" s="1" t="str">
        <f t="shared" si="10"/>
        <v>Population in TB compartment  LTBI, after IPT with  Multidrug-resistant (MDR-TB) in HIV compartment  HIV-negative and Male</v>
      </c>
      <c r="B115" s="8" t="s">
        <v>239</v>
      </c>
      <c r="C115" s="8">
        <v>8</v>
      </c>
      <c r="D115" s="9">
        <v>2</v>
      </c>
      <c r="E115" s="9">
        <v>1</v>
      </c>
      <c r="F115" s="9">
        <v>1</v>
      </c>
      <c r="G115" s="39" t="str">
        <f t="shared" si="11"/>
        <v>N,8,2,1,1</v>
      </c>
      <c r="H115" s="9">
        <v>0</v>
      </c>
      <c r="I115" s="9">
        <f>IF(D115=1,1-indirect_model_parameters!$G$55,indirect_model_parameters!$G$55)</f>
        <v>3.6999999999999998E-2</v>
      </c>
      <c r="J115" s="9">
        <f>IF(E115=1,indirect_model_parameters!$G$16,indirect_model_parameters!$G$17)*IF(E115=2,indirect_model_parameters!$G$10,IF(E115=3,indirect_model_parameters!$G$12,IF(E115=4,indirect_model_parameters!$G$14,1)))</f>
        <v>0.7</v>
      </c>
      <c r="L115" s="9">
        <f t="shared" si="12"/>
        <v>0</v>
      </c>
      <c r="M115" s="9">
        <v>0</v>
      </c>
      <c r="N115" s="37">
        <f>M115*indirect_model_parameters!$G$9</f>
        <v>0</v>
      </c>
    </row>
    <row r="116" spans="1:14" ht="48" x14ac:dyDescent="0.2">
      <c r="A116" s="1" t="str">
        <f t="shared" si="10"/>
        <v>Population in TB compartment  LTBI, after IPT with Drug-susceptible (DS) in HIV compartment  PLHIV not on ART, CD4&gt;200 and Male</v>
      </c>
      <c r="B116" s="8" t="s">
        <v>239</v>
      </c>
      <c r="C116" s="8">
        <v>8</v>
      </c>
      <c r="D116" s="9">
        <v>1</v>
      </c>
      <c r="E116" s="9">
        <v>2</v>
      </c>
      <c r="F116" s="9">
        <v>1</v>
      </c>
      <c r="G116" s="39" t="str">
        <f t="shared" si="11"/>
        <v>N,8,1,2,1</v>
      </c>
      <c r="H116" s="9">
        <v>0</v>
      </c>
      <c r="I116" s="9">
        <f>IF(D116=1,1-indirect_model_parameters!$G$55,indirect_model_parameters!$G$55)</f>
        <v>0.96299999999999997</v>
      </c>
      <c r="J116" s="9">
        <f>IF(E116=1,indirect_model_parameters!$G$16,indirect_model_parameters!$G$17)*IF(E116=2,indirect_model_parameters!$G$10,IF(E116=3,indirect_model_parameters!$G$12,IF(E116=4,indirect_model_parameters!$G$14,1)))</f>
        <v>5.3999999999999979E-2</v>
      </c>
      <c r="L116" s="9">
        <f t="shared" si="12"/>
        <v>0</v>
      </c>
      <c r="M116" s="9">
        <v>0</v>
      </c>
      <c r="N116" s="37">
        <f>M116*indirect_model_parameters!$G$9</f>
        <v>0</v>
      </c>
    </row>
    <row r="117" spans="1:14" ht="48" x14ac:dyDescent="0.2">
      <c r="A117" s="1" t="str">
        <f t="shared" si="10"/>
        <v>Population in TB compartment  LTBI, after IPT with  Multidrug-resistant (MDR-TB) in HIV compartment  PLHIV not on ART, CD4&gt;200 and Male</v>
      </c>
      <c r="B117" s="8" t="s">
        <v>239</v>
      </c>
      <c r="C117" s="8">
        <v>8</v>
      </c>
      <c r="D117" s="9">
        <v>2</v>
      </c>
      <c r="E117" s="9">
        <v>2</v>
      </c>
      <c r="F117" s="9">
        <v>1</v>
      </c>
      <c r="G117" s="39" t="str">
        <f t="shared" si="11"/>
        <v>N,8,2,2,1</v>
      </c>
      <c r="H117" s="9">
        <v>0</v>
      </c>
      <c r="I117" s="9">
        <f>IF(D117=1,1-indirect_model_parameters!$G$55,indirect_model_parameters!$G$55)</f>
        <v>3.6999999999999998E-2</v>
      </c>
      <c r="J117" s="9">
        <f>IF(E117=1,indirect_model_parameters!$G$16,indirect_model_parameters!$G$17)*IF(E117=2,indirect_model_parameters!$G$10,IF(E117=3,indirect_model_parameters!$G$12,IF(E117=4,indirect_model_parameters!$G$14,1)))</f>
        <v>5.3999999999999979E-2</v>
      </c>
      <c r="L117" s="9">
        <f t="shared" si="12"/>
        <v>0</v>
      </c>
      <c r="M117" s="9">
        <v>0</v>
      </c>
      <c r="N117" s="37">
        <f>M117*indirect_model_parameters!$G$9</f>
        <v>0</v>
      </c>
    </row>
    <row r="118" spans="1:14" ht="48" x14ac:dyDescent="0.2">
      <c r="A118" s="1" t="str">
        <f t="shared" si="10"/>
        <v>Population in TB compartment  LTBI, after IPT with Drug-susceptible (DS) in HIV compartment  PLHIV not on ART, CD4≤200 and Male</v>
      </c>
      <c r="B118" s="8" t="s">
        <v>239</v>
      </c>
      <c r="C118" s="8">
        <v>8</v>
      </c>
      <c r="D118" s="9">
        <v>1</v>
      </c>
      <c r="E118" s="9">
        <v>3</v>
      </c>
      <c r="F118" s="9">
        <v>1</v>
      </c>
      <c r="G118" s="39" t="str">
        <f t="shared" si="11"/>
        <v>N,8,1,3,1</v>
      </c>
      <c r="H118" s="9">
        <v>0</v>
      </c>
      <c r="I118" s="9">
        <f>IF(D118=1,1-indirect_model_parameters!$G$55,indirect_model_parameters!$G$55)</f>
        <v>0.96299999999999997</v>
      </c>
      <c r="J118" s="9">
        <f>IF(E118=1,indirect_model_parameters!$G$16,indirect_model_parameters!$G$17)*IF(E118=2,indirect_model_parameters!$G$10,IF(E118=3,indirect_model_parameters!$G$12,IF(E118=4,indirect_model_parameters!$G$14,1)))</f>
        <v>0.16500000000000001</v>
      </c>
      <c r="L118" s="9">
        <f t="shared" si="12"/>
        <v>0</v>
      </c>
      <c r="M118" s="9">
        <v>0</v>
      </c>
      <c r="N118" s="37">
        <f>M118*indirect_model_parameters!$G$9</f>
        <v>0</v>
      </c>
    </row>
    <row r="119" spans="1:14" ht="48" x14ac:dyDescent="0.2">
      <c r="A119" s="1" t="str">
        <f t="shared" si="10"/>
        <v>Population in TB compartment  LTBI, after IPT with  Multidrug-resistant (MDR-TB) in HIV compartment  PLHIV not on ART, CD4≤200 and Male</v>
      </c>
      <c r="B119" s="8" t="s">
        <v>239</v>
      </c>
      <c r="C119" s="8">
        <v>8</v>
      </c>
      <c r="D119" s="9">
        <v>2</v>
      </c>
      <c r="E119" s="9">
        <v>3</v>
      </c>
      <c r="F119" s="9">
        <v>1</v>
      </c>
      <c r="G119" s="39" t="str">
        <f t="shared" si="11"/>
        <v>N,8,2,3,1</v>
      </c>
      <c r="H119" s="9">
        <v>0</v>
      </c>
      <c r="I119" s="9">
        <f>IF(D119=1,1-indirect_model_parameters!$G$55,indirect_model_parameters!$G$55)</f>
        <v>3.6999999999999998E-2</v>
      </c>
      <c r="J119" s="9">
        <f>IF(E119=1,indirect_model_parameters!$G$16,indirect_model_parameters!$G$17)*IF(E119=2,indirect_model_parameters!$G$10,IF(E119=3,indirect_model_parameters!$G$12,IF(E119=4,indirect_model_parameters!$G$14,1)))</f>
        <v>0.16500000000000001</v>
      </c>
      <c r="L119" s="9">
        <f t="shared" si="12"/>
        <v>0</v>
      </c>
      <c r="M119" s="9">
        <v>0</v>
      </c>
      <c r="N119" s="37">
        <f>M119*indirect_model_parameters!$G$9</f>
        <v>0</v>
      </c>
    </row>
    <row r="120" spans="1:14" ht="32" x14ac:dyDescent="0.2">
      <c r="A120" s="1" t="str">
        <f t="shared" si="10"/>
        <v>Population in TB compartment  LTBI, after IPT with Drug-susceptible (DS) in HIV compartment  PLHIV and on ART and Male</v>
      </c>
      <c r="B120" s="8" t="s">
        <v>239</v>
      </c>
      <c r="C120" s="8">
        <v>8</v>
      </c>
      <c r="D120" s="9">
        <v>1</v>
      </c>
      <c r="E120" s="9">
        <v>4</v>
      </c>
      <c r="F120" s="9">
        <v>1</v>
      </c>
      <c r="G120" s="39" t="str">
        <f t="shared" si="11"/>
        <v>N,8,1,4,1</v>
      </c>
      <c r="H120" s="9">
        <v>0</v>
      </c>
      <c r="I120" s="9">
        <f>IF(D120=1,1-indirect_model_parameters!$G$55,indirect_model_parameters!$G$55)</f>
        <v>0.96299999999999997</v>
      </c>
      <c r="J120" s="9">
        <f>IF(E120=1,indirect_model_parameters!$G$16,indirect_model_parameters!$G$17)*IF(E120=2,indirect_model_parameters!$G$10,IF(E120=3,indirect_model_parameters!$G$12,IF(E120=4,indirect_model_parameters!$G$14,1)))</f>
        <v>8.1000000000000003E-2</v>
      </c>
      <c r="L120" s="9">
        <f t="shared" si="12"/>
        <v>0</v>
      </c>
      <c r="M120" s="9">
        <v>0</v>
      </c>
      <c r="N120" s="37">
        <f>M120*indirect_model_parameters!$G$9</f>
        <v>0</v>
      </c>
    </row>
    <row r="121" spans="1:14" ht="48" x14ac:dyDescent="0.2">
      <c r="A121" s="1" t="str">
        <f t="shared" si="10"/>
        <v>Population in TB compartment  LTBI, after IPT with  Multidrug-resistant (MDR-TB) in HIV compartment  PLHIV and on ART and Male</v>
      </c>
      <c r="B121" s="8" t="s">
        <v>239</v>
      </c>
      <c r="C121" s="8">
        <v>8</v>
      </c>
      <c r="D121" s="9">
        <v>2</v>
      </c>
      <c r="E121" s="9">
        <v>4</v>
      </c>
      <c r="F121" s="9">
        <v>1</v>
      </c>
      <c r="G121" s="39" t="str">
        <f t="shared" si="11"/>
        <v>N,8,2,4,1</v>
      </c>
      <c r="H121" s="9">
        <v>0</v>
      </c>
      <c r="I121" s="9">
        <f>IF(D121=1,1-indirect_model_parameters!$G$55,indirect_model_parameters!$G$55)</f>
        <v>3.6999999999999998E-2</v>
      </c>
      <c r="J121" s="9">
        <f>IF(E121=1,indirect_model_parameters!$G$16,indirect_model_parameters!$G$17)*IF(E121=2,indirect_model_parameters!$G$10,IF(E121=3,indirect_model_parameters!$G$12,IF(E121=4,indirect_model_parameters!$G$14,1)))</f>
        <v>8.1000000000000003E-2</v>
      </c>
      <c r="L121" s="9">
        <f t="shared" si="12"/>
        <v>0</v>
      </c>
      <c r="M121" s="9">
        <v>0</v>
      </c>
      <c r="N121" s="37">
        <f>M121*indirect_model_parameters!$G$9</f>
        <v>0</v>
      </c>
    </row>
    <row r="122" spans="1:14" ht="32" x14ac:dyDescent="0.2">
      <c r="A122" s="1" t="str">
        <f t="shared" si="10"/>
        <v>Population in TB compartment  LTBI, after IPT with Drug-susceptible (DS) in HIV compartment  HIV-negative and Female</v>
      </c>
      <c r="B122" s="8" t="s">
        <v>239</v>
      </c>
      <c r="C122" s="8">
        <v>8</v>
      </c>
      <c r="D122" s="9">
        <v>1</v>
      </c>
      <c r="E122" s="9">
        <v>1</v>
      </c>
      <c r="F122" s="9">
        <v>2</v>
      </c>
      <c r="G122" s="39" t="str">
        <f t="shared" si="11"/>
        <v>N,8,1,1,2</v>
      </c>
      <c r="H122" s="9">
        <v>0</v>
      </c>
      <c r="I122" s="9">
        <f>IF(D122=1,1-indirect_model_parameters!$G$55,indirect_model_parameters!$G$55)</f>
        <v>0.96299999999999997</v>
      </c>
      <c r="J122" s="9">
        <f>IF(E122=1,indirect_model_parameters!$G$16,indirect_model_parameters!$G$17)*IF(E122=2,indirect_model_parameters!$G$10,IF(E122=3,indirect_model_parameters!$G$12,IF(E122=4,indirect_model_parameters!$G$14,1)))</f>
        <v>0.7</v>
      </c>
      <c r="L122" s="9">
        <f t="shared" si="12"/>
        <v>0</v>
      </c>
      <c r="M122" s="9">
        <v>0</v>
      </c>
      <c r="N122" s="37">
        <f>M122*indirect_model_parameters!$G$9</f>
        <v>0</v>
      </c>
    </row>
    <row r="123" spans="1:14" ht="32" x14ac:dyDescent="0.2">
      <c r="A123" s="1" t="str">
        <f t="shared" si="10"/>
        <v>Population in TB compartment  LTBI, after IPT with  Multidrug-resistant (MDR-TB) in HIV compartment  HIV-negative and Female</v>
      </c>
      <c r="B123" s="8" t="s">
        <v>239</v>
      </c>
      <c r="C123" s="8">
        <v>8</v>
      </c>
      <c r="D123" s="9">
        <v>2</v>
      </c>
      <c r="E123" s="9">
        <v>1</v>
      </c>
      <c r="F123" s="9">
        <v>2</v>
      </c>
      <c r="G123" s="39" t="str">
        <f t="shared" si="11"/>
        <v>N,8,2,1,2</v>
      </c>
      <c r="H123" s="9">
        <v>0</v>
      </c>
      <c r="I123" s="9">
        <f>IF(D123=1,1-indirect_model_parameters!$G$55,indirect_model_parameters!$G$55)</f>
        <v>3.6999999999999998E-2</v>
      </c>
      <c r="J123" s="9">
        <f>IF(E123=1,indirect_model_parameters!$G$16,indirect_model_parameters!$G$17)*IF(E123=2,indirect_model_parameters!$G$10,IF(E123=3,indirect_model_parameters!$G$12,IF(E123=4,indirect_model_parameters!$G$14,1)))</f>
        <v>0.7</v>
      </c>
      <c r="L123" s="9">
        <f t="shared" si="12"/>
        <v>0</v>
      </c>
      <c r="M123" s="9">
        <v>0</v>
      </c>
      <c r="N123" s="37">
        <f>M123*indirect_model_parameters!$G$9</f>
        <v>0</v>
      </c>
    </row>
    <row r="124" spans="1:14" ht="48" x14ac:dyDescent="0.2">
      <c r="A124" s="1" t="str">
        <f t="shared" si="10"/>
        <v>Population in TB compartment  LTBI, after IPT with Drug-susceptible (DS) in HIV compartment  PLHIV not on ART, CD4&gt;200 and Female</v>
      </c>
      <c r="B124" s="8" t="s">
        <v>239</v>
      </c>
      <c r="C124" s="8">
        <v>8</v>
      </c>
      <c r="D124" s="9">
        <v>1</v>
      </c>
      <c r="E124" s="9">
        <v>2</v>
      </c>
      <c r="F124" s="9">
        <v>2</v>
      </c>
      <c r="G124" s="39" t="str">
        <f t="shared" si="11"/>
        <v>N,8,1,2,2</v>
      </c>
      <c r="H124" s="9">
        <v>0</v>
      </c>
      <c r="I124" s="9">
        <f>IF(D124=1,1-indirect_model_parameters!$G$55,indirect_model_parameters!$G$55)</f>
        <v>0.96299999999999997</v>
      </c>
      <c r="J124" s="9">
        <f>IF(E124=1,indirect_model_parameters!$G$16,indirect_model_parameters!$G$17)*IF(E124=2,indirect_model_parameters!$G$10,IF(E124=3,indirect_model_parameters!$G$12,IF(E124=4,indirect_model_parameters!$G$14,1)))</f>
        <v>5.3999999999999979E-2</v>
      </c>
      <c r="L124" s="9">
        <f t="shared" si="12"/>
        <v>0</v>
      </c>
      <c r="M124" s="9">
        <v>0</v>
      </c>
      <c r="N124" s="37">
        <f>M124*indirect_model_parameters!$G$9</f>
        <v>0</v>
      </c>
    </row>
    <row r="125" spans="1:14" ht="48" x14ac:dyDescent="0.2">
      <c r="A125" s="1" t="str">
        <f t="shared" si="10"/>
        <v>Population in TB compartment  LTBI, after IPT with  Multidrug-resistant (MDR-TB) in HIV compartment  PLHIV not on ART, CD4&gt;200 and Female</v>
      </c>
      <c r="B125" s="8" t="s">
        <v>239</v>
      </c>
      <c r="C125" s="8">
        <v>8</v>
      </c>
      <c r="D125" s="9">
        <v>2</v>
      </c>
      <c r="E125" s="9">
        <v>2</v>
      </c>
      <c r="F125" s="9">
        <v>2</v>
      </c>
      <c r="G125" s="39" t="str">
        <f t="shared" si="11"/>
        <v>N,8,2,2,2</v>
      </c>
      <c r="H125" s="9">
        <v>0</v>
      </c>
      <c r="I125" s="9">
        <f>IF(D125=1,1-indirect_model_parameters!$G$55,indirect_model_parameters!$G$55)</f>
        <v>3.6999999999999998E-2</v>
      </c>
      <c r="J125" s="9">
        <f>IF(E125=1,indirect_model_parameters!$G$16,indirect_model_parameters!$G$17)*IF(E125=2,indirect_model_parameters!$G$10,IF(E125=3,indirect_model_parameters!$G$12,IF(E125=4,indirect_model_parameters!$G$14,1)))</f>
        <v>5.3999999999999979E-2</v>
      </c>
      <c r="L125" s="9">
        <f t="shared" si="12"/>
        <v>0</v>
      </c>
      <c r="M125" s="9">
        <v>0</v>
      </c>
      <c r="N125" s="37">
        <f>M125*indirect_model_parameters!$G$9</f>
        <v>0</v>
      </c>
    </row>
    <row r="126" spans="1:14" ht="48" x14ac:dyDescent="0.2">
      <c r="A126" s="1" t="str">
        <f t="shared" si="10"/>
        <v>Population in TB compartment  LTBI, after IPT with Drug-susceptible (DS) in HIV compartment  PLHIV not on ART, CD4≤200 and Female</v>
      </c>
      <c r="B126" s="8" t="s">
        <v>239</v>
      </c>
      <c r="C126" s="8">
        <v>8</v>
      </c>
      <c r="D126" s="9">
        <v>1</v>
      </c>
      <c r="E126" s="9">
        <v>3</v>
      </c>
      <c r="F126" s="9">
        <v>2</v>
      </c>
      <c r="G126" s="39" t="str">
        <f t="shared" si="11"/>
        <v>N,8,1,3,2</v>
      </c>
      <c r="H126" s="9">
        <v>0</v>
      </c>
      <c r="I126" s="9">
        <f>IF(D126=1,1-indirect_model_parameters!$G$55,indirect_model_parameters!$G$55)</f>
        <v>0.96299999999999997</v>
      </c>
      <c r="J126" s="9">
        <f>IF(E126=1,indirect_model_parameters!$G$16,indirect_model_parameters!$G$17)*IF(E126=2,indirect_model_parameters!$G$10,IF(E126=3,indirect_model_parameters!$G$12,IF(E126=4,indirect_model_parameters!$G$14,1)))</f>
        <v>0.16500000000000001</v>
      </c>
      <c r="L126" s="9">
        <f t="shared" si="12"/>
        <v>0</v>
      </c>
      <c r="M126" s="9">
        <v>0</v>
      </c>
      <c r="N126" s="37">
        <f>M126*indirect_model_parameters!$G$9</f>
        <v>0</v>
      </c>
    </row>
    <row r="127" spans="1:14" ht="48" x14ac:dyDescent="0.2">
      <c r="A127" s="1" t="str">
        <f t="shared" si="10"/>
        <v>Population in TB compartment  LTBI, after IPT with  Multidrug-resistant (MDR-TB) in HIV compartment  PLHIV not on ART, CD4≤200 and Female</v>
      </c>
      <c r="B127" s="8" t="s">
        <v>239</v>
      </c>
      <c r="C127" s="8">
        <v>8</v>
      </c>
      <c r="D127" s="9">
        <v>2</v>
      </c>
      <c r="E127" s="9">
        <v>3</v>
      </c>
      <c r="F127" s="9">
        <v>2</v>
      </c>
      <c r="G127" s="39" t="str">
        <f t="shared" si="11"/>
        <v>N,8,2,3,2</v>
      </c>
      <c r="H127" s="9">
        <v>0</v>
      </c>
      <c r="I127" s="9">
        <f>IF(D127=1,1-indirect_model_parameters!$G$55,indirect_model_parameters!$G$55)</f>
        <v>3.6999999999999998E-2</v>
      </c>
      <c r="J127" s="9">
        <f>IF(E127=1,indirect_model_parameters!$G$16,indirect_model_parameters!$G$17)*IF(E127=2,indirect_model_parameters!$G$10,IF(E127=3,indirect_model_parameters!$G$12,IF(E127=4,indirect_model_parameters!$G$14,1)))</f>
        <v>0.16500000000000001</v>
      </c>
      <c r="L127" s="9">
        <f t="shared" si="12"/>
        <v>0</v>
      </c>
      <c r="M127" s="9">
        <v>0</v>
      </c>
      <c r="N127" s="37">
        <f>M127*indirect_model_parameters!$G$9</f>
        <v>0</v>
      </c>
    </row>
    <row r="128" spans="1:14" ht="48" x14ac:dyDescent="0.2">
      <c r="A128" s="1" t="str">
        <f t="shared" si="10"/>
        <v>Population in TB compartment  LTBI, after IPT with Drug-susceptible (DS) in HIV compartment  PLHIV and on ART and Female</v>
      </c>
      <c r="B128" s="8" t="s">
        <v>239</v>
      </c>
      <c r="C128" s="8">
        <v>8</v>
      </c>
      <c r="D128" s="9">
        <v>1</v>
      </c>
      <c r="E128" s="9">
        <v>4</v>
      </c>
      <c r="F128" s="9">
        <v>2</v>
      </c>
      <c r="G128" s="39" t="str">
        <f t="shared" si="11"/>
        <v>N,8,1,4,2</v>
      </c>
      <c r="H128" s="9">
        <v>0</v>
      </c>
      <c r="I128" s="9">
        <f>IF(D128=1,1-indirect_model_parameters!$G$55,indirect_model_parameters!$G$55)</f>
        <v>0.96299999999999997</v>
      </c>
      <c r="J128" s="9">
        <f>IF(E128=1,indirect_model_parameters!$G$16,indirect_model_parameters!$G$17)*IF(E128=2,indirect_model_parameters!$G$10,IF(E128=3,indirect_model_parameters!$G$12,IF(E128=4,indirect_model_parameters!$G$14,1)))</f>
        <v>8.1000000000000003E-2</v>
      </c>
      <c r="L128" s="9">
        <f t="shared" si="12"/>
        <v>0</v>
      </c>
      <c r="M128" s="9">
        <v>0</v>
      </c>
      <c r="N128" s="37">
        <f>M128*indirect_model_parameters!$G$9</f>
        <v>0</v>
      </c>
    </row>
    <row r="129" spans="1:14" ht="48" x14ac:dyDescent="0.2">
      <c r="A129" s="1" t="str">
        <f t="shared" si="10"/>
        <v>Population in TB compartment  LTBI, after IPT with  Multidrug-resistant (MDR-TB) in HIV compartment  PLHIV and on ART and Female</v>
      </c>
      <c r="B129" s="8" t="s">
        <v>239</v>
      </c>
      <c r="C129" s="8">
        <v>8</v>
      </c>
      <c r="D129" s="9">
        <v>2</v>
      </c>
      <c r="E129" s="9">
        <v>4</v>
      </c>
      <c r="F129" s="9">
        <v>2</v>
      </c>
      <c r="G129" s="39" t="str">
        <f t="shared" si="11"/>
        <v>N,8,2,4,2</v>
      </c>
      <c r="H129" s="9">
        <v>0</v>
      </c>
      <c r="I129" s="9">
        <f>IF(D129=1,1-indirect_model_parameters!$G$55,indirect_model_parameters!$G$55)</f>
        <v>3.6999999999999998E-2</v>
      </c>
      <c r="J129" s="9">
        <f>IF(E129=1,indirect_model_parameters!$G$16,indirect_model_parameters!$G$17)*IF(E129=2,indirect_model_parameters!$G$10,IF(E129=3,indirect_model_parameters!$G$12,IF(E129=4,indirect_model_parameters!$G$14,1)))</f>
        <v>8.1000000000000003E-2</v>
      </c>
      <c r="L129" s="9">
        <f t="shared" si="12"/>
        <v>0</v>
      </c>
      <c r="M129" s="9">
        <v>0</v>
      </c>
      <c r="N129" s="37">
        <f>M129*indirect_model_parameters!$G$9</f>
        <v>0</v>
      </c>
    </row>
    <row r="130" spans="1:14" x14ac:dyDescent="0.2">
      <c r="B130" s="8"/>
      <c r="C130" s="8"/>
    </row>
    <row r="131" spans="1:14" x14ac:dyDescent="0.2">
      <c r="B131" s="8"/>
      <c r="C131" s="8"/>
    </row>
    <row r="132" spans="1:14" x14ac:dyDescent="0.2">
      <c r="B132" s="8"/>
      <c r="C132" s="8"/>
    </row>
    <row r="133" spans="1:14" x14ac:dyDescent="0.2">
      <c r="B133" s="8"/>
      <c r="C133" s="8"/>
    </row>
    <row r="134" spans="1:14" x14ac:dyDescent="0.2">
      <c r="B134" s="8"/>
      <c r="C134" s="8"/>
    </row>
    <row r="135" spans="1:14" x14ac:dyDescent="0.2">
      <c r="B135" s="8"/>
      <c r="C135" s="8"/>
    </row>
    <row r="136" spans="1:14" x14ac:dyDescent="0.2">
      <c r="B136" s="8"/>
      <c r="C136" s="8"/>
    </row>
    <row r="137" spans="1:14" x14ac:dyDescent="0.2">
      <c r="B137" s="8"/>
      <c r="C137" s="8"/>
    </row>
    <row r="138" spans="1:14" x14ac:dyDescent="0.2">
      <c r="B138" s="8"/>
      <c r="C138" s="8"/>
    </row>
    <row r="139" spans="1:14" x14ac:dyDescent="0.2">
      <c r="B139" s="8"/>
      <c r="C139" s="8"/>
    </row>
    <row r="140" spans="1:14" x14ac:dyDescent="0.2">
      <c r="B140" s="8"/>
      <c r="C140" s="8"/>
    </row>
    <row r="141" spans="1:14" x14ac:dyDescent="0.2">
      <c r="B141" s="8"/>
      <c r="C141" s="8"/>
    </row>
    <row r="142" spans="1:14" x14ac:dyDescent="0.2">
      <c r="B142" s="8"/>
      <c r="C142" s="8"/>
    </row>
    <row r="143" spans="1:14" x14ac:dyDescent="0.2">
      <c r="B143" s="8"/>
      <c r="C143" s="8"/>
    </row>
    <row r="144" spans="1:14" x14ac:dyDescent="0.2">
      <c r="B144" s="8"/>
      <c r="C144" s="8"/>
    </row>
    <row r="145" spans="2:3" x14ac:dyDescent="0.2">
      <c r="B145" s="8"/>
      <c r="C145" s="8"/>
    </row>
    <row r="146" spans="2:3" x14ac:dyDescent="0.2">
      <c r="B146" s="8"/>
      <c r="C146" s="8"/>
    </row>
    <row r="147" spans="2:3" x14ac:dyDescent="0.2">
      <c r="B147" s="8"/>
      <c r="C147" s="8"/>
    </row>
    <row r="148" spans="2:3" x14ac:dyDescent="0.2">
      <c r="B148" s="8"/>
      <c r="C148" s="8"/>
    </row>
    <row r="149" spans="2:3" x14ac:dyDescent="0.2">
      <c r="B149" s="8"/>
      <c r="C149" s="8"/>
    </row>
    <row r="150" spans="2:3" x14ac:dyDescent="0.2">
      <c r="B150" s="8"/>
      <c r="C150" s="8"/>
    </row>
    <row r="151" spans="2:3" x14ac:dyDescent="0.2">
      <c r="B151" s="8"/>
      <c r="C151" s="8"/>
    </row>
    <row r="152" spans="2:3" x14ac:dyDescent="0.2">
      <c r="B152" s="8"/>
      <c r="C152" s="8"/>
    </row>
    <row r="153" spans="2:3" x14ac:dyDescent="0.2">
      <c r="B153" s="8"/>
      <c r="C153" s="8"/>
    </row>
    <row r="154" spans="2:3" x14ac:dyDescent="0.2">
      <c r="B154" s="8"/>
      <c r="C154" s="8"/>
    </row>
    <row r="155" spans="2:3" x14ac:dyDescent="0.2">
      <c r="B155" s="8"/>
      <c r="C155" s="8"/>
    </row>
    <row r="156" spans="2:3" x14ac:dyDescent="0.2">
      <c r="B156" s="8"/>
      <c r="C156" s="8"/>
    </row>
    <row r="157" spans="2:3" x14ac:dyDescent="0.2">
      <c r="B157" s="8"/>
      <c r="C157" s="8"/>
    </row>
    <row r="158" spans="2:3" x14ac:dyDescent="0.2">
      <c r="B158" s="8"/>
      <c r="C158" s="8"/>
    </row>
    <row r="159" spans="2:3" x14ac:dyDescent="0.2">
      <c r="B159" s="8"/>
      <c r="C159" s="8"/>
    </row>
    <row r="160" spans="2:3" x14ac:dyDescent="0.2">
      <c r="B160" s="8"/>
      <c r="C160" s="8"/>
    </row>
    <row r="161" spans="2:3" x14ac:dyDescent="0.2">
      <c r="B161" s="8"/>
      <c r="C161" s="8"/>
    </row>
    <row r="162" spans="2:3" x14ac:dyDescent="0.2">
      <c r="B162" s="8"/>
      <c r="C162" s="8"/>
    </row>
    <row r="163" spans="2:3" x14ac:dyDescent="0.2">
      <c r="B163" s="8"/>
      <c r="C163" s="8"/>
    </row>
    <row r="164" spans="2:3" x14ac:dyDescent="0.2">
      <c r="B164" s="8"/>
      <c r="C164" s="8"/>
    </row>
    <row r="165" spans="2:3" x14ac:dyDescent="0.2">
      <c r="B165" s="8"/>
      <c r="C165" s="8"/>
    </row>
    <row r="166" spans="2:3" x14ac:dyDescent="0.2">
      <c r="B166" s="8"/>
      <c r="C166" s="8"/>
    </row>
    <row r="167" spans="2:3" x14ac:dyDescent="0.2">
      <c r="B167" s="8"/>
      <c r="C167" s="8"/>
    </row>
    <row r="168" spans="2:3" x14ac:dyDescent="0.2">
      <c r="B168" s="8"/>
      <c r="C168" s="8"/>
    </row>
    <row r="169" spans="2:3" x14ac:dyDescent="0.2">
      <c r="B169" s="8"/>
      <c r="C169" s="8"/>
    </row>
    <row r="170" spans="2:3" x14ac:dyDescent="0.2">
      <c r="B170" s="8"/>
      <c r="C170" s="8"/>
    </row>
    <row r="171" spans="2:3" x14ac:dyDescent="0.2">
      <c r="B171" s="8"/>
      <c r="C171" s="8"/>
    </row>
    <row r="172" spans="2:3" x14ac:dyDescent="0.2">
      <c r="B172" s="8"/>
      <c r="C172" s="8"/>
    </row>
    <row r="173" spans="2:3" x14ac:dyDescent="0.2">
      <c r="B173" s="8"/>
      <c r="C173" s="8"/>
    </row>
    <row r="174" spans="2:3" x14ac:dyDescent="0.2">
      <c r="B174" s="8"/>
      <c r="C174" s="8"/>
    </row>
    <row r="175" spans="2:3" x14ac:dyDescent="0.2">
      <c r="B175" s="8"/>
      <c r="C175" s="8"/>
    </row>
    <row r="176" spans="2:3" x14ac:dyDescent="0.2">
      <c r="B176" s="8"/>
      <c r="C176" s="8"/>
    </row>
    <row r="177" spans="2:3" x14ac:dyDescent="0.2">
      <c r="B177" s="8"/>
      <c r="C177" s="8"/>
    </row>
    <row r="178" spans="2:3" x14ac:dyDescent="0.2">
      <c r="B178" s="8"/>
      <c r="C178" s="8"/>
    </row>
    <row r="179" spans="2:3" x14ac:dyDescent="0.2">
      <c r="B179" s="8"/>
      <c r="C179" s="8"/>
    </row>
    <row r="180" spans="2:3" x14ac:dyDescent="0.2">
      <c r="B180" s="8"/>
      <c r="C180" s="8"/>
    </row>
    <row r="181" spans="2:3" x14ac:dyDescent="0.2">
      <c r="B181" s="8"/>
      <c r="C181" s="8"/>
    </row>
    <row r="182" spans="2:3" x14ac:dyDescent="0.2">
      <c r="B182" s="8"/>
      <c r="C182" s="8"/>
    </row>
    <row r="183" spans="2:3" x14ac:dyDescent="0.2">
      <c r="B183" s="8"/>
      <c r="C183" s="8"/>
    </row>
    <row r="184" spans="2:3" x14ac:dyDescent="0.2">
      <c r="B184" s="8"/>
      <c r="C184" s="8"/>
    </row>
    <row r="185" spans="2:3" x14ac:dyDescent="0.2">
      <c r="B185" s="8"/>
      <c r="C185" s="8"/>
    </row>
    <row r="187" spans="2:3" x14ac:dyDescent="0.2">
      <c r="B187" s="8"/>
      <c r="C187" s="8"/>
    </row>
    <row r="188" spans="2:3" x14ac:dyDescent="0.2">
      <c r="B188" s="8"/>
      <c r="C188" s="8"/>
    </row>
    <row r="189" spans="2:3" x14ac:dyDescent="0.2">
      <c r="B189" s="8"/>
      <c r="C189" s="8"/>
    </row>
    <row r="190" spans="2:3" x14ac:dyDescent="0.2">
      <c r="B190" s="8"/>
      <c r="C190" s="8"/>
    </row>
    <row r="191" spans="2:3" x14ac:dyDescent="0.2">
      <c r="B191" s="8"/>
      <c r="C191" s="8"/>
    </row>
    <row r="192" spans="2:3" x14ac:dyDescent="0.2">
      <c r="B192" s="8"/>
      <c r="C192" s="8"/>
    </row>
    <row r="193" spans="2:3" x14ac:dyDescent="0.2">
      <c r="B193" s="8"/>
      <c r="C193" s="8"/>
    </row>
    <row r="194" spans="2:3" x14ac:dyDescent="0.2">
      <c r="B194" s="8"/>
      <c r="C194" s="8"/>
    </row>
  </sheetData>
  <sortState xmlns:xlrd2="http://schemas.microsoft.com/office/spreadsheetml/2017/richdata2" ref="A2:Q129">
    <sortCondition ref="C2:C129"/>
    <sortCondition ref="F2:F129"/>
    <sortCondition ref="E2:E129"/>
  </sortState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ED316-4799-9048-A287-F9D29ABF9595}">
  <dimension ref="A1:M51"/>
  <sheetViews>
    <sheetView topLeftCell="A5" workbookViewId="0">
      <selection activeCell="B8" sqref="B8"/>
    </sheetView>
  </sheetViews>
  <sheetFormatPr baseColWidth="10" defaultColWidth="10.6640625" defaultRowHeight="15" x14ac:dyDescent="0.2"/>
  <cols>
    <col min="1" max="1" width="14.6640625" bestFit="1" customWidth="1"/>
    <col min="2" max="2" width="15.6640625" bestFit="1" customWidth="1"/>
    <col min="3" max="3" width="14.1640625" customWidth="1"/>
    <col min="4" max="4" width="14.33203125" customWidth="1"/>
    <col min="5" max="5" width="14" customWidth="1"/>
    <col min="6" max="6" width="13.5" customWidth="1"/>
    <col min="7" max="7" width="13.33203125" customWidth="1"/>
    <col min="8" max="8" width="11.5" customWidth="1"/>
    <col min="9" max="9" width="17" bestFit="1" customWidth="1"/>
    <col min="10" max="10" width="12.1640625" bestFit="1" customWidth="1"/>
    <col min="11" max="11" width="10" bestFit="1" customWidth="1"/>
    <col min="12" max="12" width="9.83203125" bestFit="1" customWidth="1"/>
    <col min="13" max="13" width="15.1640625" bestFit="1" customWidth="1"/>
    <col min="14" max="16" width="8.1640625" bestFit="1" customWidth="1"/>
    <col min="17" max="17" width="7.1640625" bestFit="1" customWidth="1"/>
    <col min="18" max="21" width="8.1640625" bestFit="1" customWidth="1"/>
    <col min="22" max="22" width="7.1640625" bestFit="1" customWidth="1"/>
    <col min="23" max="23" width="10" bestFit="1" customWidth="1"/>
  </cols>
  <sheetData>
    <row r="1" spans="1:10" x14ac:dyDescent="0.2">
      <c r="A1" s="41" t="s">
        <v>4</v>
      </c>
      <c r="B1" t="s">
        <v>327</v>
      </c>
    </row>
    <row r="2" spans="1:10" x14ac:dyDescent="0.2">
      <c r="A2" s="41" t="s">
        <v>6</v>
      </c>
      <c r="B2" t="s">
        <v>327</v>
      </c>
    </row>
    <row r="3" spans="1:10" x14ac:dyDescent="0.2">
      <c r="A3" s="41" t="s">
        <v>7</v>
      </c>
      <c r="B3" t="s">
        <v>325</v>
      </c>
    </row>
    <row r="5" spans="1:10" s="1" customFormat="1" ht="51" x14ac:dyDescent="0.2">
      <c r="A5" s="62" t="s">
        <v>413</v>
      </c>
      <c r="B5" s="62" t="s">
        <v>416</v>
      </c>
      <c r="C5" s="62" t="s">
        <v>353</v>
      </c>
      <c r="D5" s="62" t="s">
        <v>355</v>
      </c>
      <c r="E5" s="62" t="s">
        <v>354</v>
      </c>
      <c r="F5" s="62" t="s">
        <v>356</v>
      </c>
      <c r="G5" s="62" t="s">
        <v>357</v>
      </c>
      <c r="H5" s="62" t="s">
        <v>352</v>
      </c>
      <c r="J5" s="49"/>
    </row>
    <row r="6" spans="1:10" x14ac:dyDescent="0.2">
      <c r="A6" s="42" t="s">
        <v>328</v>
      </c>
      <c r="B6" s="43">
        <v>7.3216304392392559E-2</v>
      </c>
      <c r="C6" t="str">
        <f>RIGHT(LEFT($A6,3),1)</f>
        <v>1</v>
      </c>
      <c r="D6" t="str">
        <f>RIGHT(LEFT($A6,7),1)</f>
        <v>1</v>
      </c>
      <c r="E6" t="str">
        <f>RIGHT(LEFT($A6,7),1)</f>
        <v>1</v>
      </c>
      <c r="F6" t="str">
        <f t="shared" ref="F6:F37" si="0">RIGHT(A6,1)</f>
        <v>1</v>
      </c>
      <c r="G6" t="str">
        <f>CONCATENATE("alpha^in_",C6,",",D6,",",E6,",",F6)</f>
        <v>alpha^in_1,1,1,1</v>
      </c>
      <c r="H6" s="48">
        <f>B6/$B$38</f>
        <v>0.15495352324023928</v>
      </c>
      <c r="J6" s="44"/>
    </row>
    <row r="7" spans="1:10" x14ac:dyDescent="0.2">
      <c r="A7" s="42" t="s">
        <v>329</v>
      </c>
      <c r="B7" s="43">
        <v>7.3216304392392559E-2</v>
      </c>
      <c r="C7" t="str">
        <f t="shared" ref="C7:C37" si="1">RIGHT(LEFT(A7,3),1)</f>
        <v>1</v>
      </c>
      <c r="D7" t="str">
        <f t="shared" ref="D7:D37" si="2">RIGHT(LEFT($A7,5),1)</f>
        <v>1</v>
      </c>
      <c r="E7" t="str">
        <f t="shared" ref="E7:E37" si="3">RIGHT(LEFT($A7,7),1)</f>
        <v>1</v>
      </c>
      <c r="F7" t="str">
        <f t="shared" si="0"/>
        <v>2</v>
      </c>
      <c r="G7" t="str">
        <f t="shared" ref="G7:G37" si="4">CONCATENATE("alpha^in_",C7,",",D7,",",E7,",",F7)</f>
        <v>alpha^in_1,1,1,2</v>
      </c>
      <c r="H7" s="48">
        <f t="shared" ref="H7:H37" si="5">B7/$B$38</f>
        <v>0.15495352324023928</v>
      </c>
      <c r="J7" s="44"/>
    </row>
    <row r="8" spans="1:10" x14ac:dyDescent="0.2">
      <c r="A8" s="42" t="s">
        <v>330</v>
      </c>
      <c r="B8" s="43">
        <v>1.7258128892492536E-2</v>
      </c>
      <c r="C8" t="str">
        <f t="shared" si="1"/>
        <v>1</v>
      </c>
      <c r="D8" t="str">
        <f t="shared" si="2"/>
        <v>1</v>
      </c>
      <c r="E8" t="str">
        <f t="shared" si="3"/>
        <v>2</v>
      </c>
      <c r="F8" t="str">
        <f t="shared" si="0"/>
        <v>1</v>
      </c>
      <c r="G8" t="str">
        <f t="shared" si="4"/>
        <v>alpha^in_1,1,2,1</v>
      </c>
      <c r="H8" s="48">
        <f t="shared" si="5"/>
        <v>3.6524759049484982E-2</v>
      </c>
      <c r="J8" s="44"/>
    </row>
    <row r="9" spans="1:10" x14ac:dyDescent="0.2">
      <c r="A9" s="42" t="s">
        <v>331</v>
      </c>
      <c r="B9" s="43">
        <v>1.7258128892492536E-2</v>
      </c>
      <c r="C9" t="str">
        <f t="shared" si="1"/>
        <v>1</v>
      </c>
      <c r="D9" t="str">
        <f t="shared" si="2"/>
        <v>1</v>
      </c>
      <c r="E9" t="str">
        <f t="shared" si="3"/>
        <v>2</v>
      </c>
      <c r="F9" t="str">
        <f t="shared" si="0"/>
        <v>2</v>
      </c>
      <c r="G9" t="str">
        <f t="shared" si="4"/>
        <v>alpha^in_1,1,2,2</v>
      </c>
      <c r="H9" s="48">
        <f t="shared" si="5"/>
        <v>3.6524759049484982E-2</v>
      </c>
      <c r="J9" s="44"/>
    </row>
    <row r="10" spans="1:10" x14ac:dyDescent="0.2">
      <c r="A10" s="42" t="s">
        <v>332</v>
      </c>
      <c r="B10" s="43">
        <v>0</v>
      </c>
      <c r="C10" t="str">
        <f t="shared" si="1"/>
        <v>1</v>
      </c>
      <c r="D10" t="str">
        <f t="shared" si="2"/>
        <v>2</v>
      </c>
      <c r="E10" t="str">
        <f t="shared" si="3"/>
        <v>1</v>
      </c>
      <c r="F10" t="str">
        <f t="shared" si="0"/>
        <v>1</v>
      </c>
      <c r="G10" t="str">
        <f t="shared" si="4"/>
        <v>alpha^in_1,2,1,1</v>
      </c>
      <c r="H10" s="48">
        <f t="shared" si="5"/>
        <v>0</v>
      </c>
      <c r="J10" s="44"/>
    </row>
    <row r="11" spans="1:10" x14ac:dyDescent="0.2">
      <c r="A11" s="42" t="s">
        <v>333</v>
      </c>
      <c r="B11" s="43">
        <v>0</v>
      </c>
      <c r="C11" t="str">
        <f t="shared" si="1"/>
        <v>1</v>
      </c>
      <c r="D11" t="str">
        <f t="shared" si="2"/>
        <v>2</v>
      </c>
      <c r="E11" t="str">
        <f t="shared" si="3"/>
        <v>1</v>
      </c>
      <c r="F11" t="str">
        <f t="shared" si="0"/>
        <v>2</v>
      </c>
      <c r="G11" t="str">
        <f t="shared" si="4"/>
        <v>alpha^in_1,2,1,2</v>
      </c>
      <c r="H11" s="48">
        <f t="shared" si="5"/>
        <v>0</v>
      </c>
      <c r="J11" s="44"/>
    </row>
    <row r="12" spans="1:10" x14ac:dyDescent="0.2">
      <c r="A12" s="42" t="s">
        <v>334</v>
      </c>
      <c r="B12" s="43">
        <v>0</v>
      </c>
      <c r="C12" t="str">
        <f t="shared" si="1"/>
        <v>1</v>
      </c>
      <c r="D12" t="str">
        <f t="shared" si="2"/>
        <v>2</v>
      </c>
      <c r="E12" t="str">
        <f t="shared" si="3"/>
        <v>2</v>
      </c>
      <c r="F12" t="str">
        <f t="shared" si="0"/>
        <v>1</v>
      </c>
      <c r="G12" t="str">
        <f t="shared" si="4"/>
        <v>alpha^in_1,2,2,1</v>
      </c>
      <c r="H12" s="48">
        <f t="shared" si="5"/>
        <v>0</v>
      </c>
      <c r="J12" s="44"/>
    </row>
    <row r="13" spans="1:10" x14ac:dyDescent="0.2">
      <c r="A13" s="42" t="s">
        <v>335</v>
      </c>
      <c r="B13" s="43">
        <v>0</v>
      </c>
      <c r="C13" t="str">
        <f t="shared" si="1"/>
        <v>1</v>
      </c>
      <c r="D13" t="str">
        <f t="shared" si="2"/>
        <v>2</v>
      </c>
      <c r="E13" t="str">
        <f t="shared" si="3"/>
        <v>2</v>
      </c>
      <c r="F13" t="str">
        <f t="shared" si="0"/>
        <v>2</v>
      </c>
      <c r="G13" t="str">
        <f t="shared" si="4"/>
        <v>alpha^in_1,2,2,2</v>
      </c>
      <c r="H13" s="48">
        <f t="shared" si="5"/>
        <v>0</v>
      </c>
      <c r="J13" s="44"/>
    </row>
    <row r="14" spans="1:10" x14ac:dyDescent="0.2">
      <c r="A14" s="42" t="s">
        <v>336</v>
      </c>
      <c r="B14" s="43">
        <v>7.1256889654243358E-2</v>
      </c>
      <c r="C14" t="str">
        <f t="shared" si="1"/>
        <v>3</v>
      </c>
      <c r="D14" t="str">
        <f t="shared" si="2"/>
        <v>1</v>
      </c>
      <c r="E14" t="str">
        <f t="shared" si="3"/>
        <v>1</v>
      </c>
      <c r="F14" t="str">
        <f t="shared" si="0"/>
        <v>1</v>
      </c>
      <c r="G14" t="str">
        <f t="shared" si="4"/>
        <v>alpha^in_3,1,1,1</v>
      </c>
      <c r="H14" s="48">
        <f t="shared" si="5"/>
        <v>0.15080665705128402</v>
      </c>
      <c r="J14" s="44"/>
    </row>
    <row r="15" spans="1:10" x14ac:dyDescent="0.2">
      <c r="A15" s="42" t="s">
        <v>337</v>
      </c>
      <c r="B15" s="43">
        <v>7.1256889654243358E-2</v>
      </c>
      <c r="C15" t="str">
        <f t="shared" si="1"/>
        <v>3</v>
      </c>
      <c r="D15" t="str">
        <f t="shared" si="2"/>
        <v>1</v>
      </c>
      <c r="E15" t="str">
        <f t="shared" si="3"/>
        <v>1</v>
      </c>
      <c r="F15" t="str">
        <f t="shared" si="0"/>
        <v>2</v>
      </c>
      <c r="G15" t="str">
        <f t="shared" si="4"/>
        <v>alpha^in_3,1,1,2</v>
      </c>
      <c r="H15" s="48">
        <f t="shared" si="5"/>
        <v>0.15080665705128402</v>
      </c>
      <c r="J15" s="44"/>
    </row>
    <row r="16" spans="1:10" x14ac:dyDescent="0.2">
      <c r="A16" s="42" t="s">
        <v>338</v>
      </c>
      <c r="B16" s="43">
        <v>1.1908108935819849E-4</v>
      </c>
      <c r="C16" t="str">
        <f t="shared" si="1"/>
        <v>3</v>
      </c>
      <c r="D16" t="str">
        <f t="shared" si="2"/>
        <v>1</v>
      </c>
      <c r="E16" t="str">
        <f t="shared" si="3"/>
        <v>2</v>
      </c>
      <c r="F16" t="str">
        <f t="shared" si="0"/>
        <v>1</v>
      </c>
      <c r="G16" t="str">
        <f t="shared" si="4"/>
        <v>alpha^in_3,1,2,1</v>
      </c>
      <c r="H16" s="48">
        <f t="shared" si="5"/>
        <v>2.5202083744144636E-4</v>
      </c>
      <c r="J16" s="44"/>
    </row>
    <row r="17" spans="1:10" x14ac:dyDescent="0.2">
      <c r="A17" s="42" t="s">
        <v>339</v>
      </c>
      <c r="B17" s="43">
        <v>1.1908108935819849E-4</v>
      </c>
      <c r="C17" t="str">
        <f t="shared" si="1"/>
        <v>3</v>
      </c>
      <c r="D17" t="str">
        <f t="shared" si="2"/>
        <v>1</v>
      </c>
      <c r="E17" t="str">
        <f t="shared" si="3"/>
        <v>2</v>
      </c>
      <c r="F17" t="str">
        <f t="shared" si="0"/>
        <v>2</v>
      </c>
      <c r="G17" t="str">
        <f t="shared" si="4"/>
        <v>alpha^in_3,1,2,2</v>
      </c>
      <c r="H17" s="48">
        <f t="shared" si="5"/>
        <v>2.5202083744144636E-4</v>
      </c>
      <c r="J17" s="44"/>
    </row>
    <row r="18" spans="1:10" x14ac:dyDescent="0.2">
      <c r="A18" s="42" t="s">
        <v>340</v>
      </c>
      <c r="B18" s="43">
        <v>4.9508865030135853E-4</v>
      </c>
      <c r="C18" t="str">
        <f t="shared" si="1"/>
        <v>3</v>
      </c>
      <c r="D18" t="str">
        <f t="shared" si="2"/>
        <v>2</v>
      </c>
      <c r="E18" t="str">
        <f t="shared" si="3"/>
        <v>1</v>
      </c>
      <c r="F18" t="str">
        <f t="shared" si="0"/>
        <v>1</v>
      </c>
      <c r="G18" t="str">
        <f t="shared" si="4"/>
        <v>alpha^in_3,2,1,1</v>
      </c>
      <c r="H18" s="48">
        <f t="shared" si="5"/>
        <v>1.0477957241504983E-3</v>
      </c>
      <c r="J18" s="44"/>
    </row>
    <row r="19" spans="1:10" x14ac:dyDescent="0.2">
      <c r="A19" s="42" t="s">
        <v>341</v>
      </c>
      <c r="B19" s="43">
        <v>4.9508865030135853E-4</v>
      </c>
      <c r="C19" t="str">
        <f t="shared" si="1"/>
        <v>3</v>
      </c>
      <c r="D19" t="str">
        <f t="shared" si="2"/>
        <v>2</v>
      </c>
      <c r="E19" t="str">
        <f t="shared" si="3"/>
        <v>1</v>
      </c>
      <c r="F19" t="str">
        <f t="shared" si="0"/>
        <v>2</v>
      </c>
      <c r="G19" t="str">
        <f t="shared" si="4"/>
        <v>alpha^in_3,2,1,2</v>
      </c>
      <c r="H19" s="48">
        <f t="shared" si="5"/>
        <v>1.0477957241504983E-3</v>
      </c>
      <c r="J19" s="44"/>
    </row>
    <row r="20" spans="1:10" x14ac:dyDescent="0.2">
      <c r="A20" s="42" t="s">
        <v>342</v>
      </c>
      <c r="B20" s="43">
        <v>1.1908108935819849E-4</v>
      </c>
      <c r="C20" t="str">
        <f t="shared" si="1"/>
        <v>3</v>
      </c>
      <c r="D20" t="str">
        <f t="shared" si="2"/>
        <v>2</v>
      </c>
      <c r="E20" t="str">
        <f t="shared" si="3"/>
        <v>2</v>
      </c>
      <c r="F20" t="str">
        <f t="shared" si="0"/>
        <v>1</v>
      </c>
      <c r="G20" t="str">
        <f t="shared" si="4"/>
        <v>alpha^in_3,2,2,1</v>
      </c>
      <c r="H20" s="48">
        <f t="shared" si="5"/>
        <v>2.5202083744144636E-4</v>
      </c>
      <c r="J20" s="44"/>
    </row>
    <row r="21" spans="1:10" x14ac:dyDescent="0.2">
      <c r="A21" s="42" t="s">
        <v>343</v>
      </c>
      <c r="B21" s="43">
        <v>1.1908108935819849E-4</v>
      </c>
      <c r="C21" t="str">
        <f t="shared" si="1"/>
        <v>3</v>
      </c>
      <c r="D21" t="str">
        <f t="shared" si="2"/>
        <v>2</v>
      </c>
      <c r="E21" t="str">
        <f t="shared" si="3"/>
        <v>2</v>
      </c>
      <c r="F21" t="str">
        <f t="shared" si="0"/>
        <v>2</v>
      </c>
      <c r="G21" t="str">
        <f t="shared" si="4"/>
        <v>alpha^in_3,2,2,2</v>
      </c>
      <c r="H21" s="48">
        <f t="shared" si="5"/>
        <v>2.5202083744144636E-4</v>
      </c>
      <c r="J21" s="44"/>
    </row>
    <row r="22" spans="1:10" x14ac:dyDescent="0.2">
      <c r="A22" s="42" t="s">
        <v>344</v>
      </c>
      <c r="B22" s="43">
        <v>7.1256889654243358E-2</v>
      </c>
      <c r="C22" t="str">
        <f t="shared" si="1"/>
        <v>4</v>
      </c>
      <c r="D22" t="str">
        <f t="shared" si="2"/>
        <v>1</v>
      </c>
      <c r="E22" t="str">
        <f t="shared" si="3"/>
        <v>1</v>
      </c>
      <c r="F22" t="str">
        <f t="shared" si="0"/>
        <v>1</v>
      </c>
      <c r="G22" t="str">
        <f t="shared" si="4"/>
        <v>alpha^in_4,1,1,1</v>
      </c>
      <c r="H22" s="48">
        <f t="shared" si="5"/>
        <v>0.15080665705128402</v>
      </c>
      <c r="J22" s="44"/>
    </row>
    <row r="23" spans="1:10" x14ac:dyDescent="0.2">
      <c r="A23" s="42" t="s">
        <v>345</v>
      </c>
      <c r="B23" s="43">
        <v>7.1256889654243358E-2</v>
      </c>
      <c r="C23" t="str">
        <f t="shared" si="1"/>
        <v>4</v>
      </c>
      <c r="D23" t="str">
        <f t="shared" si="2"/>
        <v>1</v>
      </c>
      <c r="E23" t="str">
        <f t="shared" si="3"/>
        <v>1</v>
      </c>
      <c r="F23" t="str">
        <f t="shared" si="0"/>
        <v>2</v>
      </c>
      <c r="G23" t="str">
        <f t="shared" si="4"/>
        <v>alpha^in_4,1,1,2</v>
      </c>
      <c r="H23" s="48">
        <f t="shared" si="5"/>
        <v>0.15080665705128402</v>
      </c>
      <c r="J23" s="44"/>
    </row>
    <row r="24" spans="1:10" x14ac:dyDescent="0.2">
      <c r="A24" s="42" t="s">
        <v>346</v>
      </c>
      <c r="B24" s="43">
        <v>1.1908108935819849E-4</v>
      </c>
      <c r="C24" t="str">
        <f t="shared" si="1"/>
        <v>4</v>
      </c>
      <c r="D24" t="str">
        <f t="shared" si="2"/>
        <v>1</v>
      </c>
      <c r="E24" t="str">
        <f t="shared" si="3"/>
        <v>2</v>
      </c>
      <c r="F24" t="str">
        <f t="shared" si="0"/>
        <v>1</v>
      </c>
      <c r="G24" t="str">
        <f t="shared" si="4"/>
        <v>alpha^in_4,1,2,1</v>
      </c>
      <c r="H24" s="48">
        <f t="shared" si="5"/>
        <v>2.5202083744144636E-4</v>
      </c>
      <c r="J24" s="44"/>
    </row>
    <row r="25" spans="1:10" x14ac:dyDescent="0.2">
      <c r="A25" s="42" t="s">
        <v>347</v>
      </c>
      <c r="B25" s="43">
        <v>1.1908108935819849E-4</v>
      </c>
      <c r="C25" t="str">
        <f t="shared" si="1"/>
        <v>4</v>
      </c>
      <c r="D25" t="str">
        <f t="shared" si="2"/>
        <v>1</v>
      </c>
      <c r="E25" t="str">
        <f t="shared" si="3"/>
        <v>2</v>
      </c>
      <c r="F25" t="str">
        <f t="shared" si="0"/>
        <v>2</v>
      </c>
      <c r="G25" t="str">
        <f t="shared" si="4"/>
        <v>alpha^in_4,1,2,2</v>
      </c>
      <c r="H25" s="48">
        <f t="shared" si="5"/>
        <v>2.5202083744144636E-4</v>
      </c>
      <c r="J25" s="44"/>
    </row>
    <row r="26" spans="1:10" x14ac:dyDescent="0.2">
      <c r="A26" s="42" t="s">
        <v>348</v>
      </c>
      <c r="B26" s="43">
        <v>4.9508865030135853E-4</v>
      </c>
      <c r="C26" t="str">
        <f t="shared" si="1"/>
        <v>4</v>
      </c>
      <c r="D26" t="str">
        <f t="shared" si="2"/>
        <v>2</v>
      </c>
      <c r="E26" t="str">
        <f t="shared" si="3"/>
        <v>1</v>
      </c>
      <c r="F26" t="str">
        <f t="shared" si="0"/>
        <v>1</v>
      </c>
      <c r="G26" t="str">
        <f t="shared" si="4"/>
        <v>alpha^in_4,2,1,1</v>
      </c>
      <c r="H26" s="48">
        <f t="shared" si="5"/>
        <v>1.0477957241504983E-3</v>
      </c>
      <c r="J26" s="44"/>
    </row>
    <row r="27" spans="1:10" x14ac:dyDescent="0.2">
      <c r="A27" s="42" t="s">
        <v>349</v>
      </c>
      <c r="B27" s="43">
        <v>4.9508865030135853E-4</v>
      </c>
      <c r="C27" t="str">
        <f t="shared" si="1"/>
        <v>4</v>
      </c>
      <c r="D27" t="str">
        <f t="shared" si="2"/>
        <v>2</v>
      </c>
      <c r="E27" t="str">
        <f t="shared" si="3"/>
        <v>1</v>
      </c>
      <c r="F27" t="str">
        <f t="shared" si="0"/>
        <v>2</v>
      </c>
      <c r="G27" t="str">
        <f t="shared" si="4"/>
        <v>alpha^in_4,2,1,2</v>
      </c>
      <c r="H27" s="48">
        <f t="shared" si="5"/>
        <v>1.0477957241504983E-3</v>
      </c>
      <c r="J27" s="44"/>
    </row>
    <row r="28" spans="1:10" x14ac:dyDescent="0.2">
      <c r="A28" s="42" t="s">
        <v>350</v>
      </c>
      <c r="B28" s="43">
        <v>1.1908108935819849E-4</v>
      </c>
      <c r="C28" t="str">
        <f t="shared" si="1"/>
        <v>4</v>
      </c>
      <c r="D28" t="str">
        <f t="shared" si="2"/>
        <v>2</v>
      </c>
      <c r="E28" t="str">
        <f t="shared" si="3"/>
        <v>2</v>
      </c>
      <c r="F28" t="str">
        <f t="shared" si="0"/>
        <v>1</v>
      </c>
      <c r="G28" t="str">
        <f t="shared" si="4"/>
        <v>alpha^in_4,2,2,1</v>
      </c>
      <c r="H28" s="48">
        <f t="shared" si="5"/>
        <v>2.5202083744144636E-4</v>
      </c>
      <c r="J28" s="44"/>
    </row>
    <row r="29" spans="1:10" x14ac:dyDescent="0.2">
      <c r="A29" s="42" t="s">
        <v>351</v>
      </c>
      <c r="B29" s="43">
        <v>1.1908108935819849E-4</v>
      </c>
      <c r="C29" t="str">
        <f t="shared" si="1"/>
        <v>4</v>
      </c>
      <c r="D29" t="str">
        <f t="shared" si="2"/>
        <v>2</v>
      </c>
      <c r="E29" t="str">
        <f t="shared" si="3"/>
        <v>2</v>
      </c>
      <c r="F29" t="str">
        <f t="shared" si="0"/>
        <v>2</v>
      </c>
      <c r="G29" t="str">
        <f t="shared" si="4"/>
        <v>alpha^in_4,2,2,2</v>
      </c>
      <c r="H29" s="48">
        <f t="shared" si="5"/>
        <v>2.5202083744144636E-4</v>
      </c>
      <c r="J29" s="44"/>
    </row>
    <row r="30" spans="1:10" x14ac:dyDescent="0.2">
      <c r="A30" s="42" t="s">
        <v>358</v>
      </c>
      <c r="B30" s="43">
        <v>1.4542222378417012E-3</v>
      </c>
      <c r="C30" t="str">
        <f t="shared" si="1"/>
        <v>6</v>
      </c>
      <c r="D30" t="str">
        <f t="shared" si="2"/>
        <v>1</v>
      </c>
      <c r="E30" t="str">
        <f t="shared" si="3"/>
        <v>1</v>
      </c>
      <c r="F30" t="str">
        <f t="shared" si="0"/>
        <v>1</v>
      </c>
      <c r="G30" t="str">
        <f t="shared" si="4"/>
        <v>alpha^in_6,1,1,1</v>
      </c>
      <c r="H30" s="48">
        <f t="shared" si="5"/>
        <v>3.0776868785976331E-3</v>
      </c>
      <c r="J30" s="44"/>
    </row>
    <row r="31" spans="1:10" x14ac:dyDescent="0.2">
      <c r="A31" s="42" t="s">
        <v>359</v>
      </c>
      <c r="B31" s="43">
        <v>1.4542222378417012E-3</v>
      </c>
      <c r="C31" t="str">
        <f t="shared" si="1"/>
        <v>6</v>
      </c>
      <c r="D31" t="str">
        <f t="shared" si="2"/>
        <v>1</v>
      </c>
      <c r="E31" t="str">
        <f t="shared" si="3"/>
        <v>1</v>
      </c>
      <c r="F31" t="str">
        <f t="shared" si="0"/>
        <v>2</v>
      </c>
      <c r="G31" t="str">
        <f t="shared" si="4"/>
        <v>alpha^in_6,1,1,2</v>
      </c>
      <c r="H31" s="48">
        <f t="shared" si="5"/>
        <v>3.0776868785976331E-3</v>
      </c>
      <c r="J31" s="44"/>
    </row>
    <row r="32" spans="1:10" x14ac:dyDescent="0.2">
      <c r="A32" s="42" t="s">
        <v>360</v>
      </c>
      <c r="B32" s="43">
        <v>1.4289730722983818E-4</v>
      </c>
      <c r="C32" t="str">
        <f t="shared" si="1"/>
        <v>6</v>
      </c>
      <c r="D32" t="str">
        <f t="shared" si="2"/>
        <v>1</v>
      </c>
      <c r="E32" t="str">
        <f t="shared" si="3"/>
        <v>2</v>
      </c>
      <c r="F32" t="str">
        <f t="shared" si="0"/>
        <v>1</v>
      </c>
      <c r="G32" t="str">
        <f t="shared" si="4"/>
        <v>alpha^in_6,1,2,1</v>
      </c>
      <c r="H32" s="48">
        <f t="shared" si="5"/>
        <v>3.0242500492973565E-4</v>
      </c>
      <c r="J32" s="44"/>
    </row>
    <row r="33" spans="1:10" x14ac:dyDescent="0.2">
      <c r="A33" s="42" t="s">
        <v>361</v>
      </c>
      <c r="B33" s="43">
        <v>1.9052974297311762E-4</v>
      </c>
      <c r="C33" t="str">
        <f t="shared" si="1"/>
        <v>6</v>
      </c>
      <c r="D33" t="str">
        <f t="shared" si="2"/>
        <v>1</v>
      </c>
      <c r="E33" t="str">
        <f t="shared" si="3"/>
        <v>2</v>
      </c>
      <c r="F33" t="str">
        <f t="shared" si="0"/>
        <v>2</v>
      </c>
      <c r="G33" t="str">
        <f t="shared" si="4"/>
        <v>alpha^in_6,1,2,2</v>
      </c>
      <c r="H33" s="48">
        <f t="shared" si="5"/>
        <v>4.0323333990631427E-4</v>
      </c>
      <c r="J33" s="44"/>
    </row>
    <row r="34" spans="1:10" x14ac:dyDescent="0.2">
      <c r="A34" s="42" t="s">
        <v>362</v>
      </c>
      <c r="B34" s="43">
        <v>1.0103850006150174E-5</v>
      </c>
      <c r="C34" t="str">
        <f t="shared" si="1"/>
        <v>6</v>
      </c>
      <c r="D34" t="str">
        <f t="shared" si="2"/>
        <v>2</v>
      </c>
      <c r="E34" t="str">
        <f t="shared" si="3"/>
        <v>1</v>
      </c>
      <c r="F34" t="str">
        <f t="shared" si="0"/>
        <v>1</v>
      </c>
      <c r="G34" t="str">
        <f t="shared" si="4"/>
        <v>alpha^in_6,2,1,1</v>
      </c>
      <c r="H34" s="48">
        <f t="shared" si="5"/>
        <v>2.1383586207153025E-5</v>
      </c>
      <c r="J34" s="44"/>
    </row>
    <row r="35" spans="1:10" x14ac:dyDescent="0.2">
      <c r="A35" s="42" t="s">
        <v>363</v>
      </c>
      <c r="B35" s="43">
        <v>1.0103850006150174E-5</v>
      </c>
      <c r="C35" t="str">
        <f t="shared" si="1"/>
        <v>6</v>
      </c>
      <c r="D35" t="str">
        <f t="shared" si="2"/>
        <v>2</v>
      </c>
      <c r="E35" t="str">
        <f t="shared" si="3"/>
        <v>1</v>
      </c>
      <c r="F35" t="str">
        <f t="shared" si="0"/>
        <v>2</v>
      </c>
      <c r="G35" t="str">
        <f t="shared" si="4"/>
        <v>alpha^in_6,2,1,2</v>
      </c>
      <c r="H35" s="48">
        <f t="shared" si="5"/>
        <v>2.1383586207153025E-5</v>
      </c>
      <c r="J35" s="44"/>
    </row>
    <row r="36" spans="1:10" x14ac:dyDescent="0.2">
      <c r="A36" s="42" t="s">
        <v>364</v>
      </c>
      <c r="B36" s="43">
        <v>1.4289730722983818E-4</v>
      </c>
      <c r="C36" t="str">
        <f t="shared" si="1"/>
        <v>6</v>
      </c>
      <c r="D36" t="str">
        <f t="shared" si="2"/>
        <v>2</v>
      </c>
      <c r="E36" t="str">
        <f t="shared" si="3"/>
        <v>2</v>
      </c>
      <c r="F36" t="str">
        <f t="shared" si="0"/>
        <v>1</v>
      </c>
      <c r="G36" t="str">
        <f t="shared" si="4"/>
        <v>alpha^in_6,2,2,1</v>
      </c>
      <c r="H36" s="48">
        <f t="shared" si="5"/>
        <v>3.0242500492973565E-4</v>
      </c>
      <c r="J36" s="44"/>
    </row>
    <row r="37" spans="1:10" x14ac:dyDescent="0.2">
      <c r="A37" s="42" t="s">
        <v>365</v>
      </c>
      <c r="B37" s="43">
        <v>1.9052974297311762E-4</v>
      </c>
      <c r="C37" t="str">
        <f t="shared" si="1"/>
        <v>6</v>
      </c>
      <c r="D37" t="str">
        <f t="shared" si="2"/>
        <v>2</v>
      </c>
      <c r="E37" t="str">
        <f t="shared" si="3"/>
        <v>2</v>
      </c>
      <c r="F37" t="str">
        <f t="shared" si="0"/>
        <v>2</v>
      </c>
      <c r="G37" t="str">
        <f t="shared" si="4"/>
        <v>alpha^in_6,2,2,2</v>
      </c>
      <c r="H37" s="48">
        <f t="shared" si="5"/>
        <v>4.0323333990631427E-4</v>
      </c>
      <c r="J37" s="44"/>
    </row>
    <row r="38" spans="1:10" x14ac:dyDescent="0.2">
      <c r="A38" s="42" t="s">
        <v>326</v>
      </c>
      <c r="B38" s="43">
        <v>0.47250493477891631</v>
      </c>
    </row>
    <row r="51" spans="12:13" x14ac:dyDescent="0.2">
      <c r="L51" s="46"/>
      <c r="M51" s="4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DF29D-67D9-D34A-A7ED-4F0CE46E869F}">
  <dimension ref="A1:B28"/>
  <sheetViews>
    <sheetView topLeftCell="A4" workbookViewId="0">
      <selection activeCell="E30" sqref="E30"/>
    </sheetView>
  </sheetViews>
  <sheetFormatPr baseColWidth="10" defaultColWidth="11.5" defaultRowHeight="15" x14ac:dyDescent="0.2"/>
  <sheetData>
    <row r="1" spans="1:2" x14ac:dyDescent="0.2">
      <c r="A1" t="s">
        <v>214</v>
      </c>
    </row>
    <row r="2" spans="1:2" x14ac:dyDescent="0.2">
      <c r="A2">
        <v>1</v>
      </c>
      <c r="B2" t="s">
        <v>215</v>
      </c>
    </row>
    <row r="3" spans="1:2" x14ac:dyDescent="0.2">
      <c r="A3">
        <v>2</v>
      </c>
      <c r="B3" t="s">
        <v>216</v>
      </c>
    </row>
    <row r="4" spans="1:2" x14ac:dyDescent="0.2">
      <c r="A4">
        <v>3</v>
      </c>
      <c r="B4" t="s">
        <v>217</v>
      </c>
    </row>
    <row r="5" spans="1:2" x14ac:dyDescent="0.2">
      <c r="A5">
        <v>4</v>
      </c>
      <c r="B5" t="s">
        <v>218</v>
      </c>
    </row>
    <row r="6" spans="1:2" x14ac:dyDescent="0.2">
      <c r="A6">
        <v>5</v>
      </c>
      <c r="B6" t="s">
        <v>219</v>
      </c>
    </row>
    <row r="7" spans="1:2" x14ac:dyDescent="0.2">
      <c r="A7">
        <v>6</v>
      </c>
      <c r="B7" t="s">
        <v>220</v>
      </c>
    </row>
    <row r="8" spans="1:2" x14ac:dyDescent="0.2">
      <c r="A8">
        <v>7</v>
      </c>
      <c r="B8" t="s">
        <v>221</v>
      </c>
    </row>
    <row r="9" spans="1:2" x14ac:dyDescent="0.2">
      <c r="A9">
        <v>8</v>
      </c>
      <c r="B9" t="s">
        <v>222</v>
      </c>
    </row>
    <row r="11" spans="1:2" x14ac:dyDescent="0.2">
      <c r="A11" t="s">
        <v>223</v>
      </c>
    </row>
    <row r="12" spans="1:2" x14ac:dyDescent="0.2">
      <c r="A12">
        <v>1</v>
      </c>
      <c r="B12" t="s">
        <v>224</v>
      </c>
    </row>
    <row r="13" spans="1:2" x14ac:dyDescent="0.2">
      <c r="A13">
        <v>2</v>
      </c>
      <c r="B13" t="s">
        <v>225</v>
      </c>
    </row>
    <row r="15" spans="1:2" x14ac:dyDescent="0.2">
      <c r="A15" t="s">
        <v>226</v>
      </c>
    </row>
    <row r="16" spans="1:2" x14ac:dyDescent="0.2">
      <c r="A16">
        <v>1</v>
      </c>
      <c r="B16" t="s">
        <v>227</v>
      </c>
    </row>
    <row r="17" spans="1:2" x14ac:dyDescent="0.2">
      <c r="A17">
        <v>2</v>
      </c>
      <c r="B17" t="s">
        <v>228</v>
      </c>
    </row>
    <row r="18" spans="1:2" x14ac:dyDescent="0.2">
      <c r="A18">
        <v>3</v>
      </c>
      <c r="B18" t="s">
        <v>229</v>
      </c>
    </row>
    <row r="19" spans="1:2" x14ac:dyDescent="0.2">
      <c r="A19">
        <v>4</v>
      </c>
      <c r="B19" t="s">
        <v>230</v>
      </c>
    </row>
    <row r="21" spans="1:2" x14ac:dyDescent="0.2">
      <c r="A21" t="s">
        <v>231</v>
      </c>
    </row>
    <row r="22" spans="1:2" x14ac:dyDescent="0.2">
      <c r="A22">
        <v>1</v>
      </c>
      <c r="B22" t="s">
        <v>232</v>
      </c>
    </row>
    <row r="23" spans="1:2" x14ac:dyDescent="0.2">
      <c r="A23">
        <v>2</v>
      </c>
      <c r="B23" t="s">
        <v>233</v>
      </c>
    </row>
    <row r="25" spans="1:2" x14ac:dyDescent="0.2">
      <c r="A25" t="s">
        <v>234</v>
      </c>
    </row>
    <row r="26" spans="1:2" x14ac:dyDescent="0.2">
      <c r="A26">
        <v>1</v>
      </c>
      <c r="B26" t="s">
        <v>235</v>
      </c>
    </row>
    <row r="27" spans="1:2" x14ac:dyDescent="0.2">
      <c r="A27">
        <v>2</v>
      </c>
      <c r="B27" t="s">
        <v>236</v>
      </c>
    </row>
    <row r="28" spans="1:2" x14ac:dyDescent="0.2">
      <c r="A28">
        <v>3</v>
      </c>
      <c r="B28" t="s">
        <v>237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9</vt:i4>
      </vt:variant>
    </vt:vector>
  </HeadingPairs>
  <TitlesOfParts>
    <vt:vector size="14" baseType="lpstr">
      <vt:lpstr>model_matched_parameters</vt:lpstr>
      <vt:lpstr>indirect_model_parameters</vt:lpstr>
      <vt:lpstr>pop_init</vt:lpstr>
      <vt:lpstr>aging_in</vt:lpstr>
      <vt:lpstr>Set Ref</vt:lpstr>
      <vt:lpstr>Epidemiological_data_point__description</vt:lpstr>
      <vt:lpstr>G_SET</vt:lpstr>
      <vt:lpstr>HIV_SET</vt:lpstr>
      <vt:lpstr>indirect_model_parameters</vt:lpstr>
      <vt:lpstr>indirect_model_params</vt:lpstr>
      <vt:lpstr>model_matched_parameters</vt:lpstr>
      <vt:lpstr>P_SET</vt:lpstr>
      <vt:lpstr>R_SET</vt:lpstr>
      <vt:lpstr>TB_SET</vt:lpstr>
    </vt:vector>
  </TitlesOfParts>
  <Manager/>
  <Company>University of Washington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Jen Ross</dc:creator>
  <cp:keywords/>
  <dc:description/>
  <cp:lastModifiedBy>Microsoft Office User</cp:lastModifiedBy>
  <cp:revision/>
  <dcterms:created xsi:type="dcterms:W3CDTF">2019-10-18T19:15:57Z</dcterms:created>
  <dcterms:modified xsi:type="dcterms:W3CDTF">2021-01-14T20:51:56Z</dcterms:modified>
  <cp:category/>
  <cp:contentStatus/>
</cp:coreProperties>
</file>