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codeName="ThisWorkbook" hidePivotFieldList="1" defaultThemeVersion="166925"/>
  <mc:AlternateContent xmlns:mc="http://schemas.openxmlformats.org/markup-compatibility/2006">
    <mc:Choice Requires="x15">
      <x15ac:absPath xmlns:x15ac="http://schemas.microsoft.com/office/spreadsheetml/2010/11/ac" url="/Users/chelseagreene/ws/github/epi_supplychain_optimization/inventory_management/input_data/seattle/"/>
    </mc:Choice>
  </mc:AlternateContent>
  <xr:revisionPtr revIDLastSave="0" documentId="13_ncr:1_{EFEAF4CB-02E4-1B4E-B318-62E05045B8E9}" xr6:coauthVersionLast="36" xr6:coauthVersionMax="36" xr10:uidLastSave="{00000000-0000-0000-0000-000000000000}"/>
  <bookViews>
    <workbookView xWindow="280" yWindow="460" windowWidth="28520" windowHeight="15220" tabRatio="810" firstSheet="2" activeTab="11" xr2:uid="{B51715B0-9515-43EF-A869-B11C3BD546C3}"/>
  </bookViews>
  <sheets>
    <sheet name="Instructions" sheetId="27" r:id="rId1"/>
    <sheet name="Dashboard" sheetId="15" r:id="rId2"/>
    <sheet name="Projection" sheetId="24" r:id="rId3"/>
    <sheet name="DisplayOrder" sheetId="29" r:id="rId4"/>
    <sheet name="DATA_WebEOC" sheetId="16" r:id="rId5"/>
    <sheet name="Employees Supported" sheetId="23" r:id="rId6"/>
    <sheet name="BurnRate" sheetId="28" r:id="rId7"/>
    <sheet name="FAS_Centralized" sheetId="26" r:id="rId8"/>
    <sheet name="DATA_90_DOS" sheetId="17" r:id="rId9"/>
    <sheet name="Centralized_Converions" sheetId="25" r:id="rId10"/>
    <sheet name="Pivot_OutstandingOrders" sheetId="22" r:id="rId11"/>
    <sheet name="DATA_Orders" sheetId="12" r:id="rId12"/>
    <sheet name="DATA_Depts" sheetId="19" r:id="rId13"/>
    <sheet name="Cheat Sheet" sheetId="6" r:id="rId14"/>
  </sheets>
  <definedNames>
    <definedName name="_xlnm._FilterDatabase" localSheetId="6" hidden="1">BurnRate!$A$2:$S$2</definedName>
    <definedName name="_xlnm._FilterDatabase" localSheetId="1" hidden="1">Dashboard!$AI$112:$AN$131</definedName>
    <definedName name="_xlnm._FilterDatabase" localSheetId="8" hidden="1">DATA_90_DOS!$A$179:$P$179</definedName>
    <definedName name="_xlnm._FilterDatabase" localSheetId="12" hidden="1">DATA_Depts!$A$4:$O$4</definedName>
    <definedName name="_xlnm._FilterDatabase" localSheetId="11" hidden="1">DATA_Orders!$A$1:$BG$302</definedName>
    <definedName name="_xlnm._FilterDatabase" localSheetId="3" hidden="1">DisplayOrder!$A$1:$B$101</definedName>
    <definedName name="ExternalData_2" localSheetId="4" hidden="1">DATA_WebEOC!$A$11:$K$464</definedName>
    <definedName name="_xlnm.Print_Area" localSheetId="13">'Cheat Sheet'!$A$1:$G$19</definedName>
    <definedName name="_xlnm.Print_Area" localSheetId="1">Dashboard!$A$1:$AA$136</definedName>
  </definedNames>
  <calcPr calcId="181029"/>
  <pivotCaches>
    <pivotCache cacheId="53" r:id="rId1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02" i="12" l="1"/>
  <c r="N302" i="12"/>
  <c r="AX302" i="12" s="1"/>
  <c r="AK301" i="12"/>
  <c r="Q301" i="12"/>
  <c r="AS301" i="12" s="1"/>
  <c r="N301" i="12"/>
  <c r="AX301" i="12" s="1"/>
  <c r="AX300" i="12"/>
  <c r="AG300" i="12"/>
  <c r="Q300" i="12"/>
  <c r="AS300" i="12" s="1"/>
  <c r="AX299" i="12"/>
  <c r="AG299" i="12"/>
  <c r="Q299" i="12"/>
  <c r="AS299" i="12" s="1"/>
  <c r="O298" i="12"/>
  <c r="N298" i="12"/>
  <c r="O297" i="12"/>
  <c r="N297" i="12"/>
  <c r="AX296" i="12"/>
  <c r="O296" i="12"/>
  <c r="Q296" i="12" s="1"/>
  <c r="AS296" i="12" s="1"/>
  <c r="N296" i="12"/>
  <c r="BD295" i="12"/>
  <c r="AK295" i="12"/>
  <c r="AG295" i="12"/>
  <c r="AJ295" i="12" s="1"/>
  <c r="Q295" i="12"/>
  <c r="N295" i="12"/>
  <c r="AK265" i="12"/>
  <c r="O265" i="12"/>
  <c r="AX265" i="12" s="1"/>
  <c r="N265" i="12"/>
  <c r="AX294" i="12"/>
  <c r="AK294" i="12"/>
  <c r="AG294" i="12"/>
  <c r="AJ294" i="12" s="1"/>
  <c r="Q294" i="12"/>
  <c r="AS294" i="12" s="1"/>
  <c r="AT294" i="12" s="1"/>
  <c r="N294" i="12"/>
  <c r="AX293" i="12"/>
  <c r="AK293" i="12"/>
  <c r="AG293" i="12"/>
  <c r="AJ293" i="12" s="1"/>
  <c r="Q293" i="12"/>
  <c r="AS293" i="12" s="1"/>
  <c r="AT293" i="12" s="1"/>
  <c r="N293" i="12"/>
  <c r="AX291" i="12"/>
  <c r="AK291" i="12"/>
  <c r="AG291" i="12"/>
  <c r="AJ291" i="12" s="1"/>
  <c r="Q291" i="12"/>
  <c r="AS291" i="12" s="1"/>
  <c r="N291" i="12"/>
  <c r="AX292" i="12"/>
  <c r="AK292" i="12"/>
  <c r="AG292" i="12"/>
  <c r="AJ292" i="12" s="1"/>
  <c r="Q292" i="12"/>
  <c r="AS292" i="12" s="1"/>
  <c r="N292" i="12"/>
  <c r="AK289" i="12"/>
  <c r="N289" i="12"/>
  <c r="AX289" i="12" s="1"/>
  <c r="AK288" i="12"/>
  <c r="N288" i="12"/>
  <c r="Q288" i="12" s="1"/>
  <c r="AS288" i="12" s="1"/>
  <c r="AT288" i="12" s="1"/>
  <c r="G288" i="12"/>
  <c r="AK287" i="12"/>
  <c r="N287" i="12"/>
  <c r="Q287" i="12" s="1"/>
  <c r="AS287" i="12" s="1"/>
  <c r="G287" i="12"/>
  <c r="AK286" i="12"/>
  <c r="N286" i="12"/>
  <c r="Q286" i="12" s="1"/>
  <c r="AS286" i="12" s="1"/>
  <c r="AT286" i="12" s="1"/>
  <c r="AX290" i="12"/>
  <c r="AK290" i="12"/>
  <c r="AG290" i="12"/>
  <c r="AJ290" i="12" s="1"/>
  <c r="Q290" i="12"/>
  <c r="AS290" i="12" s="1"/>
  <c r="N290" i="12"/>
  <c r="AK281" i="12"/>
  <c r="Q281" i="12"/>
  <c r="AG281" i="12" s="1"/>
  <c r="AJ281" i="12" s="1"/>
  <c r="O281" i="12"/>
  <c r="N281" i="12"/>
  <c r="AX276" i="12"/>
  <c r="AK276" i="12"/>
  <c r="AG276" i="12"/>
  <c r="AJ276" i="12" s="1"/>
  <c r="Q276" i="12"/>
  <c r="AS276" i="12" s="1"/>
  <c r="N276" i="12"/>
  <c r="AX270" i="12"/>
  <c r="AK270" i="12"/>
  <c r="Q270" i="12"/>
  <c r="AS270" i="12" s="1"/>
  <c r="N270" i="12"/>
  <c r="AG270" i="12" s="1"/>
  <c r="AJ270" i="12" s="1"/>
  <c r="AK284" i="12"/>
  <c r="Q284" i="12"/>
  <c r="AS284" i="12" s="1"/>
  <c r="N284" i="12"/>
  <c r="AX284" i="12" s="1"/>
  <c r="AX285" i="12"/>
  <c r="AK285" i="12"/>
  <c r="AG285" i="12"/>
  <c r="AJ285" i="12" s="1"/>
  <c r="Q285" i="12"/>
  <c r="AS285" i="12" s="1"/>
  <c r="AK283" i="12"/>
  <c r="Q283" i="12"/>
  <c r="AS283" i="12" s="1"/>
  <c r="AT283" i="12" s="1"/>
  <c r="N283" i="12"/>
  <c r="AX283" i="12" s="1"/>
  <c r="AX282" i="12"/>
  <c r="AG282" i="12"/>
  <c r="W282" i="12" s="1"/>
  <c r="Q282" i="12"/>
  <c r="AS282" i="12" s="1"/>
  <c r="AT282" i="12" s="1"/>
  <c r="AX280" i="12"/>
  <c r="AK280" i="12"/>
  <c r="AG280" i="12"/>
  <c r="Q280" i="12"/>
  <c r="AS280" i="12" s="1"/>
  <c r="AT280" i="12" s="1"/>
  <c r="AW280" i="12" s="1"/>
  <c r="N280" i="12"/>
  <c r="AX279" i="12"/>
  <c r="AK279" i="12"/>
  <c r="AG279" i="12"/>
  <c r="W279" i="12" s="1"/>
  <c r="Q279" i="12"/>
  <c r="AS279" i="12" s="1"/>
  <c r="N279" i="12"/>
  <c r="AX278" i="12"/>
  <c r="AK278" i="12"/>
  <c r="AG278" i="12"/>
  <c r="W278" i="12" s="1"/>
  <c r="Q278" i="12"/>
  <c r="AS278" i="12" s="1"/>
  <c r="AT278" i="12" s="1"/>
  <c r="AW278" i="12" s="1"/>
  <c r="N278" i="12"/>
  <c r="AX277" i="12"/>
  <c r="AK277" i="12"/>
  <c r="AG277" i="12"/>
  <c r="W277" i="12" s="1"/>
  <c r="Q277" i="12"/>
  <c r="AS277" i="12" s="1"/>
  <c r="AT277" i="12" s="1"/>
  <c r="AW277" i="12" s="1"/>
  <c r="N277" i="12"/>
  <c r="AX273" i="12"/>
  <c r="AK273" i="12"/>
  <c r="Q273" i="12"/>
  <c r="AS273" i="12" s="1"/>
  <c r="N273" i="12"/>
  <c r="AG273" i="12" s="1"/>
  <c r="AX269" i="12"/>
  <c r="AK269" i="12"/>
  <c r="Q269" i="12"/>
  <c r="AS269" i="12" s="1"/>
  <c r="AT269" i="12" s="1"/>
  <c r="AW269" i="12" s="1"/>
  <c r="N269" i="12"/>
  <c r="AG269" i="12" s="1"/>
  <c r="AX272" i="12"/>
  <c r="AK272" i="12"/>
  <c r="Q272" i="12"/>
  <c r="AS272" i="12" s="1"/>
  <c r="AT272" i="12" s="1"/>
  <c r="AW272" i="12" s="1"/>
  <c r="N272" i="12"/>
  <c r="AG272" i="12" s="1"/>
  <c r="W272" i="12" s="1"/>
  <c r="AX271" i="12"/>
  <c r="AK271" i="12"/>
  <c r="Q271" i="12"/>
  <c r="AS271" i="12" s="1"/>
  <c r="N271" i="12"/>
  <c r="AG271" i="12" s="1"/>
  <c r="AX274" i="12"/>
  <c r="AK274" i="12"/>
  <c r="Q274" i="12"/>
  <c r="AS274" i="12" s="1"/>
  <c r="N274" i="12"/>
  <c r="AG274" i="12" s="1"/>
  <c r="AK268" i="12"/>
  <c r="AG268" i="12"/>
  <c r="Q268" i="12"/>
  <c r="AS268" i="12" s="1"/>
  <c r="N268" i="12"/>
  <c r="AK275" i="12"/>
  <c r="AG275" i="12"/>
  <c r="W275" i="12" s="1"/>
  <c r="Q275" i="12"/>
  <c r="AS275" i="12" s="1"/>
  <c r="N275" i="12"/>
  <c r="AX267" i="12"/>
  <c r="AK267" i="12"/>
  <c r="AD267" i="12"/>
  <c r="AG267" i="12" s="1"/>
  <c r="Q267" i="12"/>
  <c r="AS267" i="12" s="1"/>
  <c r="AK266" i="12"/>
  <c r="Q266" i="12"/>
  <c r="AS266" i="12" s="1"/>
  <c r="N266" i="12"/>
  <c r="AX266" i="12" s="1"/>
  <c r="AX264" i="12"/>
  <c r="AK264" i="12"/>
  <c r="AG264" i="12"/>
  <c r="W264" i="12" s="1"/>
  <c r="Q264" i="12"/>
  <c r="AS264" i="12" s="1"/>
  <c r="AX263" i="12"/>
  <c r="AK263" i="12"/>
  <c r="AG263" i="12"/>
  <c r="W263" i="12" s="1"/>
  <c r="Q263" i="12"/>
  <c r="AS263" i="12" s="1"/>
  <c r="AX261" i="12"/>
  <c r="AK261" i="12"/>
  <c r="AG261" i="12"/>
  <c r="W261" i="12" s="1"/>
  <c r="Q261" i="12"/>
  <c r="AS261" i="12" s="1"/>
  <c r="AX103" i="12"/>
  <c r="AK103" i="12"/>
  <c r="AG103" i="12"/>
  <c r="Q103" i="12"/>
  <c r="AS103" i="12" s="1"/>
  <c r="N103" i="12"/>
  <c r="AX259" i="12"/>
  <c r="AK259" i="12"/>
  <c r="AG259" i="12"/>
  <c r="Q259" i="12"/>
  <c r="AS259" i="12" s="1"/>
  <c r="AT259" i="12" s="1"/>
  <c r="AX260" i="12"/>
  <c r="AK260" i="12"/>
  <c r="AG260" i="12"/>
  <c r="Q260" i="12"/>
  <c r="AS260" i="12" s="1"/>
  <c r="AT260" i="12" s="1"/>
  <c r="AK262" i="12"/>
  <c r="AG262" i="12"/>
  <c r="Q262" i="12"/>
  <c r="AS262" i="12" s="1"/>
  <c r="AK258" i="12"/>
  <c r="N258" i="12"/>
  <c r="AK257" i="12"/>
  <c r="Q257" i="12"/>
  <c r="AS257" i="12" s="1"/>
  <c r="AT257" i="12" s="1"/>
  <c r="N257" i="12"/>
  <c r="AX257" i="12" s="1"/>
  <c r="AK256" i="12"/>
  <c r="Q256" i="12"/>
  <c r="AS256" i="12" s="1"/>
  <c r="N256" i="12"/>
  <c r="AX256" i="12" s="1"/>
  <c r="AX255" i="12"/>
  <c r="AK255" i="12"/>
  <c r="AG255" i="12"/>
  <c r="Q255" i="12"/>
  <c r="AS255" i="12" s="1"/>
  <c r="AT255" i="12" s="1"/>
  <c r="AX254" i="12"/>
  <c r="AK254" i="12"/>
  <c r="AG254" i="12"/>
  <c r="Q254" i="12"/>
  <c r="AS254" i="12" s="1"/>
  <c r="AT254" i="12" s="1"/>
  <c r="AW254" i="12" s="1"/>
  <c r="AK253" i="12"/>
  <c r="N253" i="12"/>
  <c r="AG253" i="12" s="1"/>
  <c r="G253" i="12"/>
  <c r="AX252" i="12"/>
  <c r="AG252" i="12"/>
  <c r="Q252" i="12"/>
  <c r="AS252" i="12" s="1"/>
  <c r="G252" i="12"/>
  <c r="AK233" i="12"/>
  <c r="N233" i="12"/>
  <c r="AX250" i="12"/>
  <c r="AK250" i="12"/>
  <c r="AG250" i="12"/>
  <c r="AJ250" i="12" s="1"/>
  <c r="Q250" i="12"/>
  <c r="AS250" i="12" s="1"/>
  <c r="AX247" i="12"/>
  <c r="AK247" i="12"/>
  <c r="AG247" i="12"/>
  <c r="W247" i="12" s="1"/>
  <c r="Q247" i="12"/>
  <c r="AS247" i="12" s="1"/>
  <c r="AX246" i="12"/>
  <c r="AK246" i="12"/>
  <c r="AG246" i="12"/>
  <c r="W246" i="12" s="1"/>
  <c r="Q246" i="12"/>
  <c r="AS246" i="12" s="1"/>
  <c r="AK249" i="12"/>
  <c r="AG249" i="12"/>
  <c r="AJ249" i="12" s="1"/>
  <c r="Q249" i="12"/>
  <c r="AS249" i="12" s="1"/>
  <c r="AK248" i="12"/>
  <c r="AG248" i="12"/>
  <c r="Q248" i="12"/>
  <c r="AS248" i="12" s="1"/>
  <c r="AX245" i="12"/>
  <c r="AK245" i="12"/>
  <c r="Q245" i="12"/>
  <c r="AS245" i="12" s="1"/>
  <c r="AT245" i="12" s="1"/>
  <c r="BD213" i="12"/>
  <c r="AK213" i="12"/>
  <c r="AJ213" i="12"/>
  <c r="X213" i="12"/>
  <c r="W213" i="12"/>
  <c r="Q213" i="12"/>
  <c r="AS213" i="12" s="1"/>
  <c r="AT213" i="12" s="1"/>
  <c r="AW213" i="12" s="1"/>
  <c r="AK244" i="12"/>
  <c r="N244" i="12"/>
  <c r="AX244" i="12" s="1"/>
  <c r="AK241" i="12"/>
  <c r="N241" i="12"/>
  <c r="AX241" i="12" s="1"/>
  <c r="AK240" i="12"/>
  <c r="Q240" i="12"/>
  <c r="AS240" i="12" s="1"/>
  <c r="AT240" i="12" s="1"/>
  <c r="N240" i="12"/>
  <c r="AX240" i="12" s="1"/>
  <c r="AX243" i="12"/>
  <c r="AS243" i="12"/>
  <c r="AK243" i="12"/>
  <c r="AG243" i="12"/>
  <c r="AX242" i="12"/>
  <c r="AS242" i="12"/>
  <c r="AT242" i="12" s="1"/>
  <c r="AK242" i="12"/>
  <c r="AG242" i="12"/>
  <c r="AJ242" i="12" s="1"/>
  <c r="BD239" i="12"/>
  <c r="AK239" i="12"/>
  <c r="Q239" i="12"/>
  <c r="AS239" i="12" s="1"/>
  <c r="AT239" i="12" s="1"/>
  <c r="N239" i="12"/>
  <c r="AG239" i="12" s="1"/>
  <c r="AX236" i="12"/>
  <c r="AS236" i="12"/>
  <c r="AT236" i="12" s="1"/>
  <c r="AW236" i="12" s="1"/>
  <c r="AK236" i="12"/>
  <c r="AG236" i="12"/>
  <c r="W236" i="12" s="1"/>
  <c r="AX238" i="12"/>
  <c r="AS238" i="12"/>
  <c r="AK238" i="12"/>
  <c r="AG238" i="12"/>
  <c r="AJ238" i="12" s="1"/>
  <c r="AX251" i="12"/>
  <c r="AW251" i="12"/>
  <c r="AK251" i="12"/>
  <c r="N251" i="12"/>
  <c r="Q251" i="12" s="1"/>
  <c r="AS251" i="12" s="1"/>
  <c r="AT251" i="12" s="1"/>
  <c r="G251" i="12"/>
  <c r="AX237" i="12"/>
  <c r="AS237" i="12"/>
  <c r="AT237" i="12" s="1"/>
  <c r="AW237" i="12" s="1"/>
  <c r="AK237" i="12"/>
  <c r="AG237" i="12"/>
  <c r="W237" i="12" s="1"/>
  <c r="AX235" i="12"/>
  <c r="AS235" i="12"/>
  <c r="AK235" i="12"/>
  <c r="AG235" i="12"/>
  <c r="AJ235" i="12" s="1"/>
  <c r="AX234" i="12"/>
  <c r="AS234" i="12"/>
  <c r="AT234" i="12" s="1"/>
  <c r="AW234" i="12" s="1"/>
  <c r="AK234" i="12"/>
  <c r="AG234" i="12"/>
  <c r="W234" i="12" s="1"/>
  <c r="AK232" i="12"/>
  <c r="AD232" i="12"/>
  <c r="N232" i="12"/>
  <c r="Q232" i="12" s="1"/>
  <c r="AK231" i="12"/>
  <c r="AJ231" i="12"/>
  <c r="W231" i="12"/>
  <c r="Q231" i="12"/>
  <c r="AS231" i="12" s="1"/>
  <c r="N231" i="12"/>
  <c r="AX230" i="12"/>
  <c r="AK230" i="12"/>
  <c r="X230" i="12"/>
  <c r="Q230" i="12"/>
  <c r="BD229" i="12"/>
  <c r="AK229" i="12"/>
  <c r="Q229" i="12"/>
  <c r="AS229" i="12" s="1"/>
  <c r="BD228" i="12"/>
  <c r="AK228" i="12"/>
  <c r="N228" i="12"/>
  <c r="Q228" i="12" s="1"/>
  <c r="AS228" i="12" s="1"/>
  <c r="AK203" i="12"/>
  <c r="X203" i="12"/>
  <c r="Q203" i="12"/>
  <c r="AS203" i="12" s="1"/>
  <c r="AT203" i="12" s="1"/>
  <c r="AK227" i="12"/>
  <c r="O227" i="12"/>
  <c r="Q227" i="12" s="1"/>
  <c r="N227" i="12"/>
  <c r="AX227" i="12" s="1"/>
  <c r="AK226" i="12"/>
  <c r="AG226" i="12"/>
  <c r="AJ226" i="12" s="1"/>
  <c r="N226" i="12"/>
  <c r="AX226" i="12" s="1"/>
  <c r="G226" i="12"/>
  <c r="AK225" i="12"/>
  <c r="AG225" i="12"/>
  <c r="AJ225" i="12" s="1"/>
  <c r="N225" i="12"/>
  <c r="AX225" i="12" s="1"/>
  <c r="G225" i="12"/>
  <c r="AK224" i="12"/>
  <c r="N224" i="12"/>
  <c r="AX224" i="12" s="1"/>
  <c r="AK223" i="12"/>
  <c r="N223" i="12"/>
  <c r="Q223" i="12" s="1"/>
  <c r="AK221" i="12"/>
  <c r="Q221" i="12"/>
  <c r="AS221" i="12" s="1"/>
  <c r="N221" i="12"/>
  <c r="AG221" i="12" s="1"/>
  <c r="AJ221" i="12" s="1"/>
  <c r="AK219" i="12"/>
  <c r="AG219" i="12"/>
  <c r="W219" i="12" s="1"/>
  <c r="Q219" i="12"/>
  <c r="AS219" i="12" s="1"/>
  <c r="O219" i="12"/>
  <c r="N219" i="12"/>
  <c r="AJ222" i="12"/>
  <c r="N222" i="12"/>
  <c r="G222" i="12"/>
  <c r="AK220" i="12"/>
  <c r="X220" i="12"/>
  <c r="AG220" i="12" s="1"/>
  <c r="AJ220" i="12" s="1"/>
  <c r="Q220" i="12"/>
  <c r="AS220" i="12" s="1"/>
  <c r="AT220" i="12" s="1"/>
  <c r="AW220" i="12" s="1"/>
  <c r="AZ220" i="12" s="1"/>
  <c r="BD220" i="12" s="1"/>
  <c r="O220" i="12"/>
  <c r="N220" i="12"/>
  <c r="AK218" i="12"/>
  <c r="N218" i="12"/>
  <c r="AX217" i="12"/>
  <c r="AK217" i="12"/>
  <c r="Q217" i="12"/>
  <c r="N217" i="12"/>
  <c r="G217" i="12"/>
  <c r="AX216" i="12"/>
  <c r="AK216" i="12"/>
  <c r="Q216" i="12"/>
  <c r="AG216" i="12" s="1"/>
  <c r="AJ216" i="12" s="1"/>
  <c r="N216" i="12"/>
  <c r="G216" i="12"/>
  <c r="AX214" i="12"/>
  <c r="AK214" i="12"/>
  <c r="Q214" i="12"/>
  <c r="N214" i="12"/>
  <c r="G214" i="12"/>
  <c r="AK215" i="12"/>
  <c r="N215" i="12"/>
  <c r="AX215" i="12" s="1"/>
  <c r="AK211" i="12"/>
  <c r="Q211" i="12"/>
  <c r="AS211" i="12" s="1"/>
  <c r="O211" i="12"/>
  <c r="N211" i="12"/>
  <c r="AX211" i="12" s="1"/>
  <c r="AX212" i="12"/>
  <c r="AK212" i="12"/>
  <c r="Q212" i="12"/>
  <c r="AS212" i="12" s="1"/>
  <c r="O212" i="12"/>
  <c r="N212" i="12"/>
  <c r="G212" i="12" s="1"/>
  <c r="AK210" i="12"/>
  <c r="Q210" i="12"/>
  <c r="O210" i="12"/>
  <c r="N210" i="12"/>
  <c r="AK209" i="12"/>
  <c r="Q209" i="12"/>
  <c r="AG209" i="12" s="1"/>
  <c r="W209" i="12" s="1"/>
  <c r="O209" i="12"/>
  <c r="N209" i="12"/>
  <c r="AX209" i="12" s="1"/>
  <c r="AK208" i="12"/>
  <c r="O208" i="12"/>
  <c r="Q208" i="12" s="1"/>
  <c r="AG208" i="12" s="1"/>
  <c r="AJ208" i="12" s="1"/>
  <c r="N208" i="12"/>
  <c r="AX208" i="12" s="1"/>
  <c r="AX204" i="12"/>
  <c r="AK204" i="12"/>
  <c r="Q204" i="12"/>
  <c r="N204" i="12"/>
  <c r="AJ207" i="12"/>
  <c r="Q207" i="12"/>
  <c r="AS207" i="12" s="1"/>
  <c r="AT207" i="12" s="1"/>
  <c r="AX206" i="12"/>
  <c r="AK206" i="12"/>
  <c r="Q206" i="12"/>
  <c r="AG206" i="12" s="1"/>
  <c r="AJ206" i="12" s="1"/>
  <c r="N206" i="12"/>
  <c r="G206" i="12"/>
  <c r="AX205" i="12"/>
  <c r="AK205" i="12"/>
  <c r="Q205" i="12"/>
  <c r="AS205" i="12" s="1"/>
  <c r="AT205" i="12" s="1"/>
  <c r="N205" i="12"/>
  <c r="G205" i="12"/>
  <c r="AK202" i="12"/>
  <c r="Q202" i="12"/>
  <c r="AS202" i="12" s="1"/>
  <c r="N202" i="12"/>
  <c r="AX202" i="12" s="1"/>
  <c r="AK200" i="12"/>
  <c r="N200" i="12"/>
  <c r="Q200" i="12" s="1"/>
  <c r="AS200" i="12" s="1"/>
  <c r="G200" i="12"/>
  <c r="AK201" i="12"/>
  <c r="Q201" i="12"/>
  <c r="AS201" i="12" s="1"/>
  <c r="O201" i="12"/>
  <c r="N201" i="12"/>
  <c r="AX201" i="12" s="1"/>
  <c r="AK198" i="12"/>
  <c r="Q198" i="12"/>
  <c r="N198" i="12"/>
  <c r="AX198" i="12" s="1"/>
  <c r="AK192" i="12"/>
  <c r="Q192" i="12"/>
  <c r="O192" i="12"/>
  <c r="N192" i="12"/>
  <c r="AX192" i="12" s="1"/>
  <c r="AK197" i="12"/>
  <c r="Q197" i="12"/>
  <c r="O197" i="12"/>
  <c r="N197" i="12"/>
  <c r="AK196" i="12"/>
  <c r="Q196" i="12"/>
  <c r="N196" i="12"/>
  <c r="AX196" i="12" s="1"/>
  <c r="AK199" i="12"/>
  <c r="Q199" i="12"/>
  <c r="N199" i="12"/>
  <c r="AX199" i="12" s="1"/>
  <c r="AK191" i="12"/>
  <c r="Q191" i="12"/>
  <c r="O191" i="12"/>
  <c r="N191" i="12"/>
  <c r="AK194" i="12"/>
  <c r="Q194" i="12"/>
  <c r="N194" i="12"/>
  <c r="AX194" i="12" s="1"/>
  <c r="AK193" i="12"/>
  <c r="Q193" i="12"/>
  <c r="N193" i="12"/>
  <c r="AX193" i="12" s="1"/>
  <c r="AK195" i="12"/>
  <c r="Q195" i="12"/>
  <c r="O195" i="12"/>
  <c r="N195" i="12"/>
  <c r="AX195" i="12" s="1"/>
  <c r="AK190" i="12"/>
  <c r="Q190" i="12"/>
  <c r="AS190" i="12" s="1"/>
  <c r="AT190" i="12" s="1"/>
  <c r="O190" i="12"/>
  <c r="N190" i="12"/>
  <c r="AK187" i="12"/>
  <c r="Q187" i="12"/>
  <c r="O187" i="12"/>
  <c r="N187" i="12"/>
  <c r="AX187" i="12" s="1"/>
  <c r="AK181" i="12"/>
  <c r="W181" i="12"/>
  <c r="Q181" i="12"/>
  <c r="AS181" i="12" s="1"/>
  <c r="N181" i="12"/>
  <c r="AX181" i="12" s="1"/>
  <c r="AK189" i="12"/>
  <c r="O189" i="12"/>
  <c r="Q189" i="12" s="1"/>
  <c r="N189" i="12"/>
  <c r="AK186" i="12"/>
  <c r="O186" i="12"/>
  <c r="Q186" i="12" s="1"/>
  <c r="AG186" i="12" s="1"/>
  <c r="N186" i="12"/>
  <c r="AK188" i="12"/>
  <c r="O188" i="12"/>
  <c r="Q188" i="12" s="1"/>
  <c r="N188" i="12"/>
  <c r="BD142" i="12"/>
  <c r="O142" i="12"/>
  <c r="N142" i="12"/>
  <c r="AK180" i="12"/>
  <c r="N180" i="12"/>
  <c r="BD185" i="12"/>
  <c r="AJ185" i="12"/>
  <c r="W185" i="12"/>
  <c r="BD184" i="12"/>
  <c r="AJ184" i="12"/>
  <c r="W184" i="12"/>
  <c r="AK182" i="12"/>
  <c r="AJ182" i="12"/>
  <c r="X182" i="12"/>
  <c r="W182" i="12"/>
  <c r="O182" i="12"/>
  <c r="Q182" i="12" s="1"/>
  <c r="AS182" i="12" s="1"/>
  <c r="N182" i="12"/>
  <c r="AK178" i="12"/>
  <c r="AA178" i="12"/>
  <c r="X178" i="12"/>
  <c r="Q178" i="12"/>
  <c r="AG178" i="12" s="1"/>
  <c r="W178" i="12" s="1"/>
  <c r="N178" i="12"/>
  <c r="BD183" i="12"/>
  <c r="AJ183" i="12"/>
  <c r="W183" i="12"/>
  <c r="AX179" i="12"/>
  <c r="AK179" i="12"/>
  <c r="J179" i="12"/>
  <c r="O179" i="12" s="1"/>
  <c r="AK174" i="12"/>
  <c r="Q174" i="12"/>
  <c r="AS174" i="12" s="1"/>
  <c r="AT174" i="12" s="1"/>
  <c r="AW174" i="12" s="1"/>
  <c r="N174" i="12"/>
  <c r="AX174" i="12" s="1"/>
  <c r="AK177" i="12"/>
  <c r="Q177" i="12"/>
  <c r="AS177" i="12" s="1"/>
  <c r="AT177" i="12" s="1"/>
  <c r="AW177" i="12" s="1"/>
  <c r="N177" i="12"/>
  <c r="AK175" i="12"/>
  <c r="Q175" i="12"/>
  <c r="O175" i="12"/>
  <c r="N175" i="12"/>
  <c r="AX175" i="12" s="1"/>
  <c r="AK176" i="12"/>
  <c r="Q176" i="12"/>
  <c r="AG176" i="12" s="1"/>
  <c r="W176" i="12" s="1"/>
  <c r="O176" i="12"/>
  <c r="N176" i="12"/>
  <c r="AX176" i="12" s="1"/>
  <c r="AK173" i="12"/>
  <c r="Q173" i="12"/>
  <c r="AS173" i="12" s="1"/>
  <c r="AT173" i="12" s="1"/>
  <c r="AW173" i="12" s="1"/>
  <c r="N173" i="12"/>
  <c r="AX173" i="12" s="1"/>
  <c r="F173" i="12"/>
  <c r="G173" i="12" s="1"/>
  <c r="AK171" i="12"/>
  <c r="O171" i="12"/>
  <c r="Q171" i="12" s="1"/>
  <c r="AS171" i="12" s="1"/>
  <c r="AT171" i="12" s="1"/>
  <c r="AW171" i="12" s="1"/>
  <c r="N171" i="12"/>
  <c r="AX171" i="12" s="1"/>
  <c r="L171" i="12"/>
  <c r="AK172" i="12"/>
  <c r="Q172" i="12"/>
  <c r="AS172" i="12" s="1"/>
  <c r="O172" i="12"/>
  <c r="N172" i="12"/>
  <c r="AX172" i="12" s="1"/>
  <c r="BD170" i="12"/>
  <c r="N170" i="12"/>
  <c r="AK169" i="12"/>
  <c r="Q169" i="12"/>
  <c r="AG169" i="12" s="1"/>
  <c r="AJ169" i="12" s="1"/>
  <c r="N169" i="12"/>
  <c r="AX169" i="12" s="1"/>
  <c r="AK167" i="12"/>
  <c r="Q167" i="12"/>
  <c r="AS167" i="12" s="1"/>
  <c r="O167" i="12"/>
  <c r="N167" i="12"/>
  <c r="AK168" i="12"/>
  <c r="Q168" i="12"/>
  <c r="O168" i="12"/>
  <c r="N168" i="12"/>
  <c r="AX166" i="12"/>
  <c r="AK166" i="12"/>
  <c r="Q166" i="12"/>
  <c r="AS166" i="12" s="1"/>
  <c r="AT166" i="12" s="1"/>
  <c r="AW166" i="12" s="1"/>
  <c r="N166" i="12"/>
  <c r="G166" i="12" s="1"/>
  <c r="AU165" i="12"/>
  <c r="AK165" i="12"/>
  <c r="AD165" i="12"/>
  <c r="AA165" i="12"/>
  <c r="Q165" i="12"/>
  <c r="AS165" i="12" s="1"/>
  <c r="AT165" i="12" s="1"/>
  <c r="N165" i="12"/>
  <c r="AX165" i="12" s="1"/>
  <c r="J165" i="12"/>
  <c r="O165" i="12" s="1"/>
  <c r="BD162" i="12"/>
  <c r="AK162" i="12"/>
  <c r="Q162" i="12"/>
  <c r="AS162" i="12" s="1"/>
  <c r="N162" i="12"/>
  <c r="G162" i="12"/>
  <c r="BD164" i="12"/>
  <c r="AK164" i="12"/>
  <c r="Q164" i="12"/>
  <c r="N164" i="12"/>
  <c r="G164" i="12" s="1"/>
  <c r="AK163" i="12"/>
  <c r="Q163" i="12"/>
  <c r="AG163" i="12" s="1"/>
  <c r="AJ163" i="12" s="1"/>
  <c r="N163" i="12"/>
  <c r="AX163" i="12" s="1"/>
  <c r="G163" i="12"/>
  <c r="AK161" i="12"/>
  <c r="Q161" i="12"/>
  <c r="AG161" i="12" s="1"/>
  <c r="W161" i="12" s="1"/>
  <c r="N161" i="12"/>
  <c r="N150" i="12"/>
  <c r="G150" i="12" s="1"/>
  <c r="BD160" i="12"/>
  <c r="AW160" i="12"/>
  <c r="AK160" i="12"/>
  <c r="Q160" i="12"/>
  <c r="AS160" i="12" s="1"/>
  <c r="AT160" i="12" s="1"/>
  <c r="N160" i="12"/>
  <c r="AX160" i="12" s="1"/>
  <c r="G160" i="12"/>
  <c r="AX159" i="12"/>
  <c r="AK159" i="12"/>
  <c r="Q159" i="12"/>
  <c r="L159" i="12"/>
  <c r="AX158" i="12"/>
  <c r="AK158" i="12"/>
  <c r="Q158" i="12"/>
  <c r="AG158" i="12" s="1"/>
  <c r="W158" i="12" s="1"/>
  <c r="L158" i="12"/>
  <c r="AX157" i="12"/>
  <c r="AK157" i="12"/>
  <c r="Q157" i="12"/>
  <c r="AS157" i="12" s="1"/>
  <c r="N157" i="12"/>
  <c r="G157" i="12" s="1"/>
  <c r="AK155" i="12"/>
  <c r="N155" i="12"/>
  <c r="Q155" i="12" s="1"/>
  <c r="AS155" i="12" s="1"/>
  <c r="AT155" i="12" s="1"/>
  <c r="AW155" i="12" s="1"/>
  <c r="AK153" i="12"/>
  <c r="N153" i="12"/>
  <c r="AX153" i="12" s="1"/>
  <c r="AK154" i="12"/>
  <c r="N154" i="12"/>
  <c r="Q154" i="12" s="1"/>
  <c r="AK152" i="12"/>
  <c r="N152" i="12"/>
  <c r="Q152" i="12" s="1"/>
  <c r="AS152" i="12" s="1"/>
  <c r="AT152" i="12" s="1"/>
  <c r="AK156" i="12"/>
  <c r="N156" i="12"/>
  <c r="AX156" i="12" s="1"/>
  <c r="AX151" i="12"/>
  <c r="AK151" i="12"/>
  <c r="Q151" i="12"/>
  <c r="AG151" i="12" s="1"/>
  <c r="W151" i="12" s="1"/>
  <c r="L151" i="12"/>
  <c r="G151" i="12"/>
  <c r="AK148" i="12"/>
  <c r="Q148" i="12"/>
  <c r="AG148" i="12" s="1"/>
  <c r="W148" i="12" s="1"/>
  <c r="N148" i="12"/>
  <c r="AX148" i="12" s="1"/>
  <c r="AK149" i="12"/>
  <c r="Q149" i="12"/>
  <c r="N149" i="12"/>
  <c r="AX149" i="12" s="1"/>
  <c r="AK59" i="12"/>
  <c r="AJ59" i="12"/>
  <c r="W59" i="12"/>
  <c r="Q59" i="12"/>
  <c r="AS59" i="12" s="1"/>
  <c r="AT59" i="12" s="1"/>
  <c r="O59" i="12"/>
  <c r="N59" i="12"/>
  <c r="AX59" i="12" s="1"/>
  <c r="AK62" i="12"/>
  <c r="Q62" i="12"/>
  <c r="AS62" i="12" s="1"/>
  <c r="AT62" i="12" s="1"/>
  <c r="AW62" i="12" s="1"/>
  <c r="O62" i="12"/>
  <c r="N62" i="12"/>
  <c r="AX62" i="12" s="1"/>
  <c r="AK64" i="12"/>
  <c r="Q64" i="12"/>
  <c r="AG64" i="12" s="1"/>
  <c r="W64" i="12" s="1"/>
  <c r="O64" i="12"/>
  <c r="N64" i="12"/>
  <c r="AX64" i="12" s="1"/>
  <c r="AK66" i="12"/>
  <c r="Q66" i="12"/>
  <c r="AG66" i="12" s="1"/>
  <c r="W66" i="12" s="1"/>
  <c r="O66" i="12"/>
  <c r="N66" i="12"/>
  <c r="AX66" i="12" s="1"/>
  <c r="AK86" i="12"/>
  <c r="Q86" i="12"/>
  <c r="AS86" i="12" s="1"/>
  <c r="AT86" i="12" s="1"/>
  <c r="O86" i="12"/>
  <c r="N86" i="12"/>
  <c r="AK63" i="12"/>
  <c r="Q63" i="12"/>
  <c r="AS63" i="12" s="1"/>
  <c r="O63" i="12"/>
  <c r="N63" i="12"/>
  <c r="AX63" i="12" s="1"/>
  <c r="AK145" i="12"/>
  <c r="Q145" i="12"/>
  <c r="AG145" i="12" s="1"/>
  <c r="W145" i="12" s="1"/>
  <c r="N145" i="12"/>
  <c r="AX145" i="12" s="1"/>
  <c r="AK146" i="12"/>
  <c r="Q146" i="12"/>
  <c r="AG146" i="12" s="1"/>
  <c r="W146" i="12" s="1"/>
  <c r="N146" i="12"/>
  <c r="AX146" i="12" s="1"/>
  <c r="AK143" i="12"/>
  <c r="Q143" i="12"/>
  <c r="AG143" i="12" s="1"/>
  <c r="AJ143" i="12" s="1"/>
  <c r="N143" i="12"/>
  <c r="AX143" i="12" s="1"/>
  <c r="AK144" i="12"/>
  <c r="Q144" i="12"/>
  <c r="AG144" i="12" s="1"/>
  <c r="N144" i="12"/>
  <c r="AX144" i="12" s="1"/>
  <c r="BD141" i="12"/>
  <c r="O141" i="12"/>
  <c r="N141" i="12"/>
  <c r="AK140" i="12"/>
  <c r="Q140" i="12"/>
  <c r="N140" i="12"/>
  <c r="AX140" i="12" s="1"/>
  <c r="AK133" i="12"/>
  <c r="W133" i="12"/>
  <c r="Q133" i="12"/>
  <c r="AS133" i="12" s="1"/>
  <c r="O133" i="12"/>
  <c r="N133" i="12"/>
  <c r="AX133" i="12" s="1"/>
  <c r="AK135" i="12"/>
  <c r="W135" i="12"/>
  <c r="Q135" i="12"/>
  <c r="AS135" i="12" s="1"/>
  <c r="AT135" i="12" s="1"/>
  <c r="O135" i="12"/>
  <c r="N135" i="12"/>
  <c r="AX135" i="12" s="1"/>
  <c r="AX95" i="12"/>
  <c r="AK95" i="12"/>
  <c r="AD95" i="12"/>
  <c r="AA95" i="12"/>
  <c r="Q95" i="12"/>
  <c r="AS95" i="12" s="1"/>
  <c r="AT95" i="12" s="1"/>
  <c r="G95" i="12"/>
  <c r="AK72" i="12"/>
  <c r="W72" i="12"/>
  <c r="Q72" i="12"/>
  <c r="AS72" i="12" s="1"/>
  <c r="O72" i="12"/>
  <c r="N72" i="12"/>
  <c r="AX72" i="12" s="1"/>
  <c r="AK57" i="12"/>
  <c r="W57" i="12"/>
  <c r="Q57" i="12"/>
  <c r="AS57" i="12" s="1"/>
  <c r="AT57" i="12" s="1"/>
  <c r="O57" i="12"/>
  <c r="N57" i="12"/>
  <c r="AX57" i="12" s="1"/>
  <c r="AK70" i="12"/>
  <c r="W70" i="12"/>
  <c r="Q70" i="12"/>
  <c r="AS70" i="12" s="1"/>
  <c r="AT70" i="12" s="1"/>
  <c r="O70" i="12"/>
  <c r="N70" i="12"/>
  <c r="AX70" i="12" s="1"/>
  <c r="AK71" i="12"/>
  <c r="W71" i="12"/>
  <c r="Q71" i="12"/>
  <c r="AS71" i="12" s="1"/>
  <c r="AT71" i="12" s="1"/>
  <c r="O71" i="12"/>
  <c r="N71" i="12"/>
  <c r="AX71" i="12" s="1"/>
  <c r="AK27" i="12"/>
  <c r="AJ27" i="12"/>
  <c r="W27" i="12"/>
  <c r="Q27" i="12"/>
  <c r="AS27" i="12" s="1"/>
  <c r="O27" i="12"/>
  <c r="N27" i="12"/>
  <c r="AX27" i="12" s="1"/>
  <c r="AK16" i="12"/>
  <c r="W16" i="12"/>
  <c r="Q16" i="12"/>
  <c r="AS16" i="12" s="1"/>
  <c r="O16" i="12"/>
  <c r="N16" i="12"/>
  <c r="AK15" i="12"/>
  <c r="Q15" i="12"/>
  <c r="AG15" i="12" s="1"/>
  <c r="AJ15" i="12" s="1"/>
  <c r="O15" i="12"/>
  <c r="AX15" i="12" s="1"/>
  <c r="N15" i="12"/>
  <c r="AK14" i="12"/>
  <c r="Q14" i="12"/>
  <c r="AG14" i="12" s="1"/>
  <c r="O14" i="12"/>
  <c r="AX14" i="12" s="1"/>
  <c r="N14" i="12"/>
  <c r="AK17" i="12"/>
  <c r="W17" i="12"/>
  <c r="Q17" i="12"/>
  <c r="AS17" i="12" s="1"/>
  <c r="O17" i="12"/>
  <c r="N17" i="12"/>
  <c r="AX19" i="12"/>
  <c r="AK19" i="12"/>
  <c r="Q19" i="12"/>
  <c r="AG19" i="12" s="1"/>
  <c r="AJ19" i="12" s="1"/>
  <c r="AK18" i="12"/>
  <c r="Q18" i="12"/>
  <c r="AS18" i="12" s="1"/>
  <c r="AT18" i="12" s="1"/>
  <c r="AW18" i="12" s="1"/>
  <c r="N18" i="12"/>
  <c r="AX18" i="12" s="1"/>
  <c r="AK21" i="12"/>
  <c r="Q21" i="12"/>
  <c r="O21" i="12"/>
  <c r="AX21" i="12" s="1"/>
  <c r="N21" i="12"/>
  <c r="AK20" i="12"/>
  <c r="Q20" i="12"/>
  <c r="AS20" i="12" s="1"/>
  <c r="O20" i="12"/>
  <c r="AX20" i="12" s="1"/>
  <c r="N20" i="12"/>
  <c r="AK22" i="12"/>
  <c r="Q22" i="12"/>
  <c r="O22" i="12"/>
  <c r="N22" i="12"/>
  <c r="AX5" i="12"/>
  <c r="AK5" i="12"/>
  <c r="W5" i="12"/>
  <c r="Q5" i="12"/>
  <c r="AS5" i="12" s="1"/>
  <c r="AT5" i="12" s="1"/>
  <c r="AX6" i="12"/>
  <c r="AK6" i="12"/>
  <c r="W6" i="12"/>
  <c r="Q6" i="12"/>
  <c r="AS6" i="12" s="1"/>
  <c r="AT6" i="12" s="1"/>
  <c r="AK7" i="12"/>
  <c r="W7" i="12"/>
  <c r="L7" i="12"/>
  <c r="AJ7" i="12" s="1"/>
  <c r="BD10" i="12"/>
  <c r="AK10" i="12"/>
  <c r="N10" i="12"/>
  <c r="AK3" i="12"/>
  <c r="Q3" i="12"/>
  <c r="AS3" i="12" s="1"/>
  <c r="N3" i="12"/>
  <c r="AX3" i="12" s="1"/>
  <c r="AK88" i="12"/>
  <c r="Q88" i="12"/>
  <c r="AS88" i="12" s="1"/>
  <c r="O88" i="12"/>
  <c r="N88" i="12"/>
  <c r="AX88" i="12" s="1"/>
  <c r="AK85" i="12"/>
  <c r="Q85" i="12"/>
  <c r="AS85" i="12" s="1"/>
  <c r="AT85" i="12" s="1"/>
  <c r="AW85" i="12" s="1"/>
  <c r="O85" i="12"/>
  <c r="N85" i="12"/>
  <c r="AX85" i="12" s="1"/>
  <c r="AK84" i="12"/>
  <c r="Q84" i="12"/>
  <c r="AG84" i="12" s="1"/>
  <c r="W84" i="12" s="1"/>
  <c r="O84" i="12"/>
  <c r="N84" i="12"/>
  <c r="AX84" i="12" s="1"/>
  <c r="AK87" i="12"/>
  <c r="Q87" i="12"/>
  <c r="AG87" i="12" s="1"/>
  <c r="O87" i="12"/>
  <c r="N87" i="12"/>
  <c r="AX87" i="12" s="1"/>
  <c r="AK137" i="12"/>
  <c r="AJ137" i="12"/>
  <c r="W137" i="12"/>
  <c r="Q137" i="12"/>
  <c r="AS137" i="12" s="1"/>
  <c r="O137" i="12"/>
  <c r="N137" i="12"/>
  <c r="AX137" i="12" s="1"/>
  <c r="BD138" i="12"/>
  <c r="O138" i="12"/>
  <c r="N138" i="12"/>
  <c r="AK54" i="12"/>
  <c r="Q54" i="12"/>
  <c r="AS54" i="12" s="1"/>
  <c r="O54" i="12"/>
  <c r="N54" i="12"/>
  <c r="AX54" i="12" s="1"/>
  <c r="AK2" i="12"/>
  <c r="W2" i="12"/>
  <c r="Q2" i="12"/>
  <c r="AS2" i="12" s="1"/>
  <c r="N2" i="12"/>
  <c r="AX2" i="12" s="1"/>
  <c r="AK139" i="12"/>
  <c r="W139" i="12"/>
  <c r="Q139" i="12"/>
  <c r="AS139" i="12" s="1"/>
  <c r="AT139" i="12" s="1"/>
  <c r="N139" i="12"/>
  <c r="AX139" i="12" s="1"/>
  <c r="AK23" i="12"/>
  <c r="N23" i="12"/>
  <c r="G23" i="12" s="1"/>
  <c r="AK147" i="12"/>
  <c r="W147" i="12"/>
  <c r="Q147" i="12"/>
  <c r="AS147" i="12" s="1"/>
  <c r="N147" i="12"/>
  <c r="AX147" i="12" s="1"/>
  <c r="AK107" i="12"/>
  <c r="W107" i="12"/>
  <c r="Q107" i="12"/>
  <c r="AS107" i="12" s="1"/>
  <c r="AT107" i="12" s="1"/>
  <c r="N107" i="12"/>
  <c r="AX107" i="12" s="1"/>
  <c r="G107" i="12"/>
  <c r="AK106" i="12"/>
  <c r="W106" i="12"/>
  <c r="Q106" i="12"/>
  <c r="AS106" i="12" s="1"/>
  <c r="AT106" i="12" s="1"/>
  <c r="N106" i="12"/>
  <c r="AX106" i="12" s="1"/>
  <c r="G106" i="12"/>
  <c r="AK115" i="12"/>
  <c r="W115" i="12"/>
  <c r="Q115" i="12"/>
  <c r="AS115" i="12" s="1"/>
  <c r="AT115" i="12" s="1"/>
  <c r="N115" i="12"/>
  <c r="AX115" i="12" s="1"/>
  <c r="G115" i="12"/>
  <c r="AK114" i="12"/>
  <c r="W114" i="12"/>
  <c r="Q114" i="12"/>
  <c r="AS114" i="12" s="1"/>
  <c r="N114" i="12"/>
  <c r="AX114" i="12" s="1"/>
  <c r="G114" i="12"/>
  <c r="AK110" i="12"/>
  <c r="W110" i="12"/>
  <c r="Q110" i="12"/>
  <c r="AS110" i="12" s="1"/>
  <c r="O110" i="12"/>
  <c r="AX110" i="12" s="1"/>
  <c r="N110" i="12"/>
  <c r="AK105" i="12"/>
  <c r="W105" i="12"/>
  <c r="Q105" i="12"/>
  <c r="AS105" i="12" s="1"/>
  <c r="AT105" i="12" s="1"/>
  <c r="N105" i="12"/>
  <c r="AX105" i="12" s="1"/>
  <c r="G105" i="12"/>
  <c r="AK119" i="12"/>
  <c r="W119" i="12"/>
  <c r="Q119" i="12"/>
  <c r="AS119" i="12" s="1"/>
  <c r="N119" i="12"/>
  <c r="AX119" i="12" s="1"/>
  <c r="G119" i="12"/>
  <c r="AK118" i="12"/>
  <c r="W118" i="12"/>
  <c r="Q118" i="12"/>
  <c r="AS118" i="12" s="1"/>
  <c r="N118" i="12"/>
  <c r="AX118" i="12" s="1"/>
  <c r="G118" i="12"/>
  <c r="AK121" i="12"/>
  <c r="W121" i="12"/>
  <c r="Q121" i="12"/>
  <c r="AS121" i="12" s="1"/>
  <c r="AT121" i="12" s="1"/>
  <c r="N121" i="12"/>
  <c r="AX121" i="12" s="1"/>
  <c r="G121" i="12"/>
  <c r="AK124" i="12"/>
  <c r="W124" i="12"/>
  <c r="Q124" i="12"/>
  <c r="AS124" i="12" s="1"/>
  <c r="AT124" i="12" s="1"/>
  <c r="N124" i="12"/>
  <c r="AX124" i="12" s="1"/>
  <c r="G124" i="12"/>
  <c r="AK125" i="12"/>
  <c r="W125" i="12"/>
  <c r="Q125" i="12"/>
  <c r="AS125" i="12" s="1"/>
  <c r="AT125" i="12" s="1"/>
  <c r="N125" i="12"/>
  <c r="AX125" i="12" s="1"/>
  <c r="G125" i="12"/>
  <c r="AK126" i="12"/>
  <c r="W126" i="12"/>
  <c r="Q126" i="12"/>
  <c r="AS126" i="12" s="1"/>
  <c r="N126" i="12"/>
  <c r="AX126" i="12" s="1"/>
  <c r="G126" i="12"/>
  <c r="AK128" i="12"/>
  <c r="W128" i="12"/>
  <c r="Q128" i="12"/>
  <c r="AS128" i="12" s="1"/>
  <c r="N128" i="12"/>
  <c r="AX128" i="12" s="1"/>
  <c r="G128" i="12"/>
  <c r="AK120" i="12"/>
  <c r="W120" i="12"/>
  <c r="Q120" i="12"/>
  <c r="AS120" i="12" s="1"/>
  <c r="AT120" i="12" s="1"/>
  <c r="O120" i="12"/>
  <c r="AX120" i="12" s="1"/>
  <c r="N120" i="12"/>
  <c r="BD90" i="12"/>
  <c r="AK90" i="12"/>
  <c r="W90" i="12"/>
  <c r="Q90" i="12"/>
  <c r="AS90" i="12" s="1"/>
  <c r="N90" i="12"/>
  <c r="BD89" i="12"/>
  <c r="AK89" i="12"/>
  <c r="W89" i="12"/>
  <c r="Q89" i="12"/>
  <c r="AS89" i="12" s="1"/>
  <c r="AT89" i="12" s="1"/>
  <c r="N89" i="12"/>
  <c r="AK94" i="12"/>
  <c r="W94" i="12"/>
  <c r="Q94" i="12"/>
  <c r="AS94" i="12" s="1"/>
  <c r="O94" i="12"/>
  <c r="N94" i="12"/>
  <c r="AX94" i="12" s="1"/>
  <c r="AK91" i="12"/>
  <c r="W91" i="12"/>
  <c r="Q91" i="12"/>
  <c r="AS91" i="12" s="1"/>
  <c r="O91" i="12"/>
  <c r="N91" i="12"/>
  <c r="AX91" i="12" s="1"/>
  <c r="AK92" i="12"/>
  <c r="W92" i="12"/>
  <c r="Q92" i="12"/>
  <c r="AS92" i="12" s="1"/>
  <c r="O92" i="12"/>
  <c r="N92" i="12"/>
  <c r="AX92" i="12" s="1"/>
  <c r="AK93" i="12"/>
  <c r="W93" i="12"/>
  <c r="Q93" i="12"/>
  <c r="AS93" i="12" s="1"/>
  <c r="AT93" i="12" s="1"/>
  <c r="O93" i="12"/>
  <c r="N93" i="12"/>
  <c r="AX93" i="12" s="1"/>
  <c r="AK131" i="12"/>
  <c r="W131" i="12"/>
  <c r="Q131" i="12"/>
  <c r="AS131" i="12" s="1"/>
  <c r="O131" i="12"/>
  <c r="N131" i="12"/>
  <c r="AK136" i="12"/>
  <c r="W136" i="12"/>
  <c r="Q136" i="12"/>
  <c r="AS136" i="12" s="1"/>
  <c r="AT136" i="12" s="1"/>
  <c r="O136" i="12"/>
  <c r="N136" i="12"/>
  <c r="AK83" i="12"/>
  <c r="W83" i="12"/>
  <c r="Q83" i="12"/>
  <c r="AS83" i="12" s="1"/>
  <c r="O83" i="12"/>
  <c r="N83" i="12"/>
  <c r="AX83" i="12" s="1"/>
  <c r="AK79" i="12"/>
  <c r="W79" i="12"/>
  <c r="Q79" i="12"/>
  <c r="AS79" i="12" s="1"/>
  <c r="AT79" i="12" s="1"/>
  <c r="AW79" i="12" s="1"/>
  <c r="O79" i="12"/>
  <c r="N79" i="12"/>
  <c r="AX79" i="12" s="1"/>
  <c r="AK81" i="12"/>
  <c r="W81" i="12"/>
  <c r="Q81" i="12"/>
  <c r="AS81" i="12" s="1"/>
  <c r="O81" i="12"/>
  <c r="N81" i="12"/>
  <c r="AX81" i="12" s="1"/>
  <c r="AK68" i="12"/>
  <c r="Q68" i="12"/>
  <c r="O68" i="12"/>
  <c r="AX68" i="12" s="1"/>
  <c r="N68" i="12"/>
  <c r="AK33" i="12"/>
  <c r="Q33" i="12"/>
  <c r="AS33" i="12" s="1"/>
  <c r="O33" i="12"/>
  <c r="AG33" i="12" s="1"/>
  <c r="W33" i="12" s="1"/>
  <c r="N33" i="12"/>
  <c r="AX33" i="12" s="1"/>
  <c r="AX25" i="12"/>
  <c r="AK25" i="12"/>
  <c r="AJ25" i="12"/>
  <c r="W25" i="12"/>
  <c r="Q25" i="12"/>
  <c r="AS25" i="12" s="1"/>
  <c r="G25" i="12"/>
  <c r="AK28" i="12"/>
  <c r="AA28" i="12"/>
  <c r="X28" i="12"/>
  <c r="Q28" i="12"/>
  <c r="AS28" i="12" s="1"/>
  <c r="AT28" i="12" s="1"/>
  <c r="O28" i="12"/>
  <c r="AX28" i="12" s="1"/>
  <c r="N28" i="12"/>
  <c r="AK26" i="12"/>
  <c r="Q26" i="12"/>
  <c r="AS26" i="12" s="1"/>
  <c r="AT26" i="12" s="1"/>
  <c r="AW26" i="12" s="1"/>
  <c r="O26" i="12"/>
  <c r="AG26" i="12" s="1"/>
  <c r="W26" i="12" s="1"/>
  <c r="N26" i="12"/>
  <c r="AX26" i="12" s="1"/>
  <c r="AK29" i="12"/>
  <c r="Q29" i="12"/>
  <c r="AS29" i="12" s="1"/>
  <c r="O29" i="12"/>
  <c r="AG29" i="12" s="1"/>
  <c r="W29" i="12" s="1"/>
  <c r="N29" i="12"/>
  <c r="AX29" i="12" s="1"/>
  <c r="AX30" i="12"/>
  <c r="AK30" i="12"/>
  <c r="AG30" i="12"/>
  <c r="W30" i="12" s="1"/>
  <c r="Q30" i="12"/>
  <c r="AS30" i="12" s="1"/>
  <c r="AT30" i="12" s="1"/>
  <c r="G30" i="12"/>
  <c r="AK31" i="12"/>
  <c r="Q31" i="12"/>
  <c r="AS31" i="12" s="1"/>
  <c r="AT31" i="12" s="1"/>
  <c r="O31" i="12"/>
  <c r="N31" i="12"/>
  <c r="AK32" i="12"/>
  <c r="AG32" i="12"/>
  <c r="AJ32" i="12" s="1"/>
  <c r="Q32" i="12"/>
  <c r="AS32" i="12" s="1"/>
  <c r="N32" i="12"/>
  <c r="AX32" i="12" s="1"/>
  <c r="AK24" i="12"/>
  <c r="AG24" i="12"/>
  <c r="AJ24" i="12" s="1"/>
  <c r="Q24" i="12"/>
  <c r="AS24" i="12" s="1"/>
  <c r="O24" i="12"/>
  <c r="N24" i="12"/>
  <c r="AX24" i="12" s="1"/>
  <c r="AK113" i="12"/>
  <c r="W113" i="12"/>
  <c r="Q113" i="12"/>
  <c r="AS113" i="12" s="1"/>
  <c r="N113" i="12"/>
  <c r="AX113" i="12" s="1"/>
  <c r="G113" i="12"/>
  <c r="AK109" i="12"/>
  <c r="W109" i="12"/>
  <c r="Q109" i="12"/>
  <c r="AS109" i="12" s="1"/>
  <c r="O109" i="12"/>
  <c r="AX109" i="12" s="1"/>
  <c r="N109" i="12"/>
  <c r="AK108" i="12"/>
  <c r="W108" i="12"/>
  <c r="Q108" i="12"/>
  <c r="AS108" i="12" s="1"/>
  <c r="AT108" i="12" s="1"/>
  <c r="AW108" i="12" s="1"/>
  <c r="O108" i="12"/>
  <c r="AX108" i="12" s="1"/>
  <c r="N108" i="12"/>
  <c r="AK104" i="12"/>
  <c r="AG104" i="12"/>
  <c r="W104" i="12" s="1"/>
  <c r="Q104" i="12"/>
  <c r="AS104" i="12" s="1"/>
  <c r="N104" i="12"/>
  <c r="AX104" i="12" s="1"/>
  <c r="G104" i="12"/>
  <c r="AK117" i="12"/>
  <c r="W117" i="12"/>
  <c r="Q117" i="12"/>
  <c r="AS117" i="12" s="1"/>
  <c r="AT117" i="12" s="1"/>
  <c r="N117" i="12"/>
  <c r="AX117" i="12" s="1"/>
  <c r="G117" i="12"/>
  <c r="AK123" i="12"/>
  <c r="W123" i="12"/>
  <c r="Q123" i="12"/>
  <c r="AS123" i="12" s="1"/>
  <c r="N123" i="12"/>
  <c r="AX123" i="12" s="1"/>
  <c r="G123" i="12"/>
  <c r="AK122" i="12"/>
  <c r="W122" i="12"/>
  <c r="Q122" i="12"/>
  <c r="AS122" i="12" s="1"/>
  <c r="N122" i="12"/>
  <c r="AX122" i="12" s="1"/>
  <c r="G122" i="12"/>
  <c r="AK116" i="12"/>
  <c r="W116" i="12"/>
  <c r="Q116" i="12"/>
  <c r="AS116" i="12" s="1"/>
  <c r="AT116" i="12" s="1"/>
  <c r="O116" i="12"/>
  <c r="AX116" i="12" s="1"/>
  <c r="N116" i="12"/>
  <c r="AK112" i="12"/>
  <c r="W112" i="12"/>
  <c r="Q112" i="12"/>
  <c r="AS112" i="12" s="1"/>
  <c r="AT112" i="12" s="1"/>
  <c r="N112" i="12"/>
  <c r="AX112" i="12" s="1"/>
  <c r="G112" i="12"/>
  <c r="AK111" i="12"/>
  <c r="W111" i="12"/>
  <c r="Q111" i="12"/>
  <c r="AS111" i="12" s="1"/>
  <c r="N111" i="12"/>
  <c r="AX111" i="12" s="1"/>
  <c r="G111" i="12"/>
  <c r="AK127" i="12"/>
  <c r="W127" i="12"/>
  <c r="Q127" i="12"/>
  <c r="AS127" i="12" s="1"/>
  <c r="O127" i="12"/>
  <c r="AX127" i="12" s="1"/>
  <c r="N127" i="12"/>
  <c r="AK129" i="12"/>
  <c r="W129" i="12"/>
  <c r="Q129" i="12"/>
  <c r="AS129" i="12" s="1"/>
  <c r="AT129" i="12" s="1"/>
  <c r="O129" i="12"/>
  <c r="AX129" i="12" s="1"/>
  <c r="N129" i="12"/>
  <c r="AK130" i="12"/>
  <c r="W130" i="12"/>
  <c r="Q130" i="12"/>
  <c r="AS130" i="12" s="1"/>
  <c r="AT130" i="12" s="1"/>
  <c r="O130" i="12"/>
  <c r="AX130" i="12" s="1"/>
  <c r="N130" i="12"/>
  <c r="AK132" i="12"/>
  <c r="W132" i="12"/>
  <c r="Q132" i="12"/>
  <c r="AS132" i="12" s="1"/>
  <c r="O132" i="12"/>
  <c r="AX132" i="12" s="1"/>
  <c r="N132" i="12"/>
  <c r="AK134" i="12"/>
  <c r="W134" i="12"/>
  <c r="Q134" i="12"/>
  <c r="AS134" i="12" s="1"/>
  <c r="O134" i="12"/>
  <c r="AX134" i="12" s="1"/>
  <c r="N134" i="12"/>
  <c r="AK98" i="12"/>
  <c r="AG98" i="12"/>
  <c r="W98" i="12" s="1"/>
  <c r="Q98" i="12"/>
  <c r="AS98" i="12" s="1"/>
  <c r="AT98" i="12" s="1"/>
  <c r="O98" i="12"/>
  <c r="N98" i="12"/>
  <c r="AX98" i="12" s="1"/>
  <c r="AK97" i="12"/>
  <c r="AG97" i="12"/>
  <c r="W97" i="12" s="1"/>
  <c r="Q97" i="12"/>
  <c r="AS97" i="12" s="1"/>
  <c r="AT97" i="12" s="1"/>
  <c r="O97" i="12"/>
  <c r="N97" i="12"/>
  <c r="AX97" i="12" s="1"/>
  <c r="AK96" i="12"/>
  <c r="AG96" i="12"/>
  <c r="W96" i="12" s="1"/>
  <c r="Q96" i="12"/>
  <c r="AS96" i="12" s="1"/>
  <c r="AT96" i="12" s="1"/>
  <c r="O96" i="12"/>
  <c r="N96" i="12"/>
  <c r="AX96" i="12" s="1"/>
  <c r="AK51" i="12"/>
  <c r="AG51" i="12"/>
  <c r="W51" i="12" s="1"/>
  <c r="Q51" i="12"/>
  <c r="AS51" i="12" s="1"/>
  <c r="AT51" i="12" s="1"/>
  <c r="O51" i="12"/>
  <c r="N51" i="12"/>
  <c r="AX51" i="12" s="1"/>
  <c r="AK76" i="12"/>
  <c r="AG76" i="12"/>
  <c r="W76" i="12" s="1"/>
  <c r="Q76" i="12"/>
  <c r="AS76" i="12" s="1"/>
  <c r="AT76" i="12" s="1"/>
  <c r="O76" i="12"/>
  <c r="N76" i="12"/>
  <c r="AX76" i="12" s="1"/>
  <c r="AK67" i="12"/>
  <c r="AG67" i="12"/>
  <c r="W67" i="12" s="1"/>
  <c r="Q67" i="12"/>
  <c r="AS67" i="12" s="1"/>
  <c r="AT67" i="12" s="1"/>
  <c r="O67" i="12"/>
  <c r="N67" i="12"/>
  <c r="AX67" i="12" s="1"/>
  <c r="AK74" i="12"/>
  <c r="AG74" i="12"/>
  <c r="W74" i="12" s="1"/>
  <c r="Q74" i="12"/>
  <c r="AS74" i="12" s="1"/>
  <c r="AT74" i="12" s="1"/>
  <c r="O74" i="12"/>
  <c r="N74" i="12"/>
  <c r="AX74" i="12" s="1"/>
  <c r="AK75" i="12"/>
  <c r="AG75" i="12"/>
  <c r="W75" i="12" s="1"/>
  <c r="Q75" i="12"/>
  <c r="AS75" i="12" s="1"/>
  <c r="AT75" i="12" s="1"/>
  <c r="O75" i="12"/>
  <c r="N75" i="12"/>
  <c r="AX75" i="12" s="1"/>
  <c r="AK49" i="12"/>
  <c r="AG49" i="12"/>
  <c r="W49" i="12" s="1"/>
  <c r="Q49" i="12"/>
  <c r="AS49" i="12" s="1"/>
  <c r="AT49" i="12" s="1"/>
  <c r="O49" i="12"/>
  <c r="N49" i="12"/>
  <c r="AX49" i="12" s="1"/>
  <c r="AW46" i="12"/>
  <c r="AK46" i="12"/>
  <c r="AG46" i="12"/>
  <c r="W46" i="12" s="1"/>
  <c r="Q46" i="12"/>
  <c r="AS46" i="12" s="1"/>
  <c r="AT46" i="12" s="1"/>
  <c r="O46" i="12"/>
  <c r="N46" i="12"/>
  <c r="AX46" i="12" s="1"/>
  <c r="AK53" i="12"/>
  <c r="AG53" i="12"/>
  <c r="W53" i="12" s="1"/>
  <c r="Q53" i="12"/>
  <c r="AS53" i="12" s="1"/>
  <c r="AT53" i="12" s="1"/>
  <c r="O53" i="12"/>
  <c r="N53" i="12"/>
  <c r="AX53" i="12" s="1"/>
  <c r="AK52" i="12"/>
  <c r="AG52" i="12"/>
  <c r="W52" i="12" s="1"/>
  <c r="Q52" i="12"/>
  <c r="AS52" i="12" s="1"/>
  <c r="AT52" i="12" s="1"/>
  <c r="O52" i="12"/>
  <c r="N52" i="12"/>
  <c r="AX52" i="12" s="1"/>
  <c r="AK35" i="12"/>
  <c r="AG35" i="12"/>
  <c r="W35" i="12" s="1"/>
  <c r="Q35" i="12"/>
  <c r="AS35" i="12" s="1"/>
  <c r="AT35" i="12" s="1"/>
  <c r="O35" i="12"/>
  <c r="N35" i="12"/>
  <c r="AX35" i="12" s="1"/>
  <c r="AK34" i="12"/>
  <c r="AG34" i="12"/>
  <c r="W34" i="12" s="1"/>
  <c r="Q34" i="12"/>
  <c r="AS34" i="12" s="1"/>
  <c r="AT34" i="12" s="1"/>
  <c r="O34" i="12"/>
  <c r="N34" i="12"/>
  <c r="AX34" i="12" s="1"/>
  <c r="AK36" i="12"/>
  <c r="AJ36" i="12"/>
  <c r="W36" i="12"/>
  <c r="Q36" i="12"/>
  <c r="AS36" i="12" s="1"/>
  <c r="AT36" i="12" s="1"/>
  <c r="O36" i="12"/>
  <c r="N36" i="12"/>
  <c r="AX36" i="12" s="1"/>
  <c r="AK48" i="12"/>
  <c r="AG48" i="12"/>
  <c r="W48" i="12" s="1"/>
  <c r="Q48" i="12"/>
  <c r="AS48" i="12" s="1"/>
  <c r="AT48" i="12" s="1"/>
  <c r="O48" i="12"/>
  <c r="N48" i="12"/>
  <c r="AX48" i="12" s="1"/>
  <c r="AK50" i="12"/>
  <c r="AG50" i="12"/>
  <c r="W50" i="12" s="1"/>
  <c r="Q50" i="12"/>
  <c r="AS50" i="12" s="1"/>
  <c r="AT50" i="12" s="1"/>
  <c r="O50" i="12"/>
  <c r="N50" i="12"/>
  <c r="AX50" i="12" s="1"/>
  <c r="AK73" i="12"/>
  <c r="AG73" i="12"/>
  <c r="W73" i="12" s="1"/>
  <c r="X73" i="12"/>
  <c r="Q73" i="12"/>
  <c r="AS73" i="12" s="1"/>
  <c r="AT73" i="12" s="1"/>
  <c r="O73" i="12"/>
  <c r="AX73" i="12" s="1"/>
  <c r="N73" i="12"/>
  <c r="AX9" i="12"/>
  <c r="AK9" i="12"/>
  <c r="AG9" i="12"/>
  <c r="W9" i="12" s="1"/>
  <c r="Q9" i="12"/>
  <c r="AS9" i="12" s="1"/>
  <c r="O9" i="12"/>
  <c r="AX4" i="12"/>
  <c r="AK4" i="12"/>
  <c r="W4" i="12"/>
  <c r="Q4" i="12"/>
  <c r="AS4" i="12" s="1"/>
  <c r="H4" i="12"/>
  <c r="G4" i="12"/>
  <c r="AX13" i="12"/>
  <c r="AK13" i="12"/>
  <c r="AG13" i="12"/>
  <c r="W13" i="12" s="1"/>
  <c r="Q13" i="12"/>
  <c r="AS13" i="12" s="1"/>
  <c r="AT13" i="12" s="1"/>
  <c r="O13" i="12"/>
  <c r="AX12" i="12"/>
  <c r="AK12" i="12"/>
  <c r="AG12" i="12"/>
  <c r="W12" i="12" s="1"/>
  <c r="Q12" i="12"/>
  <c r="AS12" i="12" s="1"/>
  <c r="O12" i="12"/>
  <c r="AX11" i="12"/>
  <c r="AK11" i="12"/>
  <c r="AG11" i="12"/>
  <c r="W11" i="12" s="1"/>
  <c r="Q11" i="12"/>
  <c r="AS11" i="12" s="1"/>
  <c r="O11" i="12"/>
  <c r="AX8" i="12"/>
  <c r="AK8" i="12"/>
  <c r="W8" i="12"/>
  <c r="Q8" i="12"/>
  <c r="AS8" i="12" s="1"/>
  <c r="O8" i="12"/>
  <c r="H8" i="12"/>
  <c r="G8" i="12"/>
  <c r="AK45" i="12"/>
  <c r="AG45" i="12"/>
  <c r="W45" i="12" s="1"/>
  <c r="Q45" i="12"/>
  <c r="AS45" i="12" s="1"/>
  <c r="O45" i="12"/>
  <c r="N45" i="12"/>
  <c r="AX45" i="12" s="1"/>
  <c r="AK37" i="12"/>
  <c r="AG37" i="12"/>
  <c r="W37" i="12" s="1"/>
  <c r="Q37" i="12"/>
  <c r="AS37" i="12" s="1"/>
  <c r="O37" i="12"/>
  <c r="N37" i="12"/>
  <c r="AX37" i="12" s="1"/>
  <c r="AK47" i="12"/>
  <c r="AG47" i="12"/>
  <c r="W47" i="12" s="1"/>
  <c r="Q47" i="12"/>
  <c r="AS47" i="12" s="1"/>
  <c r="O47" i="12"/>
  <c r="N47" i="12"/>
  <c r="AX47" i="12" s="1"/>
  <c r="O101" i="12"/>
  <c r="N101" i="12"/>
  <c r="O102" i="12"/>
  <c r="N102" i="12"/>
  <c r="O100" i="12"/>
  <c r="N100" i="12"/>
  <c r="O99" i="12"/>
  <c r="N99" i="12"/>
  <c r="AK69" i="12"/>
  <c r="AG69" i="12"/>
  <c r="W69" i="12" s="1"/>
  <c r="Q69" i="12"/>
  <c r="AS69" i="12" s="1"/>
  <c r="O69" i="12"/>
  <c r="N69" i="12"/>
  <c r="AX69" i="12" s="1"/>
  <c r="AK43" i="12"/>
  <c r="AG43" i="12"/>
  <c r="W43" i="12" s="1"/>
  <c r="Q43" i="12"/>
  <c r="AS43" i="12" s="1"/>
  <c r="O43" i="12"/>
  <c r="N43" i="12"/>
  <c r="AX43" i="12" s="1"/>
  <c r="AK38" i="12"/>
  <c r="AG38" i="12"/>
  <c r="W38" i="12" s="1"/>
  <c r="Q38" i="12"/>
  <c r="AS38" i="12" s="1"/>
  <c r="O38" i="12"/>
  <c r="N38" i="12"/>
  <c r="AX38" i="12" s="1"/>
  <c r="AK55" i="12"/>
  <c r="AG55" i="12"/>
  <c r="W55" i="12" s="1"/>
  <c r="Q55" i="12"/>
  <c r="AS55" i="12" s="1"/>
  <c r="O55" i="12"/>
  <c r="N55" i="12"/>
  <c r="AX55" i="12" s="1"/>
  <c r="AK56" i="12"/>
  <c r="AJ56" i="12"/>
  <c r="Q56" i="12"/>
  <c r="AS56" i="12" s="1"/>
  <c r="O56" i="12"/>
  <c r="N56" i="12"/>
  <c r="AX56" i="12" s="1"/>
  <c r="AK65" i="12"/>
  <c r="AG65" i="12"/>
  <c r="W65" i="12" s="1"/>
  <c r="Q65" i="12"/>
  <c r="AS65" i="12" s="1"/>
  <c r="AT65" i="12" s="1"/>
  <c r="O65" i="12"/>
  <c r="N65" i="12"/>
  <c r="AX65" i="12" s="1"/>
  <c r="AK44" i="12"/>
  <c r="AG44" i="12"/>
  <c r="W44" i="12" s="1"/>
  <c r="Q44" i="12"/>
  <c r="AS44" i="12" s="1"/>
  <c r="AT44" i="12" s="1"/>
  <c r="O44" i="12"/>
  <c r="N44" i="12"/>
  <c r="AX44" i="12" s="1"/>
  <c r="AK61" i="12"/>
  <c r="AG61" i="12"/>
  <c r="W61" i="12" s="1"/>
  <c r="Q61" i="12"/>
  <c r="AS61" i="12" s="1"/>
  <c r="AT61" i="12" s="1"/>
  <c r="O61" i="12"/>
  <c r="N61" i="12"/>
  <c r="AX61" i="12" s="1"/>
  <c r="AK42" i="12"/>
  <c r="AG42" i="12"/>
  <c r="W42" i="12" s="1"/>
  <c r="Q42" i="12"/>
  <c r="AS42" i="12" s="1"/>
  <c r="AT42" i="12" s="1"/>
  <c r="O42" i="12"/>
  <c r="N42" i="12"/>
  <c r="AX42" i="12" s="1"/>
  <c r="AK41" i="12"/>
  <c r="AG41" i="12"/>
  <c r="W41" i="12" s="1"/>
  <c r="Q41" i="12"/>
  <c r="AS41" i="12" s="1"/>
  <c r="AT41" i="12" s="1"/>
  <c r="O41" i="12"/>
  <c r="N41" i="12"/>
  <c r="AX41" i="12" s="1"/>
  <c r="AK40" i="12"/>
  <c r="AG40" i="12"/>
  <c r="W40" i="12" s="1"/>
  <c r="Q40" i="12"/>
  <c r="AS40" i="12" s="1"/>
  <c r="AT40" i="12" s="1"/>
  <c r="O40" i="12"/>
  <c r="N40" i="12"/>
  <c r="AX40" i="12" s="1"/>
  <c r="AK60" i="12"/>
  <c r="AG60" i="12"/>
  <c r="W60" i="12" s="1"/>
  <c r="Q60" i="12"/>
  <c r="AS60" i="12" s="1"/>
  <c r="AT60" i="12" s="1"/>
  <c r="O60" i="12"/>
  <c r="N60" i="12"/>
  <c r="AX60" i="12" s="1"/>
  <c r="AK39" i="12"/>
  <c r="AG39" i="12"/>
  <c r="W39" i="12" s="1"/>
  <c r="Q39" i="12"/>
  <c r="AS39" i="12" s="1"/>
  <c r="AT39" i="12" s="1"/>
  <c r="O39" i="12"/>
  <c r="N39" i="12"/>
  <c r="AX39" i="12" s="1"/>
  <c r="AK58" i="12"/>
  <c r="AG58" i="12"/>
  <c r="W58" i="12" s="1"/>
  <c r="Q58" i="12"/>
  <c r="AS58" i="12" s="1"/>
  <c r="AT58" i="12" s="1"/>
  <c r="O58" i="12"/>
  <c r="N58" i="12"/>
  <c r="AX58" i="12" s="1"/>
  <c r="AK78" i="12"/>
  <c r="AG78" i="12"/>
  <c r="W78" i="12" s="1"/>
  <c r="Q78" i="12"/>
  <c r="AS78" i="12" s="1"/>
  <c r="AT78" i="12" s="1"/>
  <c r="O78" i="12"/>
  <c r="N78" i="12"/>
  <c r="AX78" i="12" s="1"/>
  <c r="AK82" i="12"/>
  <c r="AG82" i="12"/>
  <c r="W82" i="12" s="1"/>
  <c r="Q82" i="12"/>
  <c r="AS82" i="12" s="1"/>
  <c r="AT82" i="12" s="1"/>
  <c r="O82" i="12"/>
  <c r="N82" i="12"/>
  <c r="AX82" i="12" s="1"/>
  <c r="AK77" i="12"/>
  <c r="AG77" i="12"/>
  <c r="W77" i="12" s="1"/>
  <c r="Q77" i="12"/>
  <c r="AS77" i="12" s="1"/>
  <c r="AT77" i="12" s="1"/>
  <c r="O77" i="12"/>
  <c r="N77" i="12"/>
  <c r="AX77" i="12" s="1"/>
  <c r="AK80" i="12"/>
  <c r="AG80" i="12"/>
  <c r="W80" i="12" s="1"/>
  <c r="Q80" i="12"/>
  <c r="AS80" i="12" s="1"/>
  <c r="AT80" i="12" s="1"/>
  <c r="O80" i="12"/>
  <c r="N80" i="12"/>
  <c r="AX80" i="12" s="1"/>
  <c r="N93" i="26"/>
  <c r="M93" i="26"/>
  <c r="L93" i="26"/>
  <c r="K93" i="26"/>
  <c r="AW116" i="12" l="1"/>
  <c r="AW67" i="12"/>
  <c r="AW129" i="12"/>
  <c r="AZ129" i="12" s="1"/>
  <c r="BD129" i="12" s="1"/>
  <c r="AW120" i="12"/>
  <c r="AW40" i="12"/>
  <c r="AZ40" i="12" s="1"/>
  <c r="BD40" i="12" s="1"/>
  <c r="AJ33" i="12"/>
  <c r="AW105" i="12"/>
  <c r="AW44" i="12"/>
  <c r="AZ44" i="12" s="1"/>
  <c r="BD44" i="12" s="1"/>
  <c r="AW97" i="12"/>
  <c r="AZ97" i="12" s="1"/>
  <c r="BD97" i="12" s="1"/>
  <c r="AW6" i="12"/>
  <c r="AZ174" i="12"/>
  <c r="BD174" i="12" s="1"/>
  <c r="N7" i="12"/>
  <c r="AX7" i="12" s="1"/>
  <c r="AG62" i="12"/>
  <c r="W62" i="12" s="1"/>
  <c r="Q156" i="12"/>
  <c r="AS156" i="12" s="1"/>
  <c r="AT156" i="12" s="1"/>
  <c r="AW156" i="12" s="1"/>
  <c r="AZ156" i="12" s="1"/>
  <c r="BD156" i="12" s="1"/>
  <c r="AW165" i="12"/>
  <c r="AZ165" i="12" s="1"/>
  <c r="BD165" i="12" s="1"/>
  <c r="AZ269" i="12"/>
  <c r="BD269" i="12" s="1"/>
  <c r="AW78" i="12"/>
  <c r="AZ78" i="12" s="1"/>
  <c r="BD78" i="12" s="1"/>
  <c r="AW34" i="12"/>
  <c r="W143" i="12"/>
  <c r="AG212" i="12"/>
  <c r="W212" i="12" s="1"/>
  <c r="AW77" i="12"/>
  <c r="AZ77" i="12" s="1"/>
  <c r="BD77" i="12" s="1"/>
  <c r="AW42" i="12"/>
  <c r="AW75" i="12"/>
  <c r="AZ75" i="12" s="1"/>
  <c r="BD75" i="12" s="1"/>
  <c r="AW93" i="12"/>
  <c r="AZ93" i="12" s="1"/>
  <c r="BD93" i="12" s="1"/>
  <c r="AW135" i="12"/>
  <c r="AZ135" i="12" s="1"/>
  <c r="BD135" i="12" s="1"/>
  <c r="AX154" i="12"/>
  <c r="AG157" i="12"/>
  <c r="W157" i="12" s="1"/>
  <c r="AG162" i="12"/>
  <c r="W162" i="12" s="1"/>
  <c r="AG167" i="12"/>
  <c r="W167" i="12" s="1"/>
  <c r="AW239" i="12"/>
  <c r="AW31" i="12"/>
  <c r="AW28" i="12"/>
  <c r="AZ28" i="12" s="1"/>
  <c r="BD28" i="12" s="1"/>
  <c r="AW86" i="12"/>
  <c r="AW152" i="12"/>
  <c r="AX155" i="12"/>
  <c r="AZ166" i="12"/>
  <c r="BD166" i="12" s="1"/>
  <c r="AW39" i="12"/>
  <c r="AZ39" i="12" s="1"/>
  <c r="BD39" i="12" s="1"/>
  <c r="AW13" i="12"/>
  <c r="AZ13" i="12" s="1"/>
  <c r="BD13" i="12" s="1"/>
  <c r="AW50" i="12"/>
  <c r="AZ50" i="12" s="1"/>
  <c r="BD50" i="12" s="1"/>
  <c r="AW52" i="12"/>
  <c r="AW51" i="12"/>
  <c r="AZ51" i="12" s="1"/>
  <c r="BD51" i="12" s="1"/>
  <c r="AW70" i="12"/>
  <c r="AZ70" i="12" s="1"/>
  <c r="BD70" i="12" s="1"/>
  <c r="Q179" i="12"/>
  <c r="AG179" i="12" s="1"/>
  <c r="AJ179" i="12" s="1"/>
  <c r="AZ237" i="12"/>
  <c r="BD237" i="12" s="1"/>
  <c r="W242" i="12"/>
  <c r="AW242" i="12"/>
  <c r="AJ73" i="12"/>
  <c r="AZ52" i="12"/>
  <c r="BD52" i="12" s="1"/>
  <c r="AG85" i="12"/>
  <c r="AJ85" i="12" s="1"/>
  <c r="AZ6" i="12"/>
  <c r="BD6" i="12" s="1"/>
  <c r="W15" i="12"/>
  <c r="AG166" i="12"/>
  <c r="W166" i="12" s="1"/>
  <c r="AG190" i="12"/>
  <c r="W190" i="12" s="1"/>
  <c r="AG205" i="12"/>
  <c r="AJ205" i="12" s="1"/>
  <c r="AJ219" i="12"/>
  <c r="AJ275" i="12"/>
  <c r="AT94" i="12"/>
  <c r="AW94" i="12" s="1"/>
  <c r="AZ94" i="12" s="1"/>
  <c r="BD94" i="12" s="1"/>
  <c r="Q153" i="12"/>
  <c r="AG155" i="12"/>
  <c r="W155" i="12" s="1"/>
  <c r="AG201" i="12"/>
  <c r="W201" i="12" s="1"/>
  <c r="AG211" i="12"/>
  <c r="AJ211" i="12" s="1"/>
  <c r="AJ279" i="12"/>
  <c r="G3" i="12"/>
  <c r="AS145" i="12"/>
  <c r="AS209" i="12"/>
  <c r="AT209" i="12" s="1"/>
  <c r="AW209" i="12" s="1"/>
  <c r="AZ209" i="12" s="1"/>
  <c r="BD209" i="12" s="1"/>
  <c r="AJ277" i="12"/>
  <c r="AG289" i="12"/>
  <c r="AJ289" i="12" s="1"/>
  <c r="Q265" i="12"/>
  <c r="AS265" i="12" s="1"/>
  <c r="AT279" i="12"/>
  <c r="AW279" i="12" s="1"/>
  <c r="AZ279" i="12" s="1"/>
  <c r="BD279" i="12" s="1"/>
  <c r="AG227" i="12"/>
  <c r="AJ227" i="12" s="1"/>
  <c r="AS227" i="12"/>
  <c r="AT227" i="12" s="1"/>
  <c r="AW227" i="12" s="1"/>
  <c r="AZ227" i="12" s="1"/>
  <c r="BD227" i="12" s="1"/>
  <c r="AT103" i="12"/>
  <c r="AW103" i="12" s="1"/>
  <c r="AZ103" i="12" s="1"/>
  <c r="BD103" i="12" s="1"/>
  <c r="AX221" i="12"/>
  <c r="AX253" i="12"/>
  <c r="AJ30" i="12"/>
  <c r="AZ79" i="12"/>
  <c r="BD79" i="12" s="1"/>
  <c r="AG88" i="12"/>
  <c r="W88" i="12" s="1"/>
  <c r="AG20" i="12"/>
  <c r="W20" i="12" s="1"/>
  <c r="AG18" i="12"/>
  <c r="W18" i="12" s="1"/>
  <c r="AS151" i="12"/>
  <c r="AG160" i="12"/>
  <c r="W160" i="12" s="1"/>
  <c r="AS161" i="12"/>
  <c r="AT161" i="12" s="1"/>
  <c r="AW161" i="12" s="1"/>
  <c r="W163" i="12"/>
  <c r="AS169" i="12"/>
  <c r="AT169" i="12" s="1"/>
  <c r="AG171" i="12"/>
  <c r="AG200" i="12"/>
  <c r="W200" i="12" s="1"/>
  <c r="AG202" i="12"/>
  <c r="W202" i="12" s="1"/>
  <c r="AS206" i="12"/>
  <c r="AT206" i="12" s="1"/>
  <c r="AW206" i="12" s="1"/>
  <c r="AZ206" i="12" s="1"/>
  <c r="BD206" i="12" s="1"/>
  <c r="AZ234" i="12"/>
  <c r="BD234" i="12" s="1"/>
  <c r="AJ236" i="12"/>
  <c r="AG245" i="12"/>
  <c r="W245" i="12" s="1"/>
  <c r="AJ247" i="12"/>
  <c r="W250" i="12"/>
  <c r="Q253" i="12"/>
  <c r="AS253" i="12" s="1"/>
  <c r="AJ264" i="12"/>
  <c r="AJ278" i="12"/>
  <c r="AG283" i="12"/>
  <c r="AJ283" i="12" s="1"/>
  <c r="AS281" i="12"/>
  <c r="AT281" i="12" s="1"/>
  <c r="AW281" i="12" s="1"/>
  <c r="AZ281" i="12" s="1"/>
  <c r="BD281" i="12" s="1"/>
  <c r="AG265" i="12"/>
  <c r="AG165" i="12"/>
  <c r="AJ165" i="12" s="1"/>
  <c r="W220" i="12"/>
  <c r="W221" i="12"/>
  <c r="AG284" i="12"/>
  <c r="AJ284" i="12" s="1"/>
  <c r="AT83" i="12"/>
  <c r="AW83" i="12" s="1"/>
  <c r="AZ83" i="12" s="1"/>
  <c r="BD83" i="12" s="1"/>
  <c r="AG172" i="12"/>
  <c r="AJ172" i="12" s="1"/>
  <c r="AG173" i="12"/>
  <c r="W173" i="12" s="1"/>
  <c r="AG177" i="12"/>
  <c r="W177" i="12" s="1"/>
  <c r="AG174" i="12"/>
  <c r="AJ174" i="12" s="1"/>
  <c r="AG203" i="12"/>
  <c r="W203" i="12" s="1"/>
  <c r="W235" i="12"/>
  <c r="AG251" i="12"/>
  <c r="W238" i="12"/>
  <c r="AG240" i="12"/>
  <c r="AJ240" i="12" s="1"/>
  <c r="AT248" i="12"/>
  <c r="AW248" i="12" s="1"/>
  <c r="AZ248" i="12" s="1"/>
  <c r="BD248" i="12" s="1"/>
  <c r="AG256" i="12"/>
  <c r="AJ256" i="12" s="1"/>
  <c r="AG257" i="12"/>
  <c r="W257" i="12" s="1"/>
  <c r="AG296" i="12"/>
  <c r="AX89" i="12"/>
  <c r="G89" i="12"/>
  <c r="AS22" i="12"/>
  <c r="AT22" i="12" s="1"/>
  <c r="AW22" i="12" s="1"/>
  <c r="AZ22" i="12" s="1"/>
  <c r="BD22" i="12" s="1"/>
  <c r="AG22" i="12"/>
  <c r="W22" i="12" s="1"/>
  <c r="AS149" i="12"/>
  <c r="AT149" i="12" s="1"/>
  <c r="AW149" i="12" s="1"/>
  <c r="AZ149" i="12" s="1"/>
  <c r="BD149" i="12" s="1"/>
  <c r="AG149" i="12"/>
  <c r="W149" i="12" s="1"/>
  <c r="AG168" i="12"/>
  <c r="AS168" i="12"/>
  <c r="AG187" i="12"/>
  <c r="W187" i="12" s="1"/>
  <c r="AS187" i="12"/>
  <c r="AT187" i="12" s="1"/>
  <c r="AW187" i="12" s="1"/>
  <c r="AZ187" i="12" s="1"/>
  <c r="BD187" i="12" s="1"/>
  <c r="AJ253" i="12"/>
  <c r="W253" i="12"/>
  <c r="AG258" i="12"/>
  <c r="AJ258" i="12" s="1"/>
  <c r="AX258" i="12"/>
  <c r="Q258" i="12"/>
  <c r="AS258" i="12" s="1"/>
  <c r="AT258" i="12" s="1"/>
  <c r="W103" i="12"/>
  <c r="AJ103" i="12"/>
  <c r="W271" i="12"/>
  <c r="AJ271" i="12"/>
  <c r="AX298" i="12"/>
  <c r="AG298" i="12"/>
  <c r="Q298" i="12"/>
  <c r="AS298" i="12" s="1"/>
  <c r="AT298" i="12" s="1"/>
  <c r="AW298" i="12" s="1"/>
  <c r="AZ46" i="12"/>
  <c r="BD46" i="12" s="1"/>
  <c r="W32" i="12"/>
  <c r="AJ26" i="12"/>
  <c r="AZ120" i="12"/>
  <c r="BD120" i="12" s="1"/>
  <c r="AT119" i="12"/>
  <c r="AW119" i="12" s="1"/>
  <c r="AZ119" i="12" s="1"/>
  <c r="BD119" i="12" s="1"/>
  <c r="AZ105" i="12"/>
  <c r="BD105" i="12" s="1"/>
  <c r="AZ18" i="12"/>
  <c r="BD18" i="12" s="1"/>
  <c r="W19" i="12"/>
  <c r="AS14" i="12"/>
  <c r="AT14" i="12" s="1"/>
  <c r="AW14" i="12" s="1"/>
  <c r="AZ14" i="12" s="1"/>
  <c r="BD14" i="12" s="1"/>
  <c r="AT133" i="12"/>
  <c r="AW133" i="12" s="1"/>
  <c r="AZ133" i="12" s="1"/>
  <c r="BD133" i="12" s="1"/>
  <c r="AG156" i="12"/>
  <c r="W156" i="12" s="1"/>
  <c r="AG159" i="12"/>
  <c r="W159" i="12" s="1"/>
  <c r="AS159" i="12"/>
  <c r="AT159" i="12" s="1"/>
  <c r="AW159" i="12" s="1"/>
  <c r="AZ159" i="12" s="1"/>
  <c r="BD159" i="12" s="1"/>
  <c r="W172" i="12"/>
  <c r="AG175" i="12"/>
  <c r="W175" i="12" s="1"/>
  <c r="AS175" i="12"/>
  <c r="AT175" i="12" s="1"/>
  <c r="AS186" i="12"/>
  <c r="AS191" i="12"/>
  <c r="AG191" i="12"/>
  <c r="AT274" i="12"/>
  <c r="AW274" i="12" s="1"/>
  <c r="AZ274" i="12" s="1"/>
  <c r="BD274" i="12" s="1"/>
  <c r="W85" i="12"/>
  <c r="AX152" i="12"/>
  <c r="AZ152" i="12" s="1"/>
  <c r="BD152" i="12" s="1"/>
  <c r="AG195" i="12"/>
  <c r="AJ195" i="12" s="1"/>
  <c r="AS195" i="12"/>
  <c r="AT195" i="12" s="1"/>
  <c r="AX218" i="12"/>
  <c r="Q218" i="12"/>
  <c r="AG218" i="12" s="1"/>
  <c r="AG223" i="12"/>
  <c r="W223" i="12" s="1"/>
  <c r="AS223" i="12"/>
  <c r="AT223" i="12" s="1"/>
  <c r="AW223" i="12" s="1"/>
  <c r="AZ223" i="12" s="1"/>
  <c r="BD223" i="12" s="1"/>
  <c r="AZ272" i="12"/>
  <c r="BD272" i="12" s="1"/>
  <c r="W280" i="12"/>
  <c r="AJ280" i="12"/>
  <c r="AZ34" i="12"/>
  <c r="BD34" i="12" s="1"/>
  <c r="AZ67" i="12"/>
  <c r="BD67" i="12" s="1"/>
  <c r="AZ116" i="12"/>
  <c r="BD116" i="12" s="1"/>
  <c r="W24" i="12"/>
  <c r="AX86" i="12"/>
  <c r="AZ86" i="12" s="1"/>
  <c r="BD86" i="12" s="1"/>
  <c r="AG86" i="12"/>
  <c r="W86" i="12" s="1"/>
  <c r="AX177" i="12"/>
  <c r="AZ177" i="12" s="1"/>
  <c r="BD177" i="12" s="1"/>
  <c r="G177" i="12"/>
  <c r="AJ186" i="12"/>
  <c r="W186" i="12"/>
  <c r="AS197" i="12"/>
  <c r="AG197" i="12"/>
  <c r="W197" i="12" s="1"/>
  <c r="AJ243" i="12"/>
  <c r="W243" i="12"/>
  <c r="Q233" i="12"/>
  <c r="AS233" i="12" s="1"/>
  <c r="AX233" i="12"/>
  <c r="AZ254" i="12"/>
  <c r="BD254" i="12" s="1"/>
  <c r="AT262" i="12"/>
  <c r="AW262" i="12" s="1"/>
  <c r="AZ262" i="12" s="1"/>
  <c r="AT271" i="12"/>
  <c r="AW271" i="12" s="1"/>
  <c r="AZ271" i="12" s="1"/>
  <c r="BD271" i="12" s="1"/>
  <c r="AT273" i="12"/>
  <c r="AW273" i="12" s="1"/>
  <c r="AZ273" i="12" s="1"/>
  <c r="BD273" i="12" s="1"/>
  <c r="W281" i="12"/>
  <c r="AZ108" i="12"/>
  <c r="BD108" i="12" s="1"/>
  <c r="AZ26" i="12"/>
  <c r="BD26" i="12" s="1"/>
  <c r="AS144" i="12"/>
  <c r="AT144" i="12" s="1"/>
  <c r="AW144" i="12" s="1"/>
  <c r="AZ144" i="12" s="1"/>
  <c r="BD144" i="12" s="1"/>
  <c r="AG63" i="12"/>
  <c r="W63" i="12" s="1"/>
  <c r="AZ62" i="12"/>
  <c r="BD62" i="12" s="1"/>
  <c r="AZ173" i="12"/>
  <c r="BD173" i="12" s="1"/>
  <c r="AS176" i="12"/>
  <c r="AT176" i="12" s="1"/>
  <c r="AS208" i="12"/>
  <c r="AT208" i="12" s="1"/>
  <c r="AW208" i="12" s="1"/>
  <c r="AZ208" i="12" s="1"/>
  <c r="BD208" i="12" s="1"/>
  <c r="AS216" i="12"/>
  <c r="AT216" i="12" s="1"/>
  <c r="AW216" i="12" s="1"/>
  <c r="AZ216" i="12" s="1"/>
  <c r="BD216" i="12" s="1"/>
  <c r="AG229" i="12"/>
  <c r="AX232" i="12"/>
  <c r="AZ242" i="12"/>
  <c r="BD242" i="12" s="1"/>
  <c r="AJ272" i="12"/>
  <c r="AS64" i="12"/>
  <c r="G156" i="12"/>
  <c r="AZ171" i="12"/>
  <c r="BD171" i="12" s="1"/>
  <c r="W205" i="12"/>
  <c r="AT212" i="12"/>
  <c r="AW212" i="12" s="1"/>
  <c r="AZ212" i="12" s="1"/>
  <c r="BD212" i="12" s="1"/>
  <c r="AZ251" i="12"/>
  <c r="BD251" i="12" s="1"/>
  <c r="W249" i="12"/>
  <c r="AZ277" i="12"/>
  <c r="BD277" i="12" s="1"/>
  <c r="AZ278" i="12"/>
  <c r="BD278" i="12" s="1"/>
  <c r="Q289" i="12"/>
  <c r="AS289" i="12" s="1"/>
  <c r="AT289" i="12" s="1"/>
  <c r="AS178" i="12"/>
  <c r="AT178" i="12" s="1"/>
  <c r="AZ280" i="12"/>
  <c r="BD280" i="12" s="1"/>
  <c r="Q302" i="12"/>
  <c r="AS302" i="12" s="1"/>
  <c r="AT302" i="12" s="1"/>
  <c r="AT9" i="12"/>
  <c r="AW9" i="12" s="1"/>
  <c r="AZ9" i="12" s="1"/>
  <c r="BD9" i="12" s="1"/>
  <c r="AT11" i="12"/>
  <c r="AW11" i="12" s="1"/>
  <c r="AZ11" i="12" s="1"/>
  <c r="BD11" i="12" s="1"/>
  <c r="AT91" i="12"/>
  <c r="AW91" i="12" s="1"/>
  <c r="AZ91" i="12" s="1"/>
  <c r="BD91" i="12" s="1"/>
  <c r="AT128" i="12"/>
  <c r="AW128" i="12" s="1"/>
  <c r="AZ128" i="12" s="1"/>
  <c r="BD128" i="12" s="1"/>
  <c r="AT137" i="12"/>
  <c r="AW137" i="12" s="1"/>
  <c r="AZ137" i="12" s="1"/>
  <c r="BD137" i="12" s="1"/>
  <c r="AZ42" i="12"/>
  <c r="BD42" i="12" s="1"/>
  <c r="AT47" i="12"/>
  <c r="AW47" i="12" s="1"/>
  <c r="AZ47" i="12" s="1"/>
  <c r="BD47" i="12" s="1"/>
  <c r="AG31" i="12"/>
  <c r="AX31" i="12"/>
  <c r="AT29" i="12"/>
  <c r="AW29" i="12" s="1"/>
  <c r="AZ29" i="12" s="1"/>
  <c r="BD29" i="12" s="1"/>
  <c r="AS68" i="12"/>
  <c r="AG68" i="12"/>
  <c r="W68" i="12" s="1"/>
  <c r="AT54" i="12"/>
  <c r="AW54" i="12" s="1"/>
  <c r="AZ54" i="12" s="1"/>
  <c r="BD54" i="12" s="1"/>
  <c r="AT3" i="12"/>
  <c r="AW3" i="12" s="1"/>
  <c r="AZ3" i="12" s="1"/>
  <c r="BD3" i="12" s="1"/>
  <c r="AT20" i="12"/>
  <c r="AW20" i="12" s="1"/>
  <c r="AZ20" i="12" s="1"/>
  <c r="BD20" i="12" s="1"/>
  <c r="AT12" i="12"/>
  <c r="AW12" i="12" s="1"/>
  <c r="AZ12" i="12" s="1"/>
  <c r="BD12" i="12" s="1"/>
  <c r="AW73" i="12"/>
  <c r="AZ73" i="12" s="1"/>
  <c r="BD73" i="12" s="1"/>
  <c r="AW36" i="12"/>
  <c r="AZ36" i="12" s="1"/>
  <c r="BD36" i="12" s="1"/>
  <c r="AW35" i="12"/>
  <c r="AZ35" i="12" s="1"/>
  <c r="BD35" i="12" s="1"/>
  <c r="AW53" i="12"/>
  <c r="AZ53" i="12" s="1"/>
  <c r="BD53" i="12" s="1"/>
  <c r="AW49" i="12"/>
  <c r="AZ49" i="12" s="1"/>
  <c r="BD49" i="12" s="1"/>
  <c r="AW74" i="12"/>
  <c r="AZ74" i="12" s="1"/>
  <c r="BD74" i="12" s="1"/>
  <c r="AW76" i="12"/>
  <c r="AZ76" i="12" s="1"/>
  <c r="BD76" i="12" s="1"/>
  <c r="AW96" i="12"/>
  <c r="AZ96" i="12" s="1"/>
  <c r="BD96" i="12" s="1"/>
  <c r="AW98" i="12"/>
  <c r="AZ98" i="12" s="1"/>
  <c r="BD98" i="12" s="1"/>
  <c r="AT104" i="12"/>
  <c r="AW104" i="12" s="1"/>
  <c r="AZ104" i="12" s="1"/>
  <c r="BD104" i="12" s="1"/>
  <c r="AT32" i="12"/>
  <c r="AW32" i="12" s="1"/>
  <c r="AZ32" i="12" s="1"/>
  <c r="BD32" i="12" s="1"/>
  <c r="AT81" i="12"/>
  <c r="AW81" i="12" s="1"/>
  <c r="AZ81" i="12" s="1"/>
  <c r="BD81" i="12" s="1"/>
  <c r="AT118" i="12"/>
  <c r="AW118" i="12" s="1"/>
  <c r="AZ118" i="12" s="1"/>
  <c r="BD118" i="12" s="1"/>
  <c r="AT110" i="12"/>
  <c r="AW110" i="12" s="1"/>
  <c r="AZ110" i="12" s="1"/>
  <c r="BD110" i="12" s="1"/>
  <c r="AJ87" i="12"/>
  <c r="W87" i="12"/>
  <c r="AT27" i="12"/>
  <c r="AW27" i="12" s="1"/>
  <c r="AZ27" i="12" s="1"/>
  <c r="BD27" i="12" s="1"/>
  <c r="AT55" i="12"/>
  <c r="AW55" i="12" s="1"/>
  <c r="AZ55" i="12" s="1"/>
  <c r="BD55" i="12" s="1"/>
  <c r="AT43" i="12"/>
  <c r="AW43" i="12" s="1"/>
  <c r="AZ43" i="12" s="1"/>
  <c r="BD43" i="12" s="1"/>
  <c r="AT45" i="12"/>
  <c r="AW45" i="12" s="1"/>
  <c r="AZ45" i="12" s="1"/>
  <c r="BD45" i="12" s="1"/>
  <c r="AT131" i="12"/>
  <c r="AW131" i="12" s="1"/>
  <c r="AZ131" i="12" s="1"/>
  <c r="BD131" i="12" s="1"/>
  <c r="AW80" i="12"/>
  <c r="AZ80" i="12" s="1"/>
  <c r="BD80" i="12" s="1"/>
  <c r="AW82" i="12"/>
  <c r="AZ82" i="12" s="1"/>
  <c r="BD82" i="12" s="1"/>
  <c r="AW58" i="12"/>
  <c r="AZ58" i="12" s="1"/>
  <c r="BD58" i="12" s="1"/>
  <c r="AW60" i="12"/>
  <c r="AZ60" i="12" s="1"/>
  <c r="BD60" i="12" s="1"/>
  <c r="AW41" i="12"/>
  <c r="AZ41" i="12" s="1"/>
  <c r="BD41" i="12" s="1"/>
  <c r="AW61" i="12"/>
  <c r="AZ61" i="12" s="1"/>
  <c r="BD61" i="12" s="1"/>
  <c r="AW65" i="12"/>
  <c r="AZ65" i="12" s="1"/>
  <c r="BD65" i="12" s="1"/>
  <c r="AT38" i="12"/>
  <c r="AW38" i="12" s="1"/>
  <c r="AZ38" i="12" s="1"/>
  <c r="BD38" i="12" s="1"/>
  <c r="AT69" i="12"/>
  <c r="AW69" i="12" s="1"/>
  <c r="AZ69" i="12" s="1"/>
  <c r="BD69" i="12" s="1"/>
  <c r="AT37" i="12"/>
  <c r="AW37" i="12" s="1"/>
  <c r="AZ37" i="12" s="1"/>
  <c r="BD37" i="12" s="1"/>
  <c r="AW48" i="12"/>
  <c r="AZ48" i="12" s="1"/>
  <c r="BD48" i="12" s="1"/>
  <c r="AT132" i="12"/>
  <c r="AW132" i="12" s="1"/>
  <c r="AZ132" i="12" s="1"/>
  <c r="BD132" i="12" s="1"/>
  <c r="AW130" i="12"/>
  <c r="AZ130" i="12" s="1"/>
  <c r="BD130" i="12" s="1"/>
  <c r="AT111" i="12"/>
  <c r="AW111" i="12" s="1"/>
  <c r="AZ111" i="12" s="1"/>
  <c r="BD111" i="12" s="1"/>
  <c r="AW112" i="12"/>
  <c r="AZ112" i="12" s="1"/>
  <c r="BD112" i="12" s="1"/>
  <c r="AT123" i="12"/>
  <c r="AW123" i="12" s="1"/>
  <c r="AZ123" i="12" s="1"/>
  <c r="BD123" i="12" s="1"/>
  <c r="AW117" i="12"/>
  <c r="AZ117" i="12" s="1"/>
  <c r="BD117" i="12" s="1"/>
  <c r="AT113" i="12"/>
  <c r="AW113" i="12" s="1"/>
  <c r="AZ113" i="12" s="1"/>
  <c r="BD113" i="12" s="1"/>
  <c r="AT24" i="12"/>
  <c r="AW24" i="12" s="1"/>
  <c r="AZ24" i="12" s="1"/>
  <c r="BD24" i="12" s="1"/>
  <c r="AW30" i="12"/>
  <c r="AZ30" i="12" s="1"/>
  <c r="BD30" i="12" s="1"/>
  <c r="AT25" i="12"/>
  <c r="AW25" i="12" s="1"/>
  <c r="AZ25" i="12" s="1"/>
  <c r="BD25" i="12" s="1"/>
  <c r="AT33" i="12"/>
  <c r="AW33" i="12" s="1"/>
  <c r="AZ33" i="12" s="1"/>
  <c r="BD33" i="12" s="1"/>
  <c r="AZ85" i="12"/>
  <c r="BD85" i="12" s="1"/>
  <c r="AT162" i="12"/>
  <c r="AW162" i="12" s="1"/>
  <c r="AG193" i="12"/>
  <c r="AS193" i="12"/>
  <c r="W274" i="12"/>
  <c r="AJ274" i="12"/>
  <c r="W273" i="12"/>
  <c r="AJ273" i="12"/>
  <c r="AT290" i="12"/>
  <c r="AW290" i="12" s="1"/>
  <c r="AZ290" i="12" s="1"/>
  <c r="BD290" i="12" s="1"/>
  <c r="AW125" i="12"/>
  <c r="AZ125" i="12" s="1"/>
  <c r="BD125" i="12" s="1"/>
  <c r="AW115" i="12"/>
  <c r="AZ115" i="12" s="1"/>
  <c r="BD115" i="12" s="1"/>
  <c r="G10" i="12"/>
  <c r="AX10" i="12"/>
  <c r="AG154" i="12"/>
  <c r="W154" i="12" s="1"/>
  <c r="AS154" i="12"/>
  <c r="AT186" i="12"/>
  <c r="AW186" i="12" s="1"/>
  <c r="AZ186" i="12" s="1"/>
  <c r="BD186" i="12" s="1"/>
  <c r="AG204" i="12"/>
  <c r="W204" i="12" s="1"/>
  <c r="AS204" i="12"/>
  <c r="AT221" i="12"/>
  <c r="AW221" i="12" s="1"/>
  <c r="AT299" i="12"/>
  <c r="AW299" i="12" s="1"/>
  <c r="AZ299" i="12" s="1"/>
  <c r="BD299" i="12" s="1"/>
  <c r="AW71" i="12"/>
  <c r="AZ71" i="12" s="1"/>
  <c r="BD71" i="12" s="1"/>
  <c r="AW57" i="12"/>
  <c r="AZ57" i="12" s="1"/>
  <c r="BD57" i="12" s="1"/>
  <c r="AT145" i="12"/>
  <c r="AW145" i="12" s="1"/>
  <c r="AZ145" i="12" s="1"/>
  <c r="BD145" i="12" s="1"/>
  <c r="AT63" i="12"/>
  <c r="AW63" i="12" s="1"/>
  <c r="AZ63" i="12" s="1"/>
  <c r="BD63" i="12" s="1"/>
  <c r="AT157" i="12"/>
  <c r="AW157" i="12" s="1"/>
  <c r="AZ157" i="12" s="1"/>
  <c r="BD157" i="12" s="1"/>
  <c r="AT56" i="12"/>
  <c r="AW56" i="12" s="1"/>
  <c r="AZ56" i="12" s="1"/>
  <c r="BD56" i="12" s="1"/>
  <c r="AT8" i="12"/>
  <c r="AW8" i="12" s="1"/>
  <c r="AZ8" i="12" s="1"/>
  <c r="BD8" i="12" s="1"/>
  <c r="AT4" i="12"/>
  <c r="AW4" i="12" s="1"/>
  <c r="AZ4" i="12" s="1"/>
  <c r="BD4" i="12" s="1"/>
  <c r="AT134" i="12"/>
  <c r="AW134" i="12" s="1"/>
  <c r="AZ134" i="12" s="1"/>
  <c r="BD134" i="12" s="1"/>
  <c r="AT127" i="12"/>
  <c r="AW127" i="12" s="1"/>
  <c r="AZ127" i="12" s="1"/>
  <c r="BD127" i="12" s="1"/>
  <c r="AT122" i="12"/>
  <c r="AW122" i="12" s="1"/>
  <c r="AZ122" i="12" s="1"/>
  <c r="BD122" i="12" s="1"/>
  <c r="AT109" i="12"/>
  <c r="AW109" i="12" s="1"/>
  <c r="AZ109" i="12" s="1"/>
  <c r="BD109" i="12" s="1"/>
  <c r="AG28" i="12"/>
  <c r="AW136" i="12"/>
  <c r="AZ136" i="12" s="1"/>
  <c r="BD136" i="12" s="1"/>
  <c r="AW89" i="12"/>
  <c r="AT90" i="12"/>
  <c r="AW90" i="12" s="1"/>
  <c r="AT126" i="12"/>
  <c r="AW126" i="12" s="1"/>
  <c r="AZ126" i="12" s="1"/>
  <c r="BD126" i="12" s="1"/>
  <c r="AT114" i="12"/>
  <c r="AW114" i="12" s="1"/>
  <c r="AZ114" i="12" s="1"/>
  <c r="BD114" i="12" s="1"/>
  <c r="AT147" i="12"/>
  <c r="AW147" i="12" s="1"/>
  <c r="AZ147" i="12" s="1"/>
  <c r="BD147" i="12" s="1"/>
  <c r="AW139" i="12"/>
  <c r="AZ139" i="12" s="1"/>
  <c r="BD139" i="12" s="1"/>
  <c r="AT2" i="12"/>
  <c r="AW2" i="12" s="1"/>
  <c r="AZ2" i="12" s="1"/>
  <c r="BD2" i="12" s="1"/>
  <c r="AG54" i="12"/>
  <c r="AJ84" i="12"/>
  <c r="AT88" i="12"/>
  <c r="AW88" i="12" s="1"/>
  <c r="AZ88" i="12" s="1"/>
  <c r="BD88" i="12" s="1"/>
  <c r="AG3" i="12"/>
  <c r="AW5" i="12"/>
  <c r="AZ5" i="12" s="1"/>
  <c r="BD5" i="12" s="1"/>
  <c r="AT17" i="12"/>
  <c r="AW17" i="12" s="1"/>
  <c r="AZ17" i="12" s="1"/>
  <c r="BD17" i="12" s="1"/>
  <c r="AS15" i="12"/>
  <c r="AT16" i="12"/>
  <c r="AW16" i="12" s="1"/>
  <c r="AZ16" i="12" s="1"/>
  <c r="BD16" i="12" s="1"/>
  <c r="AS66" i="12"/>
  <c r="AT151" i="12"/>
  <c r="AW151" i="12" s="1"/>
  <c r="AZ151" i="12" s="1"/>
  <c r="BD151" i="12" s="1"/>
  <c r="G161" i="12"/>
  <c r="AX161" i="12"/>
  <c r="AT167" i="12"/>
  <c r="AW167" i="12" s="1"/>
  <c r="AZ167" i="12" s="1"/>
  <c r="BD167" i="12" s="1"/>
  <c r="W169" i="12"/>
  <c r="AG189" i="12"/>
  <c r="AS189" i="12"/>
  <c r="AT219" i="12"/>
  <c r="AW219" i="12" s="1"/>
  <c r="AZ219" i="12" s="1"/>
  <c r="BD219" i="12" s="1"/>
  <c r="AT231" i="12"/>
  <c r="AW231" i="12" s="1"/>
  <c r="AZ231" i="12" s="1"/>
  <c r="BD231" i="12" s="1"/>
  <c r="W239" i="12"/>
  <c r="AJ239" i="12"/>
  <c r="AS84" i="12"/>
  <c r="AW95" i="12"/>
  <c r="AZ95" i="12" s="1"/>
  <c r="BD95" i="12" s="1"/>
  <c r="AT182" i="12"/>
  <c r="AW182" i="12" s="1"/>
  <c r="AZ182" i="12" s="1"/>
  <c r="BD182" i="12" s="1"/>
  <c r="AX180" i="12"/>
  <c r="Q180" i="12"/>
  <c r="AG230" i="12"/>
  <c r="AS230" i="12"/>
  <c r="AT92" i="12"/>
  <c r="AW92" i="12" s="1"/>
  <c r="AZ92" i="12" s="1"/>
  <c r="BD92" i="12" s="1"/>
  <c r="AX90" i="12"/>
  <c r="G90" i="12"/>
  <c r="AW124" i="12"/>
  <c r="AZ124" i="12" s="1"/>
  <c r="BD124" i="12" s="1"/>
  <c r="AW121" i="12"/>
  <c r="AZ121" i="12" s="1"/>
  <c r="BD121" i="12" s="1"/>
  <c r="AW106" i="12"/>
  <c r="AZ106" i="12" s="1"/>
  <c r="BD106" i="12" s="1"/>
  <c r="AW107" i="12"/>
  <c r="AZ107" i="12" s="1"/>
  <c r="BD107" i="12" s="1"/>
  <c r="AS87" i="12"/>
  <c r="Q10" i="12"/>
  <c r="AX23" i="12"/>
  <c r="Q23" i="12"/>
  <c r="AS21" i="12"/>
  <c r="AG21" i="12"/>
  <c r="AJ14" i="12"/>
  <c r="W14" i="12"/>
  <c r="AT72" i="12"/>
  <c r="AW72" i="12" s="1"/>
  <c r="AZ72" i="12" s="1"/>
  <c r="BD72" i="12" s="1"/>
  <c r="AS140" i="12"/>
  <c r="AG140" i="12"/>
  <c r="AJ144" i="12"/>
  <c r="W144" i="12"/>
  <c r="AT64" i="12"/>
  <c r="AW64" i="12" s="1"/>
  <c r="AZ64" i="12" s="1"/>
  <c r="BD64" i="12" s="1"/>
  <c r="AW59" i="12"/>
  <c r="AZ59" i="12" s="1"/>
  <c r="BD59" i="12" s="1"/>
  <c r="AS148" i="12"/>
  <c r="AG152" i="12"/>
  <c r="W152" i="12" s="1"/>
  <c r="AZ155" i="12"/>
  <c r="BD155" i="12" s="1"/>
  <c r="AS158" i="12"/>
  <c r="AT172" i="12"/>
  <c r="AW172" i="12" s="1"/>
  <c r="AZ172" i="12" s="1"/>
  <c r="BD172" i="12" s="1"/>
  <c r="AW175" i="12"/>
  <c r="AZ175" i="12" s="1"/>
  <c r="BD175" i="12" s="1"/>
  <c r="W174" i="12"/>
  <c r="AT246" i="12"/>
  <c r="AW246" i="12" s="1"/>
  <c r="AZ246" i="12" s="1"/>
  <c r="BD246" i="12" s="1"/>
  <c r="AS19" i="12"/>
  <c r="AS143" i="12"/>
  <c r="AS146" i="12"/>
  <c r="L160" i="12"/>
  <c r="AG164" i="12"/>
  <c r="AS164" i="12"/>
  <c r="AJ187" i="12"/>
  <c r="AJ212" i="12"/>
  <c r="AG214" i="12"/>
  <c r="W214" i="12" s="1"/>
  <c r="AS214" i="12"/>
  <c r="AT235" i="12"/>
  <c r="AW235" i="12" s="1"/>
  <c r="AZ235" i="12" s="1"/>
  <c r="BD235" i="12" s="1"/>
  <c r="AT264" i="12"/>
  <c r="AW264" i="12" s="1"/>
  <c r="AZ264" i="12" s="1"/>
  <c r="BD264" i="12" s="1"/>
  <c r="AG95" i="12"/>
  <c r="W95" i="12" s="1"/>
  <c r="AG188" i="12"/>
  <c r="AS188" i="12"/>
  <c r="AG199" i="12"/>
  <c r="AS199" i="12"/>
  <c r="AG192" i="12"/>
  <c r="AS192" i="12"/>
  <c r="AG210" i="12"/>
  <c r="AS210" i="12"/>
  <c r="AT250" i="12"/>
  <c r="AW250" i="12" s="1"/>
  <c r="AZ250" i="12" s="1"/>
  <c r="BD250" i="12" s="1"/>
  <c r="AT253" i="12"/>
  <c r="AW253" i="12" s="1"/>
  <c r="W254" i="12"/>
  <c r="AJ254" i="12"/>
  <c r="AG194" i="12"/>
  <c r="AS194" i="12"/>
  <c r="AT191" i="12"/>
  <c r="AW191" i="12" s="1"/>
  <c r="AZ191" i="12" s="1"/>
  <c r="BD191" i="12" s="1"/>
  <c r="AT201" i="12"/>
  <c r="AW201" i="12" s="1"/>
  <c r="AZ201" i="12" s="1"/>
  <c r="BD201" i="12" s="1"/>
  <c r="AT200" i="12"/>
  <c r="AW200" i="12" s="1"/>
  <c r="AT202" i="12"/>
  <c r="AW202" i="12" s="1"/>
  <c r="AZ202" i="12" s="1"/>
  <c r="BD202" i="12" s="1"/>
  <c r="AG217" i="12"/>
  <c r="AS217" i="12"/>
  <c r="AT229" i="12"/>
  <c r="AW229" i="12" s="1"/>
  <c r="AT238" i="12"/>
  <c r="AW238" i="12" s="1"/>
  <c r="AZ238" i="12" s="1"/>
  <c r="BD238" i="12" s="1"/>
  <c r="AZ236" i="12"/>
  <c r="BD236" i="12" s="1"/>
  <c r="AT247" i="12"/>
  <c r="AW247" i="12" s="1"/>
  <c r="AZ247" i="12" s="1"/>
  <c r="BD247" i="12" s="1"/>
  <c r="AT270" i="12"/>
  <c r="AW270" i="12" s="1"/>
  <c r="AZ270" i="12" s="1"/>
  <c r="BD270" i="12" s="1"/>
  <c r="AS163" i="12"/>
  <c r="AT181" i="12"/>
  <c r="AW181" i="12" s="1"/>
  <c r="AZ181" i="12" s="1"/>
  <c r="BD181" i="12" s="1"/>
  <c r="AW190" i="12"/>
  <c r="AZ190" i="12" s="1"/>
  <c r="BD190" i="12" s="1"/>
  <c r="AG196" i="12"/>
  <c r="AS196" i="12"/>
  <c r="AG198" i="12"/>
  <c r="AS198" i="12"/>
  <c r="AW205" i="12"/>
  <c r="AZ205" i="12" s="1"/>
  <c r="BD205" i="12" s="1"/>
  <c r="W206" i="12"/>
  <c r="W208" i="12"/>
  <c r="AT211" i="12"/>
  <c r="AW211" i="12" s="1"/>
  <c r="AZ211" i="12" s="1"/>
  <c r="BD211" i="12" s="1"/>
  <c r="W216" i="12"/>
  <c r="AJ223" i="12"/>
  <c r="AJ237" i="12"/>
  <c r="AT243" i="12"/>
  <c r="AW243" i="12" s="1"/>
  <c r="AZ243" i="12" s="1"/>
  <c r="BD243" i="12" s="1"/>
  <c r="W248" i="12"/>
  <c r="AJ248" i="12"/>
  <c r="AT249" i="12"/>
  <c r="AW249" i="12" s="1"/>
  <c r="AZ249" i="12" s="1"/>
  <c r="BD249" i="12" s="1"/>
  <c r="AW255" i="12"/>
  <c r="AZ255" i="12" s="1"/>
  <c r="BD255" i="12" s="1"/>
  <c r="AT267" i="12"/>
  <c r="AW267" i="12" s="1"/>
  <c r="AZ267" i="12" s="1"/>
  <c r="BD267" i="12" s="1"/>
  <c r="AT275" i="12"/>
  <c r="AW275" i="12" s="1"/>
  <c r="AZ275" i="12" s="1"/>
  <c r="BD275" i="12" s="1"/>
  <c r="W269" i="12"/>
  <c r="AJ269" i="12"/>
  <c r="AX200" i="12"/>
  <c r="AT228" i="12"/>
  <c r="AW228" i="12" s="1"/>
  <c r="AJ257" i="12"/>
  <c r="AW260" i="12"/>
  <c r="AZ260" i="12" s="1"/>
  <c r="BD260" i="12" s="1"/>
  <c r="AT261" i="12"/>
  <c r="AW261" i="12" s="1"/>
  <c r="AZ261" i="12" s="1"/>
  <c r="AT268" i="12"/>
  <c r="AW268" i="12" s="1"/>
  <c r="AZ268" i="12" s="1"/>
  <c r="BD268" i="12" s="1"/>
  <c r="AW283" i="12"/>
  <c r="AZ283" i="12" s="1"/>
  <c r="BD283" i="12" s="1"/>
  <c r="AT276" i="12"/>
  <c r="AW276" i="12" s="1"/>
  <c r="AZ276" i="12" s="1"/>
  <c r="BD276" i="12" s="1"/>
  <c r="AT287" i="12"/>
  <c r="AW287" i="12" s="1"/>
  <c r="AT291" i="12"/>
  <c r="AW291" i="12" s="1"/>
  <c r="AZ291" i="12" s="1"/>
  <c r="BD291" i="12" s="1"/>
  <c r="AT296" i="12"/>
  <c r="AW296" i="12" s="1"/>
  <c r="AZ296" i="12" s="1"/>
  <c r="BD296" i="12" s="1"/>
  <c r="AX297" i="12"/>
  <c r="AG297" i="12"/>
  <c r="Q297" i="12"/>
  <c r="AS297" i="12" s="1"/>
  <c r="Q215" i="12"/>
  <c r="AW203" i="12"/>
  <c r="AZ203" i="12" s="1"/>
  <c r="BD203" i="12" s="1"/>
  <c r="AG228" i="12"/>
  <c r="AG232" i="12"/>
  <c r="AS232" i="12"/>
  <c r="AJ234" i="12"/>
  <c r="AW240" i="12"/>
  <c r="AZ240" i="12" s="1"/>
  <c r="BD240" i="12" s="1"/>
  <c r="AW245" i="12"/>
  <c r="AZ245" i="12" s="1"/>
  <c r="BD245" i="12" s="1"/>
  <c r="AJ246" i="12"/>
  <c r="AT252" i="12"/>
  <c r="AW252" i="12" s="1"/>
  <c r="AZ252" i="12" s="1"/>
  <c r="BD252" i="12" s="1"/>
  <c r="AT256" i="12"/>
  <c r="AW256" i="12" s="1"/>
  <c r="AZ256" i="12" s="1"/>
  <c r="BD256" i="12" s="1"/>
  <c r="W268" i="12"/>
  <c r="AJ268" i="12"/>
  <c r="AT300" i="12"/>
  <c r="AW300" i="12" s="1"/>
  <c r="AZ300" i="12" s="1"/>
  <c r="BD300" i="12" s="1"/>
  <c r="AT301" i="12"/>
  <c r="AW301" i="12" s="1"/>
  <c r="AZ301" i="12" s="1"/>
  <c r="BD301" i="12" s="1"/>
  <c r="AJ255" i="12"/>
  <c r="W255" i="12"/>
  <c r="AT263" i="12"/>
  <c r="AW263" i="12" s="1"/>
  <c r="AZ263" i="12" s="1"/>
  <c r="BD263" i="12" s="1"/>
  <c r="W267" i="12"/>
  <c r="AJ267" i="12"/>
  <c r="AT285" i="12"/>
  <c r="AW285" i="12" s="1"/>
  <c r="AZ285" i="12" s="1"/>
  <c r="BD285" i="12" s="1"/>
  <c r="AW286" i="12"/>
  <c r="AW288" i="12"/>
  <c r="AT292" i="12"/>
  <c r="AW292" i="12" s="1"/>
  <c r="AZ292" i="12" s="1"/>
  <c r="BD292" i="12" s="1"/>
  <c r="AW294" i="12"/>
  <c r="AZ294" i="12" s="1"/>
  <c r="BD294" i="12" s="1"/>
  <c r="AT265" i="12"/>
  <c r="AW265" i="12" s="1"/>
  <c r="AZ265" i="12" s="1"/>
  <c r="BD265" i="12" s="1"/>
  <c r="Q224" i="12"/>
  <c r="Q241" i="12"/>
  <c r="Q244" i="12"/>
  <c r="AW257" i="12"/>
  <c r="AZ257" i="12" s="1"/>
  <c r="BD257" i="12" s="1"/>
  <c r="W258" i="12"/>
  <c r="AW259" i="12"/>
  <c r="AZ259" i="12" s="1"/>
  <c r="BD259" i="12" s="1"/>
  <c r="AT266" i="12"/>
  <c r="AW266" i="12" s="1"/>
  <c r="AZ266" i="12" s="1"/>
  <c r="BD266" i="12" s="1"/>
  <c r="AW282" i="12"/>
  <c r="AZ282" i="12" s="1"/>
  <c r="BD282" i="12" s="1"/>
  <c r="AT284" i="12"/>
  <c r="AW284" i="12" s="1"/>
  <c r="AZ284" i="12" s="1"/>
  <c r="BD284" i="12" s="1"/>
  <c r="AW293" i="12"/>
  <c r="AZ293" i="12" s="1"/>
  <c r="BD293" i="12" s="1"/>
  <c r="AW302" i="12"/>
  <c r="AZ302" i="12" s="1"/>
  <c r="BD302" i="12" s="1"/>
  <c r="AG266" i="12"/>
  <c r="W285" i="12"/>
  <c r="W270" i="12"/>
  <c r="W276" i="12"/>
  <c r="AG286" i="12"/>
  <c r="W286" i="12" s="1"/>
  <c r="AG287" i="12"/>
  <c r="W287" i="12" s="1"/>
  <c r="AG288" i="12"/>
  <c r="W288" i="12" s="1"/>
  <c r="AG301" i="12"/>
  <c r="AJ301" i="12" s="1"/>
  <c r="AG302" i="12"/>
  <c r="AX286" i="12"/>
  <c r="AX287" i="12"/>
  <c r="AX288" i="12"/>
  <c r="AJ156" i="12" l="1"/>
  <c r="W211" i="12"/>
  <c r="AW289" i="12"/>
  <c r="AZ289" i="12" s="1"/>
  <c r="BD289" i="12" s="1"/>
  <c r="AS218" i="12"/>
  <c r="AT218" i="12" s="1"/>
  <c r="AW218" i="12" s="1"/>
  <c r="AZ218" i="12" s="1"/>
  <c r="BD218" i="12" s="1"/>
  <c r="AJ201" i="12"/>
  <c r="W165" i="12"/>
  <c r="W227" i="12"/>
  <c r="W256" i="12"/>
  <c r="AZ253" i="12"/>
  <c r="BD253" i="12" s="1"/>
  <c r="AW176" i="12"/>
  <c r="AZ176" i="12" s="1"/>
  <c r="BD176" i="12" s="1"/>
  <c r="AJ166" i="12"/>
  <c r="Q7" i="12"/>
  <c r="AS7" i="12" s="1"/>
  <c r="G7" i="12"/>
  <c r="AZ221" i="12"/>
  <c r="BD221" i="12" s="1"/>
  <c r="AJ245" i="12"/>
  <c r="AJ88" i="12"/>
  <c r="AZ31" i="12"/>
  <c r="BD31" i="12" s="1"/>
  <c r="AW169" i="12"/>
  <c r="AZ169" i="12" s="1"/>
  <c r="BD169" i="12" s="1"/>
  <c r="W195" i="12"/>
  <c r="W179" i="12"/>
  <c r="AW258" i="12"/>
  <c r="AZ258" i="12" s="1"/>
  <c r="BD258" i="12" s="1"/>
  <c r="AJ18" i="12"/>
  <c r="AS179" i="12"/>
  <c r="AT179" i="12" s="1"/>
  <c r="AW179" i="12" s="1"/>
  <c r="AZ179" i="12" s="1"/>
  <c r="BD179" i="12" s="1"/>
  <c r="AT197" i="12"/>
  <c r="AW197" i="12" s="1"/>
  <c r="AZ197" i="12" s="1"/>
  <c r="BD197" i="12" s="1"/>
  <c r="AT168" i="12"/>
  <c r="AW168" i="12" s="1"/>
  <c r="AZ168" i="12" s="1"/>
  <c r="BD168" i="12" s="1"/>
  <c r="AZ288" i="12"/>
  <c r="BD288" i="12" s="1"/>
  <c r="AG153" i="12"/>
  <c r="W153" i="12" s="1"/>
  <c r="AS153" i="12"/>
  <c r="W240" i="12"/>
  <c r="AW195" i="12"/>
  <c r="AZ195" i="12" s="1"/>
  <c r="BD195" i="12" s="1"/>
  <c r="AZ161" i="12"/>
  <c r="BD161" i="12" s="1"/>
  <c r="AJ202" i="12"/>
  <c r="W284" i="12"/>
  <c r="AZ298" i="12"/>
  <c r="BD298" i="12" s="1"/>
  <c r="AW178" i="12"/>
  <c r="AZ178" i="12" s="1"/>
  <c r="BD178" i="12" s="1"/>
  <c r="W171" i="12"/>
  <c r="AJ171" i="12"/>
  <c r="AG233" i="12"/>
  <c r="W233" i="12" s="1"/>
  <c r="AJ229" i="12"/>
  <c r="W229" i="12"/>
  <c r="W191" i="12"/>
  <c r="AJ191" i="12"/>
  <c r="AJ168" i="12"/>
  <c r="W168" i="12"/>
  <c r="AZ286" i="12"/>
  <c r="BD286" i="12" s="1"/>
  <c r="AZ200" i="12"/>
  <c r="BD200" i="12" s="1"/>
  <c r="AS241" i="12"/>
  <c r="AG241" i="12"/>
  <c r="AT210" i="12"/>
  <c r="AW210" i="12" s="1"/>
  <c r="AZ210" i="12" s="1"/>
  <c r="BD210" i="12" s="1"/>
  <c r="W199" i="12"/>
  <c r="AJ199" i="12"/>
  <c r="AT19" i="12"/>
  <c r="AW19" i="12" s="1"/>
  <c r="AZ19" i="12" s="1"/>
  <c r="BD19" i="12" s="1"/>
  <c r="AG224" i="12"/>
  <c r="AS224" i="12"/>
  <c r="AT232" i="12"/>
  <c r="AW232" i="12" s="1"/>
  <c r="AZ232" i="12" s="1"/>
  <c r="BD232" i="12" s="1"/>
  <c r="AS215" i="12"/>
  <c r="AG215" i="12"/>
  <c r="W196" i="12"/>
  <c r="AJ196" i="12"/>
  <c r="AT163" i="12"/>
  <c r="AW163" i="12" s="1"/>
  <c r="AZ163" i="12" s="1"/>
  <c r="BD163" i="12" s="1"/>
  <c r="AT194" i="12"/>
  <c r="AW194" i="12" s="1"/>
  <c r="AZ194" i="12" s="1"/>
  <c r="BD194" i="12" s="1"/>
  <c r="AJ218" i="12"/>
  <c r="W218" i="12"/>
  <c r="W210" i="12"/>
  <c r="AJ210" i="12"/>
  <c r="AT192" i="12"/>
  <c r="AW192" i="12" s="1"/>
  <c r="AZ192" i="12" s="1"/>
  <c r="BD192" i="12" s="1"/>
  <c r="AT188" i="12"/>
  <c r="AW188" i="12" s="1"/>
  <c r="AZ188" i="12" s="1"/>
  <c r="BD188" i="12" s="1"/>
  <c r="W21" i="12"/>
  <c r="AJ21" i="12"/>
  <c r="AG10" i="12"/>
  <c r="W10" i="12" s="1"/>
  <c r="AS10" i="12"/>
  <c r="AT66" i="12"/>
  <c r="AW66" i="12" s="1"/>
  <c r="AZ66" i="12" s="1"/>
  <c r="BD66" i="12" s="1"/>
  <c r="AT196" i="12"/>
  <c r="AW196" i="12" s="1"/>
  <c r="AZ196" i="12" s="1"/>
  <c r="BD196" i="12" s="1"/>
  <c r="AT233" i="12"/>
  <c r="AW233" i="12" s="1"/>
  <c r="AZ233" i="12" s="1"/>
  <c r="BD233" i="12" s="1"/>
  <c r="AT214" i="12"/>
  <c r="AW214" i="12" s="1"/>
  <c r="AZ214" i="12" s="1"/>
  <c r="BD214" i="12" s="1"/>
  <c r="AT140" i="12"/>
  <c r="AW140" i="12" s="1"/>
  <c r="AZ140" i="12" s="1"/>
  <c r="BD140" i="12" s="1"/>
  <c r="AT84" i="12"/>
  <c r="AW84" i="12" s="1"/>
  <c r="AZ84" i="12" s="1"/>
  <c r="BD84" i="12" s="1"/>
  <c r="AT15" i="12"/>
  <c r="AW15" i="12" s="1"/>
  <c r="AZ15" i="12" s="1"/>
  <c r="BD15" i="12" s="1"/>
  <c r="AJ232" i="12"/>
  <c r="W232" i="12"/>
  <c r="AT297" i="12"/>
  <c r="AW297" i="12" s="1"/>
  <c r="AZ297" i="12" s="1"/>
  <c r="BD297" i="12" s="1"/>
  <c r="AZ287" i="12"/>
  <c r="BD287" i="12" s="1"/>
  <c r="AT198" i="12"/>
  <c r="AW198" i="12" s="1"/>
  <c r="AZ198" i="12" s="1"/>
  <c r="BD198" i="12" s="1"/>
  <c r="AT217" i="12"/>
  <c r="AW217" i="12" s="1"/>
  <c r="AZ217" i="12" s="1"/>
  <c r="BD217" i="12" s="1"/>
  <c r="W194" i="12"/>
  <c r="AJ194" i="12"/>
  <c r="W192" i="12"/>
  <c r="AJ192" i="12"/>
  <c r="W188" i="12"/>
  <c r="AJ188" i="12"/>
  <c r="AT146" i="12"/>
  <c r="AW146" i="12" s="1"/>
  <c r="AZ146" i="12" s="1"/>
  <c r="BD146" i="12" s="1"/>
  <c r="AT148" i="12"/>
  <c r="AW148" i="12" s="1"/>
  <c r="AZ148" i="12" s="1"/>
  <c r="BD148" i="12" s="1"/>
  <c r="AT21" i="12"/>
  <c r="AW21" i="12" s="1"/>
  <c r="AZ21" i="12" s="1"/>
  <c r="BD21" i="12" s="1"/>
  <c r="AT87" i="12"/>
  <c r="AW87" i="12" s="1"/>
  <c r="AZ87" i="12" s="1"/>
  <c r="BD87" i="12" s="1"/>
  <c r="AT230" i="12"/>
  <c r="AW230" i="12" s="1"/>
  <c r="AZ230" i="12" s="1"/>
  <c r="BD230" i="12" s="1"/>
  <c r="AT189" i="12"/>
  <c r="AW189" i="12" s="1"/>
  <c r="AZ189" i="12" s="1"/>
  <c r="BD189" i="12" s="1"/>
  <c r="AJ54" i="12"/>
  <c r="W54" i="12"/>
  <c r="AT193" i="12"/>
  <c r="AW193" i="12" s="1"/>
  <c r="AZ193" i="12" s="1"/>
  <c r="BD193" i="12" s="1"/>
  <c r="AT68" i="12"/>
  <c r="AW68" i="12" s="1"/>
  <c r="AZ68" i="12" s="1"/>
  <c r="BD68" i="12" s="1"/>
  <c r="W31" i="12"/>
  <c r="AJ31" i="12"/>
  <c r="AJ266" i="12"/>
  <c r="W266" i="12"/>
  <c r="AS244" i="12"/>
  <c r="AG244" i="12"/>
  <c r="W228" i="12"/>
  <c r="AJ228" i="12"/>
  <c r="W198" i="12"/>
  <c r="AJ198" i="12"/>
  <c r="W217" i="12"/>
  <c r="AJ217" i="12"/>
  <c r="AT199" i="12"/>
  <c r="AW199" i="12" s="1"/>
  <c r="AZ199" i="12" s="1"/>
  <c r="BD199" i="12" s="1"/>
  <c r="AT164" i="12"/>
  <c r="AW164" i="12" s="1"/>
  <c r="AT143" i="12"/>
  <c r="AW143" i="12" s="1"/>
  <c r="AZ143" i="12" s="1"/>
  <c r="BD143" i="12" s="1"/>
  <c r="AT158" i="12"/>
  <c r="AW158" i="12" s="1"/>
  <c r="AZ158" i="12" s="1"/>
  <c r="BD158" i="12" s="1"/>
  <c r="W140" i="12"/>
  <c r="AJ140" i="12"/>
  <c r="AG23" i="12"/>
  <c r="AS23" i="12"/>
  <c r="AJ230" i="12"/>
  <c r="W230" i="12"/>
  <c r="AG180" i="12"/>
  <c r="AS180" i="12"/>
  <c r="W189" i="12"/>
  <c r="AJ189" i="12"/>
  <c r="AJ3" i="12"/>
  <c r="W3" i="12"/>
  <c r="W28" i="12"/>
  <c r="AJ28" i="12"/>
  <c r="AT204" i="12"/>
  <c r="AW204" i="12" s="1"/>
  <c r="AZ204" i="12" s="1"/>
  <c r="BD204" i="12" s="1"/>
  <c r="AT154" i="12"/>
  <c r="AW154" i="12" s="1"/>
  <c r="AZ154" i="12" s="1"/>
  <c r="BD154" i="12" s="1"/>
  <c r="AJ193" i="12"/>
  <c r="W193" i="12"/>
  <c r="AJ233" i="12" l="1"/>
  <c r="AT7" i="12"/>
  <c r="AW7" i="12" s="1"/>
  <c r="AZ7" i="12" s="1"/>
  <c r="BD7" i="12" s="1"/>
  <c r="AT153" i="12"/>
  <c r="AW153" i="12" s="1"/>
  <c r="AZ153" i="12" s="1"/>
  <c r="BD153" i="12" s="1"/>
  <c r="AT180" i="12"/>
  <c r="AW180" i="12" s="1"/>
  <c r="AZ180" i="12" s="1"/>
  <c r="BD180" i="12" s="1"/>
  <c r="AT23" i="12"/>
  <c r="AW23" i="12" s="1"/>
  <c r="AZ23" i="12" s="1"/>
  <c r="BD23" i="12" s="1"/>
  <c r="AJ244" i="12"/>
  <c r="W244" i="12"/>
  <c r="AJ23" i="12"/>
  <c r="W23" i="12"/>
  <c r="AT244" i="12"/>
  <c r="AW244" i="12" s="1"/>
  <c r="AZ244" i="12" s="1"/>
  <c r="BD244" i="12" s="1"/>
  <c r="AJ215" i="12"/>
  <c r="W215" i="12"/>
  <c r="AT224" i="12"/>
  <c r="AW224" i="12" s="1"/>
  <c r="AZ224" i="12" s="1"/>
  <c r="BD224" i="12" s="1"/>
  <c r="AT215" i="12"/>
  <c r="AW215" i="12" s="1"/>
  <c r="AZ215" i="12" s="1"/>
  <c r="BD215" i="12" s="1"/>
  <c r="AJ224" i="12"/>
  <c r="W224" i="12"/>
  <c r="AT10" i="12"/>
  <c r="AW10" i="12" s="1"/>
  <c r="AJ241" i="12"/>
  <c r="W241" i="12"/>
  <c r="AT241" i="12"/>
  <c r="AW241" i="12" s="1"/>
  <c r="AZ241" i="12" s="1"/>
  <c r="BD241" i="12" s="1"/>
  <c r="M6" i="24" l="1"/>
  <c r="AF165" i="26" l="1"/>
  <c r="AF164" i="26"/>
  <c r="AF163" i="26"/>
  <c r="AF162" i="26"/>
  <c r="AF161" i="26"/>
  <c r="AF160" i="26"/>
  <c r="AF159" i="26"/>
  <c r="AF158" i="26"/>
  <c r="AF157" i="26"/>
  <c r="AF156" i="26"/>
  <c r="AF155" i="26"/>
  <c r="AF154" i="26"/>
  <c r="AF153" i="26"/>
  <c r="AF152" i="26"/>
  <c r="AF151" i="26"/>
  <c r="AF150" i="26"/>
  <c r="AF149" i="26"/>
  <c r="AF148" i="26"/>
  <c r="AF147" i="26"/>
  <c r="AF146" i="26"/>
  <c r="AF145" i="26"/>
  <c r="AF144" i="26"/>
  <c r="AF143" i="26"/>
  <c r="AF142" i="26"/>
  <c r="AF141" i="26"/>
  <c r="AF140" i="26"/>
  <c r="AF139" i="26"/>
  <c r="AF138" i="26"/>
  <c r="AF137" i="26"/>
  <c r="AF136" i="26"/>
  <c r="AF135" i="26"/>
  <c r="AF134" i="26"/>
  <c r="AF133" i="26"/>
  <c r="AF132" i="26"/>
  <c r="AF131" i="26"/>
  <c r="AF130" i="26"/>
  <c r="AF129" i="26"/>
  <c r="AF128" i="26"/>
  <c r="AF127" i="26"/>
  <c r="AF126" i="26"/>
  <c r="AF125" i="26"/>
  <c r="AF124" i="26"/>
  <c r="AF123" i="26"/>
  <c r="AF122" i="26"/>
  <c r="AF121" i="26"/>
  <c r="AF120" i="26"/>
  <c r="AF119" i="26"/>
  <c r="AF118" i="26"/>
  <c r="AF117" i="26"/>
  <c r="AF116" i="26"/>
  <c r="AF115" i="26"/>
  <c r="AF114" i="26"/>
  <c r="AF113" i="26"/>
  <c r="AF112" i="26"/>
  <c r="AF111" i="26"/>
  <c r="AF110" i="26"/>
  <c r="AF109" i="26"/>
  <c r="AF108" i="26"/>
  <c r="AF107" i="26"/>
  <c r="AF106" i="26"/>
  <c r="AF105" i="26"/>
  <c r="AF104" i="26"/>
  <c r="AF103" i="26"/>
  <c r="AF102" i="26"/>
  <c r="AF101" i="26"/>
  <c r="AF100" i="26"/>
  <c r="AF99" i="26"/>
  <c r="AF98" i="26"/>
  <c r="AF97" i="26"/>
  <c r="AF96" i="26"/>
  <c r="AF95" i="26"/>
  <c r="AF94" i="26"/>
  <c r="AF93" i="26"/>
  <c r="AE165" i="26"/>
  <c r="AE164" i="26"/>
  <c r="AE163" i="26"/>
  <c r="AE162" i="26"/>
  <c r="AE161" i="26"/>
  <c r="AE160" i="26"/>
  <c r="AE159" i="26"/>
  <c r="AE158" i="26"/>
  <c r="AE157" i="26"/>
  <c r="AE156" i="26"/>
  <c r="AE155" i="26"/>
  <c r="AE154" i="26"/>
  <c r="AE153" i="26"/>
  <c r="AE152" i="26"/>
  <c r="AE151" i="26"/>
  <c r="AE150" i="26"/>
  <c r="AE149" i="26"/>
  <c r="AE148" i="26"/>
  <c r="AE147" i="26"/>
  <c r="AE146" i="26"/>
  <c r="AE145" i="26"/>
  <c r="AE144" i="26"/>
  <c r="AE143" i="26"/>
  <c r="AE142" i="26"/>
  <c r="AE141" i="26"/>
  <c r="AE140" i="26"/>
  <c r="AE139" i="26"/>
  <c r="AE138" i="26"/>
  <c r="AE137" i="26"/>
  <c r="AE136" i="26"/>
  <c r="AE135" i="26"/>
  <c r="AE134" i="26"/>
  <c r="AE133" i="26"/>
  <c r="AE132" i="26"/>
  <c r="AE131" i="26"/>
  <c r="AE130" i="26"/>
  <c r="AE129" i="26"/>
  <c r="AE128" i="26"/>
  <c r="AE127" i="26"/>
  <c r="AE126" i="26"/>
  <c r="AE125" i="26"/>
  <c r="AE124" i="26"/>
  <c r="AE123" i="26"/>
  <c r="AE122" i="26"/>
  <c r="AE121" i="26"/>
  <c r="AE120" i="26"/>
  <c r="AE119" i="26"/>
  <c r="AE118" i="26"/>
  <c r="AE117" i="26"/>
  <c r="AE116" i="26"/>
  <c r="AE115" i="26"/>
  <c r="AE114" i="26"/>
  <c r="AE113" i="26"/>
  <c r="AE112" i="26"/>
  <c r="AE111" i="26"/>
  <c r="AE110" i="26"/>
  <c r="AE109" i="26"/>
  <c r="AE108" i="26"/>
  <c r="AE107" i="26"/>
  <c r="AE106" i="26"/>
  <c r="AE105" i="26"/>
  <c r="AE104" i="26"/>
  <c r="AE103" i="26"/>
  <c r="AE102" i="26"/>
  <c r="AE101" i="26"/>
  <c r="AE100" i="26"/>
  <c r="AE99" i="26"/>
  <c r="AE98" i="26"/>
  <c r="AE97" i="26"/>
  <c r="AE96" i="26"/>
  <c r="AE95" i="26"/>
  <c r="AE94" i="26"/>
  <c r="AE93" i="26"/>
  <c r="AE92" i="26"/>
  <c r="AE91" i="26"/>
  <c r="AE90" i="26"/>
  <c r="AE89" i="26"/>
  <c r="AE88" i="26"/>
  <c r="AE87" i="26"/>
  <c r="AE86" i="26"/>
  <c r="AE85" i="26"/>
  <c r="AE84" i="26"/>
  <c r="AE83" i="26"/>
  <c r="AE82" i="26"/>
  <c r="AE81" i="26"/>
  <c r="AE80" i="26"/>
  <c r="AE79" i="26"/>
  <c r="AE78" i="26"/>
  <c r="AE77" i="26"/>
  <c r="AE76" i="26"/>
  <c r="AE75" i="26"/>
  <c r="AE74" i="26"/>
  <c r="AE73" i="26"/>
  <c r="AE72" i="26"/>
  <c r="AE71" i="26"/>
  <c r="AE70" i="26"/>
  <c r="AE69" i="26"/>
  <c r="AE68" i="26"/>
  <c r="AE67" i="26"/>
  <c r="AE66" i="26"/>
  <c r="AE65" i="26"/>
  <c r="AE64" i="26"/>
  <c r="AE63" i="26"/>
  <c r="AE62" i="26"/>
  <c r="AE61" i="26"/>
  <c r="AE60" i="26"/>
  <c r="AE59" i="26"/>
  <c r="AE58" i="26"/>
  <c r="AE57" i="26"/>
  <c r="AE56" i="26"/>
  <c r="AE55" i="26"/>
  <c r="L32" i="22" l="1"/>
  <c r="L31" i="22"/>
  <c r="L30" i="22"/>
  <c r="L29" i="22"/>
  <c r="L28" i="22"/>
  <c r="L27" i="22"/>
  <c r="L26" i="22"/>
  <c r="L25" i="22"/>
  <c r="L24" i="22"/>
  <c r="L23" i="22"/>
  <c r="L22" i="22"/>
  <c r="L21" i="22"/>
  <c r="L20" i="22"/>
  <c r="L19" i="22"/>
  <c r="L18" i="22"/>
  <c r="L17" i="22"/>
  <c r="L16" i="22"/>
  <c r="L15" i="22"/>
  <c r="L14" i="22"/>
  <c r="L13" i="22"/>
  <c r="L12" i="22"/>
  <c r="L11" i="22"/>
  <c r="L10" i="22"/>
  <c r="L9" i="22"/>
  <c r="L8" i="22"/>
  <c r="M32" i="22"/>
  <c r="M31" i="22"/>
  <c r="M30" i="22"/>
  <c r="M29" i="22"/>
  <c r="M28" i="22"/>
  <c r="M27" i="22"/>
  <c r="M26" i="22"/>
  <c r="M25" i="22"/>
  <c r="M24" i="22"/>
  <c r="M23" i="22"/>
  <c r="M22" i="22"/>
  <c r="M21" i="22"/>
  <c r="M20" i="22"/>
  <c r="M19" i="22"/>
  <c r="M18" i="22"/>
  <c r="M17" i="22"/>
  <c r="M16" i="22"/>
  <c r="M15" i="22"/>
  <c r="M14" i="22"/>
  <c r="M13" i="22"/>
  <c r="M12" i="22"/>
  <c r="M11" i="22"/>
  <c r="M10" i="22"/>
  <c r="M9" i="22"/>
  <c r="M8" i="22"/>
  <c r="M7" i="22"/>
  <c r="M6" i="22"/>
  <c r="C107" i="15" l="1"/>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M92" i="26" l="1"/>
  <c r="L92" i="26"/>
  <c r="N92" i="26" s="1"/>
  <c r="AF92" i="26" s="1"/>
  <c r="K92" i="26"/>
  <c r="M91" i="26"/>
  <c r="L91" i="26"/>
  <c r="N91" i="26" s="1"/>
  <c r="AF91" i="26" s="1"/>
  <c r="K91" i="26"/>
  <c r="M90" i="26"/>
  <c r="L90" i="26"/>
  <c r="N90" i="26" s="1"/>
  <c r="AF90" i="26" s="1"/>
  <c r="K90" i="26"/>
  <c r="M89" i="26"/>
  <c r="L89" i="26"/>
  <c r="N89" i="26" s="1"/>
  <c r="AF89" i="26" s="1"/>
  <c r="K89" i="26"/>
  <c r="M88" i="26"/>
  <c r="L88" i="26"/>
  <c r="N88" i="26" s="1"/>
  <c r="AF88" i="26" s="1"/>
  <c r="K88" i="26"/>
  <c r="M87" i="26"/>
  <c r="L87" i="26"/>
  <c r="N87" i="26" s="1"/>
  <c r="AF87" i="26" s="1"/>
  <c r="K87" i="26"/>
  <c r="AJ5" i="19" l="1"/>
  <c r="AK5" i="19"/>
  <c r="AL5" i="19"/>
  <c r="AM5" i="19"/>
  <c r="AN5" i="19"/>
  <c r="AO5" i="19"/>
  <c r="AP5" i="19"/>
  <c r="AQ5" i="19"/>
  <c r="AR5" i="19"/>
  <c r="AS5" i="19"/>
  <c r="AJ6" i="19"/>
  <c r="AK6" i="19"/>
  <c r="AL6" i="19"/>
  <c r="AM6" i="19"/>
  <c r="AN6" i="19"/>
  <c r="AO6" i="19"/>
  <c r="AP6" i="19"/>
  <c r="AQ6" i="19"/>
  <c r="AR6" i="19"/>
  <c r="AS6" i="19"/>
  <c r="AJ7" i="19"/>
  <c r="AK7" i="19"/>
  <c r="AL7" i="19"/>
  <c r="AM7" i="19"/>
  <c r="AN7" i="19"/>
  <c r="AO7" i="19"/>
  <c r="AP7" i="19"/>
  <c r="AQ7" i="19"/>
  <c r="AR7" i="19"/>
  <c r="AS7" i="19"/>
  <c r="AJ8" i="19"/>
  <c r="AK8" i="19"/>
  <c r="AL8" i="19"/>
  <c r="AM8" i="19"/>
  <c r="AN8" i="19"/>
  <c r="AO8" i="19"/>
  <c r="AP8" i="19"/>
  <c r="AQ8" i="19"/>
  <c r="AR8" i="19"/>
  <c r="AS8" i="19"/>
  <c r="AJ9" i="19"/>
  <c r="AK9" i="19"/>
  <c r="AL9" i="19"/>
  <c r="AM9" i="19"/>
  <c r="AN9" i="19"/>
  <c r="AO9" i="19"/>
  <c r="AP9" i="19"/>
  <c r="AQ9" i="19"/>
  <c r="AR9" i="19"/>
  <c r="AS9" i="19"/>
  <c r="AJ10" i="19"/>
  <c r="AK10" i="19"/>
  <c r="AL10" i="19"/>
  <c r="AM10" i="19"/>
  <c r="AN10" i="19"/>
  <c r="AO10" i="19"/>
  <c r="AP10" i="19"/>
  <c r="AQ10" i="19"/>
  <c r="AR10" i="19"/>
  <c r="AS10" i="19"/>
  <c r="AJ11" i="19"/>
  <c r="AK11" i="19"/>
  <c r="AL11" i="19"/>
  <c r="AM11" i="19"/>
  <c r="AN11" i="19"/>
  <c r="AO11" i="19"/>
  <c r="AP11" i="19"/>
  <c r="AQ11" i="19"/>
  <c r="AR11" i="19"/>
  <c r="AS11" i="19"/>
  <c r="AJ12" i="19"/>
  <c r="AK12" i="19"/>
  <c r="AL12" i="19"/>
  <c r="AM12" i="19"/>
  <c r="AN12" i="19"/>
  <c r="AO12" i="19"/>
  <c r="AP12" i="19"/>
  <c r="AQ12" i="19"/>
  <c r="AR12" i="19"/>
  <c r="AS12" i="19"/>
  <c r="AJ13" i="19"/>
  <c r="AK13" i="19"/>
  <c r="AL13" i="19"/>
  <c r="AM13" i="19"/>
  <c r="AN13" i="19"/>
  <c r="AO13" i="19"/>
  <c r="AP13" i="19"/>
  <c r="AQ13" i="19"/>
  <c r="AR13" i="19"/>
  <c r="AS13" i="19"/>
  <c r="AJ14" i="19"/>
  <c r="AK14" i="19"/>
  <c r="AL14" i="19"/>
  <c r="AM14" i="19"/>
  <c r="AN14" i="19"/>
  <c r="AO14" i="19"/>
  <c r="AP14" i="19"/>
  <c r="AQ14" i="19"/>
  <c r="AR14" i="19"/>
  <c r="AS14" i="19"/>
  <c r="AJ15" i="19"/>
  <c r="AK15" i="19"/>
  <c r="AL15" i="19"/>
  <c r="AM15" i="19"/>
  <c r="AN15" i="19"/>
  <c r="AO15" i="19"/>
  <c r="AP15" i="19"/>
  <c r="AQ15" i="19"/>
  <c r="AR15" i="19"/>
  <c r="AS15" i="19"/>
  <c r="AJ16" i="19"/>
  <c r="AK16" i="19"/>
  <c r="AL16" i="19"/>
  <c r="AM16" i="19"/>
  <c r="AN16" i="19"/>
  <c r="AO16" i="19"/>
  <c r="AP16" i="19"/>
  <c r="AQ16" i="19"/>
  <c r="AR16" i="19"/>
  <c r="AS16" i="19"/>
  <c r="AJ17" i="19"/>
  <c r="AK17" i="19"/>
  <c r="AL17" i="19"/>
  <c r="AM17" i="19"/>
  <c r="AN17" i="19"/>
  <c r="AO17" i="19"/>
  <c r="AP17" i="19"/>
  <c r="AQ17" i="19"/>
  <c r="AR17" i="19"/>
  <c r="AS17" i="19"/>
  <c r="AJ18" i="19"/>
  <c r="AK18" i="19"/>
  <c r="AL18" i="19"/>
  <c r="AM18" i="19"/>
  <c r="AN18" i="19"/>
  <c r="AO18" i="19"/>
  <c r="AP18" i="19"/>
  <c r="AQ18" i="19"/>
  <c r="AR18" i="19"/>
  <c r="AS18" i="19"/>
  <c r="AJ19" i="19"/>
  <c r="AK19" i="19"/>
  <c r="AL19" i="19"/>
  <c r="AM19" i="19"/>
  <c r="AN19" i="19"/>
  <c r="AO19" i="19"/>
  <c r="AP19" i="19"/>
  <c r="AQ19" i="19"/>
  <c r="AR19" i="19"/>
  <c r="AS19" i="19"/>
  <c r="AJ20" i="19"/>
  <c r="AK20" i="19"/>
  <c r="AL20" i="19"/>
  <c r="AM20" i="19"/>
  <c r="AN20" i="19"/>
  <c r="AO20" i="19"/>
  <c r="AP20" i="19"/>
  <c r="AQ20" i="19"/>
  <c r="AR20" i="19"/>
  <c r="AS20" i="19"/>
  <c r="AJ21" i="19"/>
  <c r="AK21" i="19"/>
  <c r="AL21" i="19"/>
  <c r="AM21" i="19"/>
  <c r="AN21" i="19"/>
  <c r="AO21" i="19"/>
  <c r="AP21" i="19"/>
  <c r="AQ21" i="19"/>
  <c r="AR21" i="19"/>
  <c r="AS21" i="19"/>
  <c r="AJ22" i="19"/>
  <c r="AK22" i="19"/>
  <c r="AL22" i="19"/>
  <c r="AM22" i="19"/>
  <c r="AN22" i="19"/>
  <c r="AO22" i="19"/>
  <c r="AP22" i="19"/>
  <c r="AQ22" i="19"/>
  <c r="AR22" i="19"/>
  <c r="AS22" i="19"/>
  <c r="AJ23" i="19"/>
  <c r="AK23" i="19"/>
  <c r="AL23" i="19"/>
  <c r="AM23" i="19"/>
  <c r="AN23" i="19"/>
  <c r="AO23" i="19"/>
  <c r="AP23" i="19"/>
  <c r="AQ23" i="19"/>
  <c r="AR23" i="19"/>
  <c r="AS23" i="19"/>
  <c r="AJ24" i="19"/>
  <c r="AK24" i="19"/>
  <c r="AL24" i="19"/>
  <c r="AM24" i="19"/>
  <c r="AN24" i="19"/>
  <c r="AO24" i="19"/>
  <c r="AP24" i="19"/>
  <c r="AQ24" i="19"/>
  <c r="AR24" i="19"/>
  <c r="AS24" i="19"/>
  <c r="AJ25" i="19"/>
  <c r="AK25" i="19"/>
  <c r="AL25" i="19"/>
  <c r="AM25" i="19"/>
  <c r="AN25" i="19"/>
  <c r="AO25" i="19"/>
  <c r="AP25" i="19"/>
  <c r="AQ25" i="19"/>
  <c r="AR25" i="19"/>
  <c r="AS25" i="19"/>
  <c r="AJ26" i="19"/>
  <c r="AK26" i="19"/>
  <c r="AL26" i="19"/>
  <c r="AM26" i="19"/>
  <c r="AN26" i="19"/>
  <c r="AO26" i="19"/>
  <c r="AP26" i="19"/>
  <c r="AQ26" i="19"/>
  <c r="AR26" i="19"/>
  <c r="AS26" i="19"/>
  <c r="AJ27" i="19"/>
  <c r="AK27" i="19"/>
  <c r="AL27" i="19"/>
  <c r="AM27" i="19"/>
  <c r="AN27" i="19"/>
  <c r="AO27" i="19"/>
  <c r="AP27" i="19"/>
  <c r="AQ27" i="19"/>
  <c r="AR27" i="19"/>
  <c r="AS27" i="19"/>
  <c r="AJ28" i="19"/>
  <c r="AK28" i="19"/>
  <c r="AL28" i="19"/>
  <c r="AM28" i="19"/>
  <c r="AN28" i="19"/>
  <c r="AO28" i="19"/>
  <c r="AP28" i="19"/>
  <c r="AQ28" i="19"/>
  <c r="AR28" i="19"/>
  <c r="AS28" i="19"/>
  <c r="AJ29" i="19"/>
  <c r="AK29" i="19"/>
  <c r="AL29" i="19"/>
  <c r="AM29" i="19"/>
  <c r="AN29" i="19"/>
  <c r="AO29" i="19"/>
  <c r="AP29" i="19"/>
  <c r="AQ29" i="19"/>
  <c r="AR29" i="19"/>
  <c r="AS29" i="19"/>
  <c r="AJ30" i="19"/>
  <c r="AK30" i="19"/>
  <c r="AL30" i="19"/>
  <c r="AM30" i="19"/>
  <c r="AN30" i="19"/>
  <c r="AO30" i="19"/>
  <c r="AP30" i="19"/>
  <c r="AQ30" i="19"/>
  <c r="AR30" i="19"/>
  <c r="AS30" i="19"/>
  <c r="AJ31" i="19"/>
  <c r="AK31" i="19"/>
  <c r="AL31" i="19"/>
  <c r="AM31" i="19"/>
  <c r="AN31" i="19"/>
  <c r="AO31" i="19"/>
  <c r="AP31" i="19"/>
  <c r="AQ31" i="19"/>
  <c r="AR31" i="19"/>
  <c r="AS31" i="19"/>
  <c r="AJ32" i="19"/>
  <c r="AK32" i="19"/>
  <c r="AL32" i="19"/>
  <c r="AM32" i="19"/>
  <c r="AN32" i="19"/>
  <c r="AO32" i="19"/>
  <c r="AP32" i="19"/>
  <c r="AQ32" i="19"/>
  <c r="AR32" i="19"/>
  <c r="AS32" i="19"/>
  <c r="AJ33" i="19"/>
  <c r="AK33" i="19"/>
  <c r="AL33" i="19"/>
  <c r="AM33" i="19"/>
  <c r="AN33" i="19"/>
  <c r="AO33" i="19"/>
  <c r="AP33" i="19"/>
  <c r="AQ33" i="19"/>
  <c r="AR33" i="19"/>
  <c r="AS33" i="19"/>
  <c r="AJ34" i="19"/>
  <c r="AK34" i="19"/>
  <c r="AL34" i="19"/>
  <c r="AM34" i="19"/>
  <c r="AN34" i="19"/>
  <c r="AO34" i="19"/>
  <c r="AP34" i="19"/>
  <c r="AQ34" i="19"/>
  <c r="AR34" i="19"/>
  <c r="AS34" i="19"/>
  <c r="AJ35" i="19"/>
  <c r="AK35" i="19"/>
  <c r="AL35" i="19"/>
  <c r="AM35" i="19"/>
  <c r="AN35" i="19"/>
  <c r="AO35" i="19"/>
  <c r="AP35" i="19"/>
  <c r="AQ35" i="19"/>
  <c r="AR35" i="19"/>
  <c r="AS35" i="19"/>
  <c r="AJ36" i="19"/>
  <c r="AK36" i="19"/>
  <c r="AL36" i="19"/>
  <c r="AM36" i="19"/>
  <c r="AN36" i="19"/>
  <c r="AO36" i="19"/>
  <c r="AP36" i="19"/>
  <c r="AQ36" i="19"/>
  <c r="AR36" i="19"/>
  <c r="AS36" i="19"/>
  <c r="AJ37" i="19"/>
  <c r="AK37" i="19"/>
  <c r="AL37" i="19"/>
  <c r="AM37" i="19"/>
  <c r="AN37" i="19"/>
  <c r="AO37" i="19"/>
  <c r="AP37" i="19"/>
  <c r="AQ37" i="19"/>
  <c r="AR37" i="19"/>
  <c r="AS37" i="19"/>
  <c r="AJ38" i="19"/>
  <c r="AK38" i="19"/>
  <c r="AL38" i="19"/>
  <c r="AM38" i="19"/>
  <c r="AN38" i="19"/>
  <c r="AO38" i="19"/>
  <c r="AP38" i="19"/>
  <c r="AQ38" i="19"/>
  <c r="AR38" i="19"/>
  <c r="AS38" i="19"/>
  <c r="AJ39" i="19"/>
  <c r="AK39" i="19"/>
  <c r="AL39" i="19"/>
  <c r="AM39" i="19"/>
  <c r="AN39" i="19"/>
  <c r="AO39" i="19"/>
  <c r="AP39" i="19"/>
  <c r="AQ39" i="19"/>
  <c r="AR39" i="19"/>
  <c r="AS39" i="19"/>
  <c r="AJ40" i="19"/>
  <c r="AK40" i="19"/>
  <c r="AL40" i="19"/>
  <c r="AM40" i="19"/>
  <c r="AN40" i="19"/>
  <c r="AO40" i="19"/>
  <c r="AP40" i="19"/>
  <c r="AQ40" i="19"/>
  <c r="AR40" i="19"/>
  <c r="AS40" i="19"/>
  <c r="AJ41" i="19"/>
  <c r="AK41" i="19"/>
  <c r="AL41" i="19"/>
  <c r="AM41" i="19"/>
  <c r="AN41" i="19"/>
  <c r="AO41" i="19"/>
  <c r="AP41" i="19"/>
  <c r="AQ41" i="19"/>
  <c r="AR41" i="19"/>
  <c r="AS41" i="19"/>
  <c r="AJ42" i="19"/>
  <c r="AK42" i="19"/>
  <c r="AL42" i="19"/>
  <c r="AM42" i="19"/>
  <c r="AN42" i="19"/>
  <c r="AO42" i="19"/>
  <c r="AP42" i="19"/>
  <c r="AQ42" i="19"/>
  <c r="AR42" i="19"/>
  <c r="AS42" i="19"/>
  <c r="AJ43" i="19"/>
  <c r="AK43" i="19"/>
  <c r="AL43" i="19"/>
  <c r="AM43" i="19"/>
  <c r="AN43" i="19"/>
  <c r="AO43" i="19"/>
  <c r="AP43" i="19"/>
  <c r="AQ43" i="19"/>
  <c r="AR43" i="19"/>
  <c r="AS43" i="19"/>
  <c r="AJ44" i="19"/>
  <c r="AK44" i="19"/>
  <c r="AL44" i="19"/>
  <c r="AM44" i="19"/>
  <c r="AN44" i="19"/>
  <c r="AO44" i="19"/>
  <c r="AP44" i="19"/>
  <c r="AQ44" i="19"/>
  <c r="AR44" i="19"/>
  <c r="AS44" i="19"/>
  <c r="AJ45" i="19"/>
  <c r="AK45" i="19"/>
  <c r="AL45" i="19"/>
  <c r="AM45" i="19"/>
  <c r="AN45" i="19"/>
  <c r="AO45" i="19"/>
  <c r="AP45" i="19"/>
  <c r="AQ45" i="19"/>
  <c r="AR45" i="19"/>
  <c r="AS45" i="19"/>
  <c r="AJ46" i="19"/>
  <c r="AK46" i="19"/>
  <c r="AL46" i="19"/>
  <c r="AM46" i="19"/>
  <c r="AN46" i="19"/>
  <c r="AO46" i="19"/>
  <c r="AP46" i="19"/>
  <c r="AQ46" i="19"/>
  <c r="AR46" i="19"/>
  <c r="AS46" i="19"/>
  <c r="AJ47" i="19"/>
  <c r="AK47" i="19"/>
  <c r="AL47" i="19"/>
  <c r="AM47" i="19"/>
  <c r="AN47" i="19"/>
  <c r="AO47" i="19"/>
  <c r="AP47" i="19"/>
  <c r="AQ47" i="19"/>
  <c r="AR47" i="19"/>
  <c r="AS47" i="19"/>
  <c r="AJ48" i="19"/>
  <c r="AK48" i="19"/>
  <c r="AL48" i="19"/>
  <c r="AM48" i="19"/>
  <c r="AN48" i="19"/>
  <c r="AO48" i="19"/>
  <c r="AP48" i="19"/>
  <c r="AQ48" i="19"/>
  <c r="AR48" i="19"/>
  <c r="AS48" i="19"/>
  <c r="AJ49" i="19"/>
  <c r="AK49" i="19"/>
  <c r="AL49" i="19"/>
  <c r="AM49" i="19"/>
  <c r="AN49" i="19"/>
  <c r="AO49" i="19"/>
  <c r="AP49" i="19"/>
  <c r="AQ49" i="19"/>
  <c r="AR49" i="19"/>
  <c r="AS49" i="19"/>
  <c r="AJ50" i="19"/>
  <c r="AK50" i="19"/>
  <c r="AL50" i="19"/>
  <c r="AM50" i="19"/>
  <c r="AN50" i="19"/>
  <c r="AO50" i="19"/>
  <c r="AP50" i="19"/>
  <c r="AQ50" i="19"/>
  <c r="AR50" i="19"/>
  <c r="AS50" i="19"/>
  <c r="AJ51" i="19"/>
  <c r="AK51" i="19"/>
  <c r="AL51" i="19"/>
  <c r="AM51" i="19"/>
  <c r="AN51" i="19"/>
  <c r="AO51" i="19"/>
  <c r="AP51" i="19"/>
  <c r="AQ51" i="19"/>
  <c r="AR51" i="19"/>
  <c r="AS51" i="19"/>
  <c r="AJ52" i="19"/>
  <c r="AK52" i="19"/>
  <c r="AL52" i="19"/>
  <c r="AM52" i="19"/>
  <c r="AN52" i="19"/>
  <c r="AO52" i="19"/>
  <c r="AP52" i="19"/>
  <c r="AQ52" i="19"/>
  <c r="AR52" i="19"/>
  <c r="AS52" i="19"/>
  <c r="AJ53" i="19"/>
  <c r="AK53" i="19"/>
  <c r="AL53" i="19"/>
  <c r="AM53" i="19"/>
  <c r="AN53" i="19"/>
  <c r="AO53" i="19"/>
  <c r="AP53" i="19"/>
  <c r="AQ53" i="19"/>
  <c r="AR53" i="19"/>
  <c r="AS53" i="19"/>
  <c r="AJ54" i="19"/>
  <c r="AK54" i="19"/>
  <c r="AL54" i="19"/>
  <c r="AM54" i="19"/>
  <c r="AN54" i="19"/>
  <c r="AO54" i="19"/>
  <c r="AP54" i="19"/>
  <c r="AQ54" i="19"/>
  <c r="AR54" i="19"/>
  <c r="AS54" i="19"/>
  <c r="AJ55" i="19"/>
  <c r="AK55" i="19"/>
  <c r="AL55" i="19"/>
  <c r="AM55" i="19"/>
  <c r="AN55" i="19"/>
  <c r="AO55" i="19"/>
  <c r="AP55" i="19"/>
  <c r="AQ55" i="19"/>
  <c r="AR55" i="19"/>
  <c r="AS55" i="19"/>
  <c r="AJ56" i="19"/>
  <c r="AK56" i="19"/>
  <c r="AL56" i="19"/>
  <c r="AM56" i="19"/>
  <c r="AN56" i="19"/>
  <c r="AO56" i="19"/>
  <c r="AP56" i="19"/>
  <c r="AQ56" i="19"/>
  <c r="AR56" i="19"/>
  <c r="AS56" i="19"/>
  <c r="AJ57" i="19"/>
  <c r="AK57" i="19"/>
  <c r="AL57" i="19"/>
  <c r="AM57" i="19"/>
  <c r="AN57" i="19"/>
  <c r="AO57" i="19"/>
  <c r="AP57" i="19"/>
  <c r="AQ57" i="19"/>
  <c r="AR57" i="19"/>
  <c r="AS57" i="19"/>
  <c r="AJ58" i="19"/>
  <c r="AK58" i="19"/>
  <c r="AL58" i="19"/>
  <c r="AM58" i="19"/>
  <c r="AN58" i="19"/>
  <c r="AO58" i="19"/>
  <c r="AP58" i="19"/>
  <c r="AQ58" i="19"/>
  <c r="AR58" i="19"/>
  <c r="AS58" i="19"/>
  <c r="AJ59" i="19"/>
  <c r="AK59" i="19"/>
  <c r="AL59" i="19"/>
  <c r="AM59" i="19"/>
  <c r="AN59" i="19"/>
  <c r="AO59" i="19"/>
  <c r="AP59" i="19"/>
  <c r="AQ59" i="19"/>
  <c r="AR59" i="19"/>
  <c r="AS59" i="19"/>
  <c r="AJ60" i="19"/>
  <c r="AK60" i="19"/>
  <c r="AL60" i="19"/>
  <c r="AM60" i="19"/>
  <c r="AN60" i="19"/>
  <c r="AO60" i="19"/>
  <c r="AP60" i="19"/>
  <c r="AQ60" i="19"/>
  <c r="AR60" i="19"/>
  <c r="AS60" i="19"/>
  <c r="AJ61" i="19"/>
  <c r="AK61" i="19"/>
  <c r="AL61" i="19"/>
  <c r="AM61" i="19"/>
  <c r="AN61" i="19"/>
  <c r="AO61" i="19"/>
  <c r="AP61" i="19"/>
  <c r="AQ61" i="19"/>
  <c r="AR61" i="19"/>
  <c r="AS61" i="19"/>
  <c r="AJ62" i="19"/>
  <c r="AK62" i="19"/>
  <c r="AL62" i="19"/>
  <c r="AM62" i="19"/>
  <c r="AN62" i="19"/>
  <c r="AO62" i="19"/>
  <c r="AP62" i="19"/>
  <c r="AQ62" i="19"/>
  <c r="AR62" i="19"/>
  <c r="AS62" i="19"/>
  <c r="AJ63" i="19"/>
  <c r="AK63" i="19"/>
  <c r="AL63" i="19"/>
  <c r="AM63" i="19"/>
  <c r="AN63" i="19"/>
  <c r="AO63" i="19"/>
  <c r="AP63" i="19"/>
  <c r="AQ63" i="19"/>
  <c r="AR63" i="19"/>
  <c r="AS63" i="19"/>
  <c r="AJ64" i="19"/>
  <c r="AK64" i="19"/>
  <c r="AL64" i="19"/>
  <c r="AM64" i="19"/>
  <c r="AN64" i="19"/>
  <c r="AO64" i="19"/>
  <c r="AP64" i="19"/>
  <c r="AQ64" i="19"/>
  <c r="AR64" i="19"/>
  <c r="AS64" i="19"/>
  <c r="AJ65" i="19"/>
  <c r="AK65" i="19"/>
  <c r="AL65" i="19"/>
  <c r="AM65" i="19"/>
  <c r="AN65" i="19"/>
  <c r="AO65" i="19"/>
  <c r="AP65" i="19"/>
  <c r="AQ65" i="19"/>
  <c r="AR65" i="19"/>
  <c r="AS65" i="19"/>
  <c r="AJ66" i="19"/>
  <c r="AK66" i="19"/>
  <c r="AL66" i="19"/>
  <c r="AM66" i="19"/>
  <c r="AN66" i="19"/>
  <c r="AO66" i="19"/>
  <c r="AP66" i="19"/>
  <c r="AQ66" i="19"/>
  <c r="AR66" i="19"/>
  <c r="AS66" i="19"/>
  <c r="AJ67" i="19"/>
  <c r="AK67" i="19"/>
  <c r="AL67" i="19"/>
  <c r="AM67" i="19"/>
  <c r="AN67" i="19"/>
  <c r="AO67" i="19"/>
  <c r="AP67" i="19"/>
  <c r="AQ67" i="19"/>
  <c r="AR67" i="19"/>
  <c r="AS67" i="19"/>
  <c r="AJ68" i="19"/>
  <c r="AK68" i="19"/>
  <c r="AL68" i="19"/>
  <c r="AM68" i="19"/>
  <c r="AN68" i="19"/>
  <c r="AO68" i="19"/>
  <c r="AP68" i="19"/>
  <c r="AQ68" i="19"/>
  <c r="AR68" i="19"/>
  <c r="AS68" i="19"/>
  <c r="AJ69" i="19"/>
  <c r="AK69" i="19"/>
  <c r="AL69" i="19"/>
  <c r="AM69" i="19"/>
  <c r="AN69" i="19"/>
  <c r="AO69" i="19"/>
  <c r="AP69" i="19"/>
  <c r="AQ69" i="19"/>
  <c r="AR69" i="19"/>
  <c r="AS69" i="19"/>
  <c r="AJ70" i="19"/>
  <c r="AK70" i="19"/>
  <c r="AL70" i="19"/>
  <c r="AM70" i="19"/>
  <c r="AN70" i="19"/>
  <c r="AO70" i="19"/>
  <c r="AP70" i="19"/>
  <c r="AQ70" i="19"/>
  <c r="AR70" i="19"/>
  <c r="AS70" i="19"/>
  <c r="AJ71" i="19"/>
  <c r="AK71" i="19"/>
  <c r="AL71" i="19"/>
  <c r="AM71" i="19"/>
  <c r="AN71" i="19"/>
  <c r="AO71" i="19"/>
  <c r="AP71" i="19"/>
  <c r="AQ71" i="19"/>
  <c r="AR71" i="19"/>
  <c r="AS71" i="19"/>
  <c r="AJ72" i="19"/>
  <c r="AK72" i="19"/>
  <c r="AL72" i="19"/>
  <c r="AM72" i="19"/>
  <c r="AN72" i="19"/>
  <c r="AO72" i="19"/>
  <c r="AP72" i="19"/>
  <c r="AQ72" i="19"/>
  <c r="AR72" i="19"/>
  <c r="AS72" i="19"/>
  <c r="AJ73" i="19"/>
  <c r="AK73" i="19"/>
  <c r="AL73" i="19"/>
  <c r="AM73" i="19"/>
  <c r="AN73" i="19"/>
  <c r="AO73" i="19"/>
  <c r="AP73" i="19"/>
  <c r="AQ73" i="19"/>
  <c r="AR73" i="19"/>
  <c r="AS73" i="19"/>
  <c r="AJ74" i="19"/>
  <c r="AK74" i="19"/>
  <c r="AL74" i="19"/>
  <c r="AM74" i="19"/>
  <c r="AN74" i="19"/>
  <c r="AO74" i="19"/>
  <c r="AP74" i="19"/>
  <c r="AQ74" i="19"/>
  <c r="AR74" i="19"/>
  <c r="AS74" i="19"/>
  <c r="AJ75" i="19"/>
  <c r="AK75" i="19"/>
  <c r="AL75" i="19"/>
  <c r="AM75" i="19"/>
  <c r="AN75" i="19"/>
  <c r="AO75" i="19"/>
  <c r="AP75" i="19"/>
  <c r="AQ75" i="19"/>
  <c r="AR75" i="19"/>
  <c r="AS75" i="19"/>
  <c r="AJ76" i="19"/>
  <c r="AK76" i="19"/>
  <c r="AL76" i="19"/>
  <c r="AM76" i="19"/>
  <c r="AN76" i="19"/>
  <c r="AO76" i="19"/>
  <c r="AP76" i="19"/>
  <c r="AQ76" i="19"/>
  <c r="AR76" i="19"/>
  <c r="AS76" i="19"/>
  <c r="AJ77" i="19"/>
  <c r="AK77" i="19"/>
  <c r="AL77" i="19"/>
  <c r="AM77" i="19"/>
  <c r="AN77" i="19"/>
  <c r="AO77" i="19"/>
  <c r="AP77" i="19"/>
  <c r="AQ77" i="19"/>
  <c r="AR77" i="19"/>
  <c r="AS77" i="19"/>
  <c r="AJ78" i="19"/>
  <c r="AK78" i="19"/>
  <c r="AL78" i="19"/>
  <c r="AM78" i="19"/>
  <c r="AN78" i="19"/>
  <c r="AO78" i="19"/>
  <c r="AP78" i="19"/>
  <c r="AQ78" i="19"/>
  <c r="AR78" i="19"/>
  <c r="AS78" i="19"/>
  <c r="AJ79" i="19"/>
  <c r="AK79" i="19"/>
  <c r="AL79" i="19"/>
  <c r="AM79" i="19"/>
  <c r="AN79" i="19"/>
  <c r="AO79" i="19"/>
  <c r="AP79" i="19"/>
  <c r="AQ79" i="19"/>
  <c r="AR79" i="19"/>
  <c r="AS79" i="19"/>
  <c r="AJ80" i="19"/>
  <c r="AK80" i="19"/>
  <c r="AL80" i="19"/>
  <c r="AM80" i="19"/>
  <c r="AN80" i="19"/>
  <c r="AO80" i="19"/>
  <c r="AP80" i="19"/>
  <c r="AQ80" i="19"/>
  <c r="AR80" i="19"/>
  <c r="AS80" i="19"/>
  <c r="AJ81" i="19"/>
  <c r="AK81" i="19"/>
  <c r="AL81" i="19"/>
  <c r="AM81" i="19"/>
  <c r="AN81" i="19"/>
  <c r="AO81" i="19"/>
  <c r="AP81" i="19"/>
  <c r="AQ81" i="19"/>
  <c r="AR81" i="19"/>
  <c r="AS81" i="19"/>
  <c r="AJ82" i="19"/>
  <c r="AK82" i="19"/>
  <c r="AL82" i="19"/>
  <c r="AM82" i="19"/>
  <c r="AN82" i="19"/>
  <c r="AO82" i="19"/>
  <c r="AP82" i="19"/>
  <c r="AQ82" i="19"/>
  <c r="AR82" i="19"/>
  <c r="AS82" i="19"/>
  <c r="AJ83" i="19"/>
  <c r="AK83" i="19"/>
  <c r="AL83" i="19"/>
  <c r="AM83" i="19"/>
  <c r="AN83" i="19"/>
  <c r="AO83" i="19"/>
  <c r="AP83" i="19"/>
  <c r="AQ83" i="19"/>
  <c r="AR83" i="19"/>
  <c r="AS83" i="19"/>
  <c r="AJ84" i="19"/>
  <c r="AK84" i="19"/>
  <c r="AL84" i="19"/>
  <c r="AM84" i="19"/>
  <c r="AN84" i="19"/>
  <c r="AO84" i="19"/>
  <c r="AP84" i="19"/>
  <c r="AQ84" i="19"/>
  <c r="AR84" i="19"/>
  <c r="AS84" i="19"/>
  <c r="AJ85" i="19"/>
  <c r="AK85" i="19"/>
  <c r="AL85" i="19"/>
  <c r="AM85" i="19"/>
  <c r="AN85" i="19"/>
  <c r="AO85" i="19"/>
  <c r="AP85" i="19"/>
  <c r="AQ85" i="19"/>
  <c r="AR85" i="19"/>
  <c r="AS85" i="19"/>
  <c r="AJ86" i="19"/>
  <c r="AK86" i="19"/>
  <c r="AL86" i="19"/>
  <c r="AM86" i="19"/>
  <c r="AN86" i="19"/>
  <c r="AO86" i="19"/>
  <c r="AP86" i="19"/>
  <c r="AQ86" i="19"/>
  <c r="AR86" i="19"/>
  <c r="AS86" i="19"/>
  <c r="AJ87" i="19"/>
  <c r="AK87" i="19"/>
  <c r="AL87" i="19"/>
  <c r="AM87" i="19"/>
  <c r="AN87" i="19"/>
  <c r="AO87" i="19"/>
  <c r="AP87" i="19"/>
  <c r="AQ87" i="19"/>
  <c r="AR87" i="19"/>
  <c r="AS87" i="19"/>
  <c r="AJ88" i="19"/>
  <c r="AK88" i="19"/>
  <c r="AL88" i="19"/>
  <c r="AM88" i="19"/>
  <c r="AN88" i="19"/>
  <c r="AO88" i="19"/>
  <c r="AP88" i="19"/>
  <c r="AQ88" i="19"/>
  <c r="AR88" i="19"/>
  <c r="AS88" i="19"/>
  <c r="AJ89" i="19"/>
  <c r="AK89" i="19"/>
  <c r="AL89" i="19"/>
  <c r="AM89" i="19"/>
  <c r="AN89" i="19"/>
  <c r="AO89" i="19"/>
  <c r="AP89" i="19"/>
  <c r="AQ89" i="19"/>
  <c r="AR89" i="19"/>
  <c r="AS89" i="19"/>
  <c r="AJ90" i="19"/>
  <c r="AK90" i="19"/>
  <c r="AL90" i="19"/>
  <c r="AM90" i="19"/>
  <c r="AN90" i="19"/>
  <c r="AO90" i="19"/>
  <c r="AP90" i="19"/>
  <c r="AQ90" i="19"/>
  <c r="AR90" i="19"/>
  <c r="AS90" i="19"/>
  <c r="AJ91" i="19"/>
  <c r="AK91" i="19"/>
  <c r="AL91" i="19"/>
  <c r="AM91" i="19"/>
  <c r="AN91" i="19"/>
  <c r="AO91" i="19"/>
  <c r="AP91" i="19"/>
  <c r="AQ91" i="19"/>
  <c r="AR91" i="19"/>
  <c r="AS91" i="19"/>
  <c r="AJ92" i="19"/>
  <c r="AK92" i="19"/>
  <c r="AL92" i="19"/>
  <c r="AM92" i="19"/>
  <c r="AN92" i="19"/>
  <c r="AO92" i="19"/>
  <c r="AP92" i="19"/>
  <c r="AQ92" i="19"/>
  <c r="AR92" i="19"/>
  <c r="AS92" i="19"/>
  <c r="AJ93" i="19"/>
  <c r="AK93" i="19"/>
  <c r="AL93" i="19"/>
  <c r="AM93" i="19"/>
  <c r="AN93" i="19"/>
  <c r="AO93" i="19"/>
  <c r="AP93" i="19"/>
  <c r="AQ93" i="19"/>
  <c r="AR93" i="19"/>
  <c r="AS93" i="19"/>
  <c r="AJ94" i="19"/>
  <c r="AK94" i="19"/>
  <c r="AL94" i="19"/>
  <c r="AM94" i="19"/>
  <c r="AN94" i="19"/>
  <c r="AO94" i="19"/>
  <c r="AP94" i="19"/>
  <c r="AQ94" i="19"/>
  <c r="AR94" i="19"/>
  <c r="AS94" i="19"/>
  <c r="AJ95" i="19"/>
  <c r="AK95" i="19"/>
  <c r="AL95" i="19"/>
  <c r="AM95" i="19"/>
  <c r="AN95" i="19"/>
  <c r="AO95" i="19"/>
  <c r="AP95" i="19"/>
  <c r="AQ95" i="19"/>
  <c r="AR95" i="19"/>
  <c r="AS95" i="19"/>
  <c r="AJ96" i="19"/>
  <c r="AK96" i="19"/>
  <c r="AL96" i="19"/>
  <c r="AM96" i="19"/>
  <c r="AN96" i="19"/>
  <c r="AO96" i="19"/>
  <c r="AP96" i="19"/>
  <c r="AQ96" i="19"/>
  <c r="AR96" i="19"/>
  <c r="AS96" i="19"/>
  <c r="AJ97" i="19"/>
  <c r="AK97" i="19"/>
  <c r="AL97" i="19"/>
  <c r="AM97" i="19"/>
  <c r="AN97" i="19"/>
  <c r="AO97" i="19"/>
  <c r="AP97" i="19"/>
  <c r="AQ97" i="19"/>
  <c r="AR97" i="19"/>
  <c r="AS97" i="19"/>
  <c r="AJ98" i="19"/>
  <c r="AK98" i="19"/>
  <c r="AL98" i="19"/>
  <c r="AM98" i="19"/>
  <c r="AN98" i="19"/>
  <c r="AO98" i="19"/>
  <c r="AP98" i="19"/>
  <c r="AQ98" i="19"/>
  <c r="AR98" i="19"/>
  <c r="AS98" i="19"/>
  <c r="AJ99" i="19"/>
  <c r="AK99" i="19"/>
  <c r="AL99" i="19"/>
  <c r="AM99" i="19"/>
  <c r="AN99" i="19"/>
  <c r="AO99" i="19"/>
  <c r="AP99" i="19"/>
  <c r="AQ99" i="19"/>
  <c r="AR99" i="19"/>
  <c r="AS99" i="19"/>
  <c r="AJ100" i="19"/>
  <c r="AK100" i="19"/>
  <c r="AL100" i="19"/>
  <c r="AM100" i="19"/>
  <c r="AN100" i="19"/>
  <c r="AO100" i="19"/>
  <c r="AP100" i="19"/>
  <c r="AQ100" i="19"/>
  <c r="AR100" i="19"/>
  <c r="AS100" i="19"/>
  <c r="AJ101" i="19"/>
  <c r="AK101" i="19"/>
  <c r="AL101" i="19"/>
  <c r="AM101" i="19"/>
  <c r="AN101" i="19"/>
  <c r="AO101" i="19"/>
  <c r="AP101" i="19"/>
  <c r="AQ101" i="19"/>
  <c r="AR101" i="19"/>
  <c r="AS101" i="19"/>
  <c r="AJ102" i="19"/>
  <c r="AK102" i="19"/>
  <c r="AL102" i="19"/>
  <c r="AM102" i="19"/>
  <c r="AN102" i="19"/>
  <c r="AO102" i="19"/>
  <c r="AP102" i="19"/>
  <c r="AQ102" i="19"/>
  <c r="AR102" i="19"/>
  <c r="AS102" i="19"/>
  <c r="AJ103" i="19"/>
  <c r="AK103" i="19"/>
  <c r="AL103" i="19"/>
  <c r="AM103" i="19"/>
  <c r="AN103" i="19"/>
  <c r="AO103" i="19"/>
  <c r="AP103" i="19"/>
  <c r="AQ103" i="19"/>
  <c r="AR103" i="19"/>
  <c r="AS103" i="19"/>
  <c r="AJ104" i="19"/>
  <c r="AK104" i="19"/>
  <c r="AL104" i="19"/>
  <c r="AM104" i="19"/>
  <c r="AN104" i="19"/>
  <c r="AO104" i="19"/>
  <c r="AP104" i="19"/>
  <c r="AQ104" i="19"/>
  <c r="AR104" i="19"/>
  <c r="AS104" i="19"/>
  <c r="AE54" i="26"/>
  <c r="AE53" i="26"/>
  <c r="AE52" i="26"/>
  <c r="AE51" i="26"/>
  <c r="AE50" i="26"/>
  <c r="AE49" i="26"/>
  <c r="AE48" i="26"/>
  <c r="AE47" i="26"/>
  <c r="AE46" i="26"/>
  <c r="AE45" i="26"/>
  <c r="AE44" i="26"/>
  <c r="AE43" i="26"/>
  <c r="AE42" i="26"/>
  <c r="AE41" i="26"/>
  <c r="AE40" i="26"/>
  <c r="AE39" i="26"/>
  <c r="AE38" i="26"/>
  <c r="AE37" i="26"/>
  <c r="AE36" i="26"/>
  <c r="AE35" i="26"/>
  <c r="AE34" i="26"/>
  <c r="AE33" i="26"/>
  <c r="AE32" i="26"/>
  <c r="AE31" i="26"/>
  <c r="AE30" i="26"/>
  <c r="AE29" i="26"/>
  <c r="AE28" i="26"/>
  <c r="AE27" i="26"/>
  <c r="AE26" i="26"/>
  <c r="AE25" i="26"/>
  <c r="AE24" i="26"/>
  <c r="AE23" i="26"/>
  <c r="AE22" i="26"/>
  <c r="AE21" i="26"/>
  <c r="AE20" i="26"/>
  <c r="AE19" i="26"/>
  <c r="AE18" i="26"/>
  <c r="AE17" i="26"/>
  <c r="AE16" i="26"/>
  <c r="AE15" i="26"/>
  <c r="AE14" i="26"/>
  <c r="AE13" i="26"/>
  <c r="AE12" i="26"/>
  <c r="AE11" i="26"/>
  <c r="AE10" i="26"/>
  <c r="AE9" i="26"/>
  <c r="AE8" i="26"/>
  <c r="AE7" i="26"/>
  <c r="AE6" i="26"/>
  <c r="AE5" i="26"/>
  <c r="AE4" i="26"/>
  <c r="K3" i="26" l="1"/>
  <c r="L3" i="26"/>
  <c r="N3" i="26" s="1"/>
  <c r="M3" i="26"/>
  <c r="K4" i="26"/>
  <c r="L4" i="26"/>
  <c r="N4" i="26" s="1"/>
  <c r="AF4" i="26" s="1"/>
  <c r="M4" i="26"/>
  <c r="K5" i="26"/>
  <c r="M5" i="26"/>
  <c r="N5" i="26"/>
  <c r="AF5" i="26" s="1"/>
  <c r="K6" i="26"/>
  <c r="L6" i="26"/>
  <c r="N6" i="26" s="1"/>
  <c r="AF6" i="26" s="1"/>
  <c r="M6" i="26"/>
  <c r="K7" i="26"/>
  <c r="L7" i="26"/>
  <c r="N7" i="26" s="1"/>
  <c r="AF7" i="26" s="1"/>
  <c r="M7" i="26"/>
  <c r="K8" i="26"/>
  <c r="L8" i="26"/>
  <c r="N8" i="26" s="1"/>
  <c r="AF8" i="26" s="1"/>
  <c r="M8" i="26"/>
  <c r="K9" i="26"/>
  <c r="L9" i="26"/>
  <c r="N9" i="26" s="1"/>
  <c r="AF9" i="26" s="1"/>
  <c r="M9" i="26"/>
  <c r="K10" i="26"/>
  <c r="L10" i="26"/>
  <c r="N10" i="26" s="1"/>
  <c r="AF10" i="26" s="1"/>
  <c r="M10" i="26"/>
  <c r="K11" i="26"/>
  <c r="L11" i="26"/>
  <c r="N11" i="26" s="1"/>
  <c r="AF11" i="26" s="1"/>
  <c r="M11" i="26"/>
  <c r="K12" i="26"/>
  <c r="L12" i="26"/>
  <c r="N12" i="26" s="1"/>
  <c r="AF12" i="26" s="1"/>
  <c r="M12" i="26"/>
  <c r="K13" i="26"/>
  <c r="L13" i="26"/>
  <c r="N13" i="26" s="1"/>
  <c r="AF13" i="26" s="1"/>
  <c r="M13" i="26"/>
  <c r="K14" i="26"/>
  <c r="L14" i="26"/>
  <c r="N14" i="26" s="1"/>
  <c r="AF14" i="26" s="1"/>
  <c r="M14" i="26"/>
  <c r="K15" i="26"/>
  <c r="L15" i="26"/>
  <c r="N15" i="26" s="1"/>
  <c r="AF15" i="26" s="1"/>
  <c r="M15" i="26"/>
  <c r="K16" i="26"/>
  <c r="L16" i="26"/>
  <c r="N16" i="26" s="1"/>
  <c r="AF16" i="26" s="1"/>
  <c r="M16" i="26"/>
  <c r="K17" i="26"/>
  <c r="L17" i="26"/>
  <c r="N17" i="26" s="1"/>
  <c r="AF17" i="26" s="1"/>
  <c r="M17" i="26"/>
  <c r="K18" i="26"/>
  <c r="L18" i="26"/>
  <c r="N18" i="26" s="1"/>
  <c r="AF18" i="26" s="1"/>
  <c r="M18" i="26"/>
  <c r="K19" i="26"/>
  <c r="L19" i="26"/>
  <c r="N19" i="26" s="1"/>
  <c r="AF19" i="26" s="1"/>
  <c r="M19" i="26"/>
  <c r="K20" i="26"/>
  <c r="L20" i="26"/>
  <c r="N20" i="26" s="1"/>
  <c r="AF20" i="26" s="1"/>
  <c r="M20" i="26"/>
  <c r="K21" i="26"/>
  <c r="L21" i="26"/>
  <c r="N21" i="26" s="1"/>
  <c r="AF21" i="26" s="1"/>
  <c r="M21" i="26"/>
  <c r="K22" i="26"/>
  <c r="L22" i="26"/>
  <c r="N22" i="26" s="1"/>
  <c r="AF22" i="26" s="1"/>
  <c r="M22" i="26"/>
  <c r="K23" i="26"/>
  <c r="L23" i="26"/>
  <c r="N23" i="26" s="1"/>
  <c r="AF23" i="26" s="1"/>
  <c r="M23" i="26"/>
  <c r="K24" i="26"/>
  <c r="L24" i="26"/>
  <c r="N24" i="26" s="1"/>
  <c r="AF24" i="26" s="1"/>
  <c r="M24" i="26"/>
  <c r="K25" i="26"/>
  <c r="L25" i="26"/>
  <c r="N25" i="26" s="1"/>
  <c r="AF25" i="26" s="1"/>
  <c r="M25" i="26"/>
  <c r="K26" i="26"/>
  <c r="L26" i="26"/>
  <c r="N26" i="26" s="1"/>
  <c r="AF26" i="26" s="1"/>
  <c r="M26" i="26"/>
  <c r="K27" i="26"/>
  <c r="L27" i="26"/>
  <c r="N27" i="26" s="1"/>
  <c r="AF27" i="26" s="1"/>
  <c r="M27" i="26"/>
  <c r="K28" i="26"/>
  <c r="L28" i="26"/>
  <c r="N28" i="26" s="1"/>
  <c r="AF28" i="26" s="1"/>
  <c r="M28" i="26"/>
  <c r="K29" i="26"/>
  <c r="L29" i="26"/>
  <c r="N29" i="26" s="1"/>
  <c r="AF29" i="26" s="1"/>
  <c r="M29" i="26"/>
  <c r="K30" i="26"/>
  <c r="L30" i="26"/>
  <c r="N30" i="26" s="1"/>
  <c r="AF30" i="26" s="1"/>
  <c r="M30" i="26"/>
  <c r="K31" i="26"/>
  <c r="L31" i="26"/>
  <c r="N31" i="26" s="1"/>
  <c r="AF31" i="26" s="1"/>
  <c r="M31" i="26"/>
  <c r="K32" i="26"/>
  <c r="L32" i="26"/>
  <c r="N32" i="26" s="1"/>
  <c r="AF32" i="26" s="1"/>
  <c r="M32" i="26"/>
  <c r="K33" i="26"/>
  <c r="L33" i="26"/>
  <c r="N33" i="26" s="1"/>
  <c r="AF33" i="26" s="1"/>
  <c r="M33" i="26"/>
  <c r="K34" i="26"/>
  <c r="L34" i="26"/>
  <c r="N34" i="26" s="1"/>
  <c r="AF34" i="26" s="1"/>
  <c r="M34" i="26"/>
  <c r="K35" i="26"/>
  <c r="L35" i="26"/>
  <c r="N35" i="26" s="1"/>
  <c r="AF35" i="26" s="1"/>
  <c r="M35" i="26"/>
  <c r="K36" i="26"/>
  <c r="L36" i="26"/>
  <c r="N36" i="26" s="1"/>
  <c r="AF36" i="26" s="1"/>
  <c r="M36" i="26"/>
  <c r="K37" i="26"/>
  <c r="L37" i="26"/>
  <c r="N37" i="26" s="1"/>
  <c r="AF37" i="26" s="1"/>
  <c r="M37" i="26"/>
  <c r="K38" i="26"/>
  <c r="L38" i="26"/>
  <c r="N38" i="26" s="1"/>
  <c r="AF38" i="26" s="1"/>
  <c r="M38" i="26"/>
  <c r="K39" i="26"/>
  <c r="L39" i="26"/>
  <c r="N39" i="26" s="1"/>
  <c r="AF39" i="26" s="1"/>
  <c r="M39" i="26"/>
  <c r="K40" i="26"/>
  <c r="L40" i="26"/>
  <c r="N40" i="26" s="1"/>
  <c r="AF40" i="26" s="1"/>
  <c r="M40" i="26"/>
  <c r="K41" i="26"/>
  <c r="L41" i="26"/>
  <c r="N41" i="26" s="1"/>
  <c r="AF41" i="26" s="1"/>
  <c r="M41" i="26"/>
  <c r="K42" i="26"/>
  <c r="L42" i="26"/>
  <c r="N42" i="26" s="1"/>
  <c r="AF42" i="26" s="1"/>
  <c r="M42" i="26"/>
  <c r="K43" i="26"/>
  <c r="L43" i="26"/>
  <c r="N43" i="26" s="1"/>
  <c r="AF43" i="26" s="1"/>
  <c r="M43" i="26"/>
  <c r="K44" i="26"/>
  <c r="L44" i="26"/>
  <c r="N44" i="26" s="1"/>
  <c r="AF44" i="26" s="1"/>
  <c r="M44" i="26"/>
  <c r="K45" i="26"/>
  <c r="L45" i="26"/>
  <c r="N45" i="26" s="1"/>
  <c r="AF45" i="26" s="1"/>
  <c r="M45" i="26"/>
  <c r="K46" i="26"/>
  <c r="L46" i="26"/>
  <c r="N46" i="26" s="1"/>
  <c r="AF46" i="26" s="1"/>
  <c r="M46" i="26"/>
  <c r="K47" i="26"/>
  <c r="L47" i="26"/>
  <c r="N47" i="26" s="1"/>
  <c r="AF47" i="26" s="1"/>
  <c r="M47" i="26"/>
  <c r="K48" i="26"/>
  <c r="L48" i="26"/>
  <c r="N48" i="26" s="1"/>
  <c r="AF48" i="26" s="1"/>
  <c r="M48" i="26"/>
  <c r="K49" i="26"/>
  <c r="L49" i="26"/>
  <c r="N49" i="26" s="1"/>
  <c r="AF49" i="26" s="1"/>
  <c r="M49" i="26"/>
  <c r="K50" i="26"/>
  <c r="L50" i="26"/>
  <c r="N50" i="26" s="1"/>
  <c r="AF50" i="26" s="1"/>
  <c r="M50" i="26"/>
  <c r="K51" i="26"/>
  <c r="L51" i="26"/>
  <c r="N51" i="26" s="1"/>
  <c r="AF51" i="26" s="1"/>
  <c r="M51" i="26"/>
  <c r="K52" i="26"/>
  <c r="L52" i="26"/>
  <c r="N52" i="26" s="1"/>
  <c r="AF52" i="26" s="1"/>
  <c r="M52" i="26"/>
  <c r="K53" i="26"/>
  <c r="L53" i="26"/>
  <c r="N53" i="26" s="1"/>
  <c r="AF53" i="26" s="1"/>
  <c r="M53" i="26"/>
  <c r="K54" i="26"/>
  <c r="L54" i="26"/>
  <c r="N54" i="26" s="1"/>
  <c r="AF54" i="26" s="1"/>
  <c r="M54" i="26"/>
  <c r="K55" i="26"/>
  <c r="L55" i="26"/>
  <c r="N55" i="26" s="1"/>
  <c r="AF55" i="26" s="1"/>
  <c r="M55" i="26"/>
  <c r="K56" i="26"/>
  <c r="L56" i="26"/>
  <c r="N56" i="26" s="1"/>
  <c r="AF56" i="26" s="1"/>
  <c r="M56" i="26"/>
  <c r="K57" i="26"/>
  <c r="L57" i="26"/>
  <c r="N57" i="26" s="1"/>
  <c r="AF57" i="26" s="1"/>
  <c r="M57" i="26"/>
  <c r="K58" i="26"/>
  <c r="L58" i="26"/>
  <c r="N58" i="26" s="1"/>
  <c r="AF58" i="26" s="1"/>
  <c r="M58" i="26"/>
  <c r="K59" i="26"/>
  <c r="L59" i="26"/>
  <c r="N59" i="26" s="1"/>
  <c r="AF59" i="26" s="1"/>
  <c r="M59" i="26"/>
  <c r="K60" i="26"/>
  <c r="L60" i="26"/>
  <c r="N60" i="26" s="1"/>
  <c r="AF60" i="26" s="1"/>
  <c r="M60" i="26"/>
  <c r="K61" i="26"/>
  <c r="L61" i="26"/>
  <c r="N61" i="26" s="1"/>
  <c r="AF61" i="26" s="1"/>
  <c r="M61" i="26"/>
  <c r="K62" i="26"/>
  <c r="L62" i="26"/>
  <c r="N62" i="26" s="1"/>
  <c r="AF62" i="26" s="1"/>
  <c r="M62" i="26"/>
  <c r="K63" i="26"/>
  <c r="L63" i="26"/>
  <c r="N63" i="26" s="1"/>
  <c r="AF63" i="26" s="1"/>
  <c r="M63" i="26"/>
  <c r="K64" i="26"/>
  <c r="L64" i="26"/>
  <c r="N64" i="26" s="1"/>
  <c r="AF64" i="26" s="1"/>
  <c r="M64" i="26"/>
  <c r="K65" i="26"/>
  <c r="L65" i="26"/>
  <c r="N65" i="26" s="1"/>
  <c r="AF65" i="26" s="1"/>
  <c r="M65" i="26"/>
  <c r="K66" i="26"/>
  <c r="L66" i="26"/>
  <c r="N66" i="26" s="1"/>
  <c r="AF66" i="26" s="1"/>
  <c r="M66" i="26"/>
  <c r="K67" i="26"/>
  <c r="L67" i="26"/>
  <c r="N67" i="26" s="1"/>
  <c r="AF67" i="26" s="1"/>
  <c r="M67" i="26"/>
  <c r="K68" i="26"/>
  <c r="L68" i="26"/>
  <c r="N68" i="26" s="1"/>
  <c r="AF68" i="26" s="1"/>
  <c r="M68" i="26"/>
  <c r="K69" i="26"/>
  <c r="L69" i="26"/>
  <c r="N69" i="26" s="1"/>
  <c r="AF69" i="26" s="1"/>
  <c r="M69" i="26"/>
  <c r="K70" i="26"/>
  <c r="L70" i="26"/>
  <c r="N70" i="26" s="1"/>
  <c r="AF70" i="26" s="1"/>
  <c r="M70" i="26"/>
  <c r="K71" i="26"/>
  <c r="L71" i="26"/>
  <c r="N71" i="26" s="1"/>
  <c r="AF71" i="26" s="1"/>
  <c r="M71" i="26"/>
  <c r="K72" i="26"/>
  <c r="L72" i="26"/>
  <c r="N72" i="26" s="1"/>
  <c r="AF72" i="26" s="1"/>
  <c r="M72" i="26"/>
  <c r="K73" i="26"/>
  <c r="L73" i="26"/>
  <c r="N73" i="26" s="1"/>
  <c r="AF73" i="26" s="1"/>
  <c r="M73" i="26"/>
  <c r="K74" i="26"/>
  <c r="L74" i="26"/>
  <c r="N74" i="26" s="1"/>
  <c r="AF74" i="26" s="1"/>
  <c r="M74" i="26"/>
  <c r="K75" i="26"/>
  <c r="L75" i="26"/>
  <c r="N75" i="26" s="1"/>
  <c r="AF75" i="26" s="1"/>
  <c r="M75" i="26"/>
  <c r="K76" i="26"/>
  <c r="L76" i="26"/>
  <c r="N76" i="26" s="1"/>
  <c r="AF76" i="26" s="1"/>
  <c r="M76" i="26"/>
  <c r="K77" i="26"/>
  <c r="L77" i="26"/>
  <c r="N77" i="26" s="1"/>
  <c r="AF77" i="26" s="1"/>
  <c r="M77" i="26"/>
  <c r="K78" i="26"/>
  <c r="L78" i="26"/>
  <c r="N78" i="26" s="1"/>
  <c r="AF78" i="26" s="1"/>
  <c r="M78" i="26"/>
  <c r="K79" i="26"/>
  <c r="L79" i="26"/>
  <c r="N79" i="26" s="1"/>
  <c r="AF79" i="26" s="1"/>
  <c r="M79" i="26"/>
  <c r="K80" i="26"/>
  <c r="L80" i="26"/>
  <c r="N80" i="26" s="1"/>
  <c r="AF80" i="26" s="1"/>
  <c r="M80" i="26"/>
  <c r="K81" i="26"/>
  <c r="L81" i="26"/>
  <c r="N81" i="26" s="1"/>
  <c r="AF81" i="26" s="1"/>
  <c r="M81" i="26"/>
  <c r="K82" i="26"/>
  <c r="L82" i="26"/>
  <c r="N82" i="26" s="1"/>
  <c r="AF82" i="26" s="1"/>
  <c r="M82" i="26"/>
  <c r="K83" i="26"/>
  <c r="L83" i="26"/>
  <c r="N83" i="26" s="1"/>
  <c r="AF83" i="26" s="1"/>
  <c r="M83" i="26"/>
  <c r="K84" i="26"/>
  <c r="L84" i="26"/>
  <c r="N84" i="26" s="1"/>
  <c r="AF84" i="26" s="1"/>
  <c r="M84" i="26"/>
  <c r="K85" i="26"/>
  <c r="L85" i="26"/>
  <c r="N85" i="26" s="1"/>
  <c r="AF85" i="26" s="1"/>
  <c r="M85" i="26"/>
  <c r="K86" i="26"/>
  <c r="L86" i="26"/>
  <c r="N86" i="26" s="1"/>
  <c r="AF86" i="26" s="1"/>
  <c r="M86" i="26"/>
  <c r="M4" i="22" l="1"/>
  <c r="L4" i="22"/>
  <c r="M5" i="22"/>
  <c r="L5" i="22"/>
  <c r="L7" i="22"/>
  <c r="L6" i="22"/>
  <c r="P30" i="28" l="1"/>
  <c r="P31" i="28"/>
  <c r="P32" i="28"/>
  <c r="P34" i="28"/>
  <c r="P35" i="28"/>
  <c r="P36" i="28"/>
  <c r="P37" i="28"/>
  <c r="P39" i="28"/>
  <c r="P40" i="28"/>
  <c r="P44" i="28"/>
  <c r="P50" i="28"/>
  <c r="P52" i="28"/>
  <c r="P53" i="28"/>
  <c r="P54" i="28"/>
  <c r="P55" i="28"/>
  <c r="P56" i="28"/>
  <c r="P58" i="28"/>
  <c r="P59" i="28"/>
  <c r="P62" i="28"/>
  <c r="P64" i="28"/>
  <c r="P66" i="28"/>
  <c r="P69" i="28"/>
  <c r="P70" i="28"/>
  <c r="P72" i="28"/>
  <c r="P73" i="28"/>
  <c r="P74" i="28"/>
  <c r="P75" i="28"/>
  <c r="P76" i="28"/>
  <c r="P77" i="28"/>
  <c r="P78" i="28"/>
  <c r="P81" i="28"/>
  <c r="P83" i="28"/>
  <c r="P85" i="28"/>
  <c r="P87" i="28"/>
  <c r="P88" i="28"/>
  <c r="P89" i="28"/>
  <c r="P91" i="28"/>
  <c r="P92" i="28"/>
  <c r="P93" i="28"/>
  <c r="P94" i="28"/>
  <c r="P95" i="28"/>
  <c r="P96" i="28"/>
  <c r="P97" i="28"/>
  <c r="P100" i="28"/>
  <c r="P102" i="28"/>
  <c r="P104" i="28"/>
  <c r="P106" i="28"/>
  <c r="P107" i="28"/>
  <c r="P108" i="28"/>
  <c r="P109" i="28"/>
  <c r="P110" i="28"/>
  <c r="P111" i="28"/>
  <c r="P112" i="28"/>
  <c r="P113" i="28"/>
  <c r="P114" i="28"/>
  <c r="P115" i="28"/>
  <c r="P116" i="28"/>
  <c r="P119" i="28"/>
  <c r="P121" i="28"/>
  <c r="P123" i="28"/>
  <c r="P125" i="28"/>
  <c r="P126" i="28"/>
  <c r="P127" i="28"/>
  <c r="P128" i="28"/>
  <c r="P129" i="28"/>
  <c r="P130" i="28"/>
  <c r="P131" i="28"/>
  <c r="P132" i="28"/>
  <c r="P133" i="28"/>
  <c r="P134" i="28"/>
  <c r="P135" i="28"/>
  <c r="P137" i="28"/>
  <c r="P138" i="28"/>
  <c r="P140" i="28"/>
  <c r="P142" i="28"/>
  <c r="P144" i="28"/>
  <c r="P145" i="28"/>
  <c r="P146" i="28"/>
  <c r="P148" i="28"/>
  <c r="P149" i="28"/>
  <c r="P151" i="28"/>
  <c r="P152" i="28"/>
  <c r="P153" i="28"/>
  <c r="P157" i="28"/>
  <c r="P159" i="28"/>
  <c r="P161" i="28"/>
  <c r="P164" i="28"/>
  <c r="P165" i="28"/>
  <c r="P167" i="28"/>
  <c r="P168" i="28"/>
  <c r="P170" i="28"/>
  <c r="P171" i="28"/>
  <c r="P172" i="28"/>
  <c r="P176" i="28"/>
  <c r="P178" i="28"/>
  <c r="P180" i="28"/>
  <c r="P181" i="28"/>
  <c r="P183" i="28"/>
  <c r="P184" i="28"/>
  <c r="P186" i="28"/>
  <c r="P187" i="28"/>
  <c r="P188" i="28"/>
  <c r="P189" i="28"/>
  <c r="P190" i="28"/>
  <c r="P191" i="28"/>
  <c r="P192" i="28"/>
  <c r="P195" i="28"/>
  <c r="P197" i="28"/>
  <c r="P199" i="28"/>
  <c r="P200" i="28"/>
  <c r="P202" i="28"/>
  <c r="P203" i="28"/>
  <c r="P205" i="28"/>
  <c r="P206" i="28"/>
  <c r="P207" i="28"/>
  <c r="P208" i="28"/>
  <c r="P209" i="28"/>
  <c r="P210" i="28"/>
  <c r="P211" i="28"/>
  <c r="P213" i="28"/>
  <c r="P214" i="28"/>
  <c r="P215" i="28"/>
  <c r="P216" i="28"/>
  <c r="P217" i="28"/>
  <c r="P218" i="28"/>
  <c r="P219" i="28"/>
  <c r="P220" i="28"/>
  <c r="P221" i="28"/>
  <c r="P222" i="28"/>
  <c r="P224" i="28"/>
  <c r="P225" i="28"/>
  <c r="P226" i="28"/>
  <c r="P227" i="28"/>
  <c r="P228" i="28"/>
  <c r="P229" i="28"/>
  <c r="P230" i="28"/>
  <c r="P231" i="28"/>
  <c r="P232" i="28"/>
  <c r="P233" i="28"/>
  <c r="P235" i="28"/>
  <c r="P236" i="28"/>
  <c r="P237" i="28"/>
  <c r="P238" i="28"/>
  <c r="P239" i="28"/>
  <c r="P240" i="28"/>
  <c r="P241" i="28"/>
  <c r="P242" i="28"/>
  <c r="P243" i="28"/>
  <c r="P244" i="28"/>
  <c r="P246" i="28"/>
  <c r="P247" i="28"/>
  <c r="P248" i="28"/>
  <c r="P249" i="28"/>
  <c r="P250" i="28"/>
  <c r="P251" i="28"/>
  <c r="P252" i="28"/>
  <c r="P253" i="28"/>
  <c r="P254" i="28"/>
  <c r="P255" i="28"/>
  <c r="P257" i="28"/>
  <c r="P258" i="28"/>
  <c r="P259" i="28"/>
  <c r="P260" i="28"/>
  <c r="P261" i="28"/>
  <c r="P262" i="28"/>
  <c r="P263" i="28"/>
  <c r="P264" i="28"/>
  <c r="P265" i="28"/>
  <c r="P266" i="28"/>
  <c r="P268" i="28"/>
  <c r="P269" i="28"/>
  <c r="P270" i="28"/>
  <c r="P271" i="28"/>
  <c r="P272" i="28"/>
  <c r="P273" i="28"/>
  <c r="P274" i="28"/>
  <c r="P275" i="28"/>
  <c r="P276" i="28"/>
  <c r="P277" i="28"/>
  <c r="P279" i="28"/>
  <c r="P280" i="28"/>
  <c r="P281" i="28"/>
  <c r="P282" i="28"/>
  <c r="P283" i="28"/>
  <c r="P284" i="28"/>
  <c r="P285" i="28"/>
  <c r="P286" i="28"/>
  <c r="P287" i="28"/>
  <c r="P288" i="28"/>
  <c r="P290" i="28"/>
  <c r="P291" i="28"/>
  <c r="P292" i="28"/>
  <c r="P293" i="28"/>
  <c r="P294" i="28"/>
  <c r="P295" i="28"/>
  <c r="P296" i="28"/>
  <c r="P297" i="28"/>
  <c r="P298" i="28"/>
  <c r="P299" i="28"/>
  <c r="P301" i="28"/>
  <c r="P302" i="28"/>
  <c r="P303" i="28"/>
  <c r="P304" i="28"/>
  <c r="P305" i="28"/>
  <c r="P306" i="28"/>
  <c r="P307" i="28"/>
  <c r="P308" i="28"/>
  <c r="P309" i="28"/>
  <c r="P310" i="28"/>
  <c r="P312" i="28"/>
  <c r="P313" i="28"/>
  <c r="P314" i="28"/>
  <c r="P315" i="28"/>
  <c r="P316" i="28"/>
  <c r="P317" i="28"/>
  <c r="P318" i="28"/>
  <c r="P319" i="28"/>
  <c r="P320" i="28"/>
  <c r="P321" i="28"/>
  <c r="P323" i="28"/>
  <c r="P324" i="28"/>
  <c r="P325" i="28"/>
  <c r="P326" i="28"/>
  <c r="P327" i="28"/>
  <c r="P328" i="28"/>
  <c r="P329" i="28"/>
  <c r="P330" i="28"/>
  <c r="P331" i="28"/>
  <c r="P332" i="28"/>
  <c r="P334" i="28"/>
  <c r="P335" i="28"/>
  <c r="P336" i="28"/>
  <c r="P337" i="28"/>
  <c r="P338" i="28"/>
  <c r="P339" i="28"/>
  <c r="P340" i="28"/>
  <c r="P341" i="28"/>
  <c r="P342" i="28"/>
  <c r="P343" i="28"/>
  <c r="P345" i="28"/>
  <c r="P346" i="28"/>
  <c r="P347" i="28"/>
  <c r="P348" i="28"/>
  <c r="P349" i="28"/>
  <c r="P350" i="28"/>
  <c r="P351" i="28"/>
  <c r="P352" i="28"/>
  <c r="P353" i="28"/>
  <c r="P354" i="28"/>
  <c r="P356" i="28"/>
  <c r="P357" i="28"/>
  <c r="P358" i="28"/>
  <c r="P359" i="28"/>
  <c r="P360" i="28"/>
  <c r="P361" i="28"/>
  <c r="P362" i="28"/>
  <c r="P363" i="28"/>
  <c r="P364" i="28"/>
  <c r="P365" i="28"/>
  <c r="P367" i="28"/>
  <c r="P368" i="28"/>
  <c r="P369" i="28"/>
  <c r="P370" i="28"/>
  <c r="P371" i="28"/>
  <c r="P372" i="28"/>
  <c r="P373" i="28"/>
  <c r="P374" i="28"/>
  <c r="P375" i="28"/>
  <c r="P376" i="28"/>
  <c r="P378" i="28"/>
  <c r="P379" i="28"/>
  <c r="P380" i="28"/>
  <c r="P381" i="28"/>
  <c r="P382" i="28"/>
  <c r="P383" i="28"/>
  <c r="P384" i="28"/>
  <c r="P385" i="28"/>
  <c r="P386" i="28"/>
  <c r="P387" i="28"/>
  <c r="P389" i="28"/>
  <c r="P390" i="28"/>
  <c r="P391" i="28"/>
  <c r="P392" i="28"/>
  <c r="P393" i="28"/>
  <c r="P394" i="28"/>
  <c r="P395" i="28"/>
  <c r="P396" i="28"/>
  <c r="P397" i="28"/>
  <c r="P398" i="28"/>
  <c r="P400" i="28"/>
  <c r="P401" i="28"/>
  <c r="P402" i="28"/>
  <c r="P403" i="28"/>
  <c r="P404" i="28"/>
  <c r="P405" i="28"/>
  <c r="P406" i="28"/>
  <c r="P407" i="28"/>
  <c r="P408" i="28"/>
  <c r="P409" i="28"/>
  <c r="P411" i="28"/>
  <c r="P412" i="28"/>
  <c r="P413" i="28"/>
  <c r="P414" i="28"/>
  <c r="P415" i="28"/>
  <c r="P416" i="28"/>
  <c r="P417" i="28"/>
  <c r="P418" i="28"/>
  <c r="P419" i="28"/>
  <c r="P420" i="28"/>
  <c r="P422" i="28"/>
  <c r="P423" i="28"/>
  <c r="P424" i="28"/>
  <c r="P425" i="28"/>
  <c r="P426" i="28"/>
  <c r="P427" i="28"/>
  <c r="P428" i="28"/>
  <c r="P429" i="28"/>
  <c r="P430" i="28"/>
  <c r="P431" i="28"/>
  <c r="P433" i="28"/>
  <c r="P434" i="28"/>
  <c r="P435" i="28"/>
  <c r="P436" i="28"/>
  <c r="P437" i="28"/>
  <c r="P438" i="28"/>
  <c r="P439" i="28"/>
  <c r="P440" i="28"/>
  <c r="P441" i="28"/>
  <c r="P442" i="28"/>
  <c r="P444" i="28"/>
  <c r="P445" i="28"/>
  <c r="P446" i="28"/>
  <c r="P447" i="28"/>
  <c r="P448" i="28"/>
  <c r="P449" i="28"/>
  <c r="P450" i="28"/>
  <c r="P451" i="28"/>
  <c r="P452" i="28"/>
  <c r="P453" i="28"/>
  <c r="P455" i="28"/>
  <c r="P456" i="28"/>
  <c r="P457" i="28"/>
  <c r="P458" i="28"/>
  <c r="P459" i="28"/>
  <c r="P460" i="28"/>
  <c r="P461" i="28"/>
  <c r="P462" i="28"/>
  <c r="P463" i="28"/>
  <c r="P464" i="28"/>
  <c r="P466" i="28"/>
  <c r="P467" i="28"/>
  <c r="P468" i="28"/>
  <c r="P469" i="28"/>
  <c r="P470" i="28"/>
  <c r="P471" i="28"/>
  <c r="P472" i="28"/>
  <c r="P473" i="28"/>
  <c r="P474" i="28"/>
  <c r="P475" i="28"/>
  <c r="P477" i="28"/>
  <c r="P478" i="28"/>
  <c r="P479" i="28"/>
  <c r="P480" i="28"/>
  <c r="P481" i="28"/>
  <c r="P482" i="28"/>
  <c r="P483" i="28"/>
  <c r="P484" i="28"/>
  <c r="P485" i="28"/>
  <c r="P486" i="28"/>
  <c r="P488" i="28"/>
  <c r="P489" i="28"/>
  <c r="P490" i="28"/>
  <c r="P491" i="28"/>
  <c r="P492" i="28"/>
  <c r="P493" i="28"/>
  <c r="P494" i="28"/>
  <c r="P495" i="28"/>
  <c r="P496" i="28"/>
  <c r="P497" i="28"/>
  <c r="P499" i="28"/>
  <c r="P500" i="28"/>
  <c r="P501" i="28"/>
  <c r="P502" i="28"/>
  <c r="P503" i="28"/>
  <c r="P504" i="28"/>
  <c r="P505" i="28"/>
  <c r="P506" i="28"/>
  <c r="P507" i="28"/>
  <c r="P508" i="28"/>
  <c r="P510" i="28"/>
  <c r="P511" i="28"/>
  <c r="P512" i="28"/>
  <c r="P513" i="28"/>
  <c r="P514" i="28"/>
  <c r="P515" i="28"/>
  <c r="P516" i="28"/>
  <c r="P517" i="28"/>
  <c r="P518" i="28"/>
  <c r="P519" i="28"/>
  <c r="P521" i="28"/>
  <c r="P522" i="28"/>
  <c r="P523" i="28"/>
  <c r="P524" i="28"/>
  <c r="P525" i="28"/>
  <c r="P526" i="28"/>
  <c r="P527" i="28"/>
  <c r="P528" i="28"/>
  <c r="P529" i="28"/>
  <c r="P530" i="28"/>
  <c r="P532" i="28"/>
  <c r="P533" i="28"/>
  <c r="P534" i="28"/>
  <c r="P535" i="28"/>
  <c r="P536" i="28"/>
  <c r="P537" i="28"/>
  <c r="P538" i="28"/>
  <c r="P539" i="28"/>
  <c r="P540" i="28"/>
  <c r="P541" i="28"/>
  <c r="P543" i="28"/>
  <c r="P544" i="28"/>
  <c r="P545" i="28"/>
  <c r="P546" i="28"/>
  <c r="P547" i="28"/>
  <c r="P548" i="28"/>
  <c r="P549" i="28"/>
  <c r="P550" i="28"/>
  <c r="P551" i="28"/>
  <c r="P552" i="28"/>
  <c r="P554" i="28"/>
  <c r="P555" i="28"/>
  <c r="P556" i="28"/>
  <c r="P557" i="28"/>
  <c r="P558" i="28"/>
  <c r="P559" i="28"/>
  <c r="P560" i="28"/>
  <c r="P561" i="28"/>
  <c r="P562" i="28"/>
  <c r="P563" i="28"/>
  <c r="P565" i="28"/>
  <c r="P566" i="28"/>
  <c r="P567" i="28"/>
  <c r="P568" i="28"/>
  <c r="P569" i="28"/>
  <c r="P570" i="28"/>
  <c r="P571" i="28"/>
  <c r="P572" i="28"/>
  <c r="P573" i="28"/>
  <c r="P574" i="28"/>
  <c r="P576" i="28"/>
  <c r="P577" i="28"/>
  <c r="P578" i="28"/>
  <c r="P579" i="28"/>
  <c r="P580" i="28"/>
  <c r="P581" i="28"/>
  <c r="P582" i="28"/>
  <c r="P583" i="28"/>
  <c r="P584" i="28"/>
  <c r="P585" i="28"/>
  <c r="P587" i="28"/>
  <c r="P588" i="28"/>
  <c r="P589" i="28"/>
  <c r="P590" i="28"/>
  <c r="P591" i="28"/>
  <c r="P592" i="28"/>
  <c r="P593" i="28"/>
  <c r="P594" i="28"/>
  <c r="P595" i="28"/>
  <c r="P596" i="28"/>
  <c r="P598" i="28"/>
  <c r="P599" i="28"/>
  <c r="P600" i="28"/>
  <c r="P601" i="28"/>
  <c r="P602" i="28"/>
  <c r="P603" i="28"/>
  <c r="P604" i="28"/>
  <c r="P605" i="28"/>
  <c r="P606" i="28"/>
  <c r="P607" i="28"/>
  <c r="P609" i="28"/>
  <c r="P610" i="28"/>
  <c r="P611" i="28"/>
  <c r="P612" i="28"/>
  <c r="P613" i="28"/>
  <c r="P614" i="28"/>
  <c r="P615" i="28"/>
  <c r="P616" i="28"/>
  <c r="P617" i="28"/>
  <c r="P618" i="28"/>
  <c r="P620" i="28"/>
  <c r="P621" i="28"/>
  <c r="P622" i="28"/>
  <c r="P623" i="28"/>
  <c r="P624" i="28"/>
  <c r="P625" i="28"/>
  <c r="P626" i="28"/>
  <c r="P627" i="28"/>
  <c r="P628" i="28"/>
  <c r="P629" i="28"/>
  <c r="P631" i="28"/>
  <c r="P632" i="28"/>
  <c r="P633" i="28"/>
  <c r="P634" i="28"/>
  <c r="P635" i="28"/>
  <c r="P636" i="28"/>
  <c r="P637" i="28"/>
  <c r="P638" i="28"/>
  <c r="P639" i="28"/>
  <c r="P640" i="28"/>
  <c r="P642" i="28"/>
  <c r="P643" i="28"/>
  <c r="P644" i="28"/>
  <c r="P645" i="28"/>
  <c r="P646" i="28"/>
  <c r="P647" i="28"/>
  <c r="P648" i="28"/>
  <c r="P649" i="28"/>
  <c r="P650" i="28"/>
  <c r="P651" i="28"/>
  <c r="P653" i="28"/>
  <c r="P654" i="28"/>
  <c r="P655" i="28"/>
  <c r="P656" i="28"/>
  <c r="P657" i="28"/>
  <c r="P658" i="28"/>
  <c r="P659" i="28"/>
  <c r="P660" i="28"/>
  <c r="P661" i="28"/>
  <c r="P662" i="28"/>
  <c r="P664" i="28"/>
  <c r="P665" i="28"/>
  <c r="P666" i="28"/>
  <c r="P667" i="28"/>
  <c r="P668" i="28"/>
  <c r="P669" i="28"/>
  <c r="P670" i="28"/>
  <c r="P671" i="28"/>
  <c r="P672" i="28"/>
  <c r="P673" i="28"/>
  <c r="P675" i="28"/>
  <c r="P676" i="28"/>
  <c r="P677" i="28"/>
  <c r="P678" i="28"/>
  <c r="P679" i="28"/>
  <c r="P680" i="28"/>
  <c r="P681" i="28"/>
  <c r="P682" i="28"/>
  <c r="P683" i="28"/>
  <c r="P684" i="28"/>
  <c r="P686" i="28"/>
  <c r="P687" i="28"/>
  <c r="P688" i="28"/>
  <c r="P689" i="28"/>
  <c r="P690" i="28"/>
  <c r="P691" i="28"/>
  <c r="P692" i="28"/>
  <c r="P693" i="28"/>
  <c r="P694" i="28"/>
  <c r="P695" i="28"/>
  <c r="P697" i="28"/>
  <c r="P698" i="28"/>
  <c r="P699" i="28"/>
  <c r="P700" i="28"/>
  <c r="P701" i="28"/>
  <c r="P702" i="28"/>
  <c r="P703" i="28"/>
  <c r="P704" i="28"/>
  <c r="P705" i="28"/>
  <c r="P706" i="28"/>
  <c r="P708" i="28"/>
  <c r="P709" i="28"/>
  <c r="P710" i="28"/>
  <c r="P711" i="28"/>
  <c r="P712" i="28"/>
  <c r="P713" i="28"/>
  <c r="P714" i="28"/>
  <c r="P715" i="28"/>
  <c r="P716" i="28"/>
  <c r="P717" i="28"/>
  <c r="P719" i="28"/>
  <c r="P720" i="28"/>
  <c r="P721" i="28"/>
  <c r="P722" i="28"/>
  <c r="P723" i="28"/>
  <c r="P724" i="28"/>
  <c r="P725" i="28"/>
  <c r="P726" i="28"/>
  <c r="P727" i="28"/>
  <c r="P728" i="28"/>
  <c r="P730" i="28"/>
  <c r="P731" i="28"/>
  <c r="P732" i="28"/>
  <c r="P733" i="28"/>
  <c r="P734" i="28"/>
  <c r="P735" i="28"/>
  <c r="P736" i="28"/>
  <c r="P737" i="28"/>
  <c r="P738" i="28"/>
  <c r="P739" i="28"/>
  <c r="P741" i="28"/>
  <c r="P742" i="28"/>
  <c r="P743" i="28"/>
  <c r="P744" i="28"/>
  <c r="P745" i="28"/>
  <c r="P746" i="28"/>
  <c r="P747" i="28"/>
  <c r="P748" i="28"/>
  <c r="P749" i="28"/>
  <c r="P750" i="28"/>
  <c r="P752" i="28"/>
  <c r="P753" i="28"/>
  <c r="P754" i="28"/>
  <c r="P755" i="28"/>
  <c r="P756" i="28"/>
  <c r="P757" i="28"/>
  <c r="P758" i="28"/>
  <c r="P759" i="28"/>
  <c r="P760" i="28"/>
  <c r="P761" i="28"/>
  <c r="P763" i="28"/>
  <c r="P764" i="28"/>
  <c r="P765" i="28"/>
  <c r="P766" i="28"/>
  <c r="P767" i="28"/>
  <c r="P768" i="28"/>
  <c r="P769" i="28"/>
  <c r="P770" i="28"/>
  <c r="P771" i="28"/>
  <c r="P772" i="28"/>
  <c r="P774" i="28"/>
  <c r="P775" i="28"/>
  <c r="P776" i="28"/>
  <c r="P777" i="28"/>
  <c r="P778" i="28"/>
  <c r="P779" i="28"/>
  <c r="P780" i="28"/>
  <c r="P781" i="28"/>
  <c r="P782" i="28"/>
  <c r="P783" i="28"/>
  <c r="P785" i="28"/>
  <c r="P786" i="28"/>
  <c r="P787" i="28"/>
  <c r="P788" i="28"/>
  <c r="P789" i="28"/>
  <c r="P790" i="28"/>
  <c r="P791" i="28"/>
  <c r="P792" i="28"/>
  <c r="P793" i="28"/>
  <c r="P794" i="28"/>
  <c r="P796" i="28"/>
  <c r="P797" i="28"/>
  <c r="P798" i="28"/>
  <c r="P799" i="28"/>
  <c r="P800" i="28"/>
  <c r="P801" i="28"/>
  <c r="P802" i="28"/>
  <c r="P803" i="28"/>
  <c r="P804" i="28"/>
  <c r="P805" i="28"/>
  <c r="P807" i="28"/>
  <c r="P808" i="28"/>
  <c r="P809" i="28"/>
  <c r="P810" i="28"/>
  <c r="P811" i="28"/>
  <c r="P812" i="28"/>
  <c r="P813" i="28"/>
  <c r="P814" i="28"/>
  <c r="P815" i="28"/>
  <c r="P816" i="28"/>
  <c r="P818" i="28"/>
  <c r="P819" i="28"/>
  <c r="P820" i="28"/>
  <c r="P821" i="28"/>
  <c r="P822" i="28"/>
  <c r="P823" i="28"/>
  <c r="P824" i="28"/>
  <c r="P825" i="28"/>
  <c r="P826" i="28"/>
  <c r="P827" i="28"/>
  <c r="P829" i="28"/>
  <c r="P830" i="28"/>
  <c r="P831" i="28"/>
  <c r="P832" i="28"/>
  <c r="P833" i="28"/>
  <c r="P834" i="28"/>
  <c r="P835" i="28"/>
  <c r="P836" i="28"/>
  <c r="P837" i="28"/>
  <c r="P838" i="28"/>
  <c r="P840" i="28"/>
  <c r="P841" i="28"/>
  <c r="P842" i="28"/>
  <c r="P843" i="28"/>
  <c r="P844" i="28"/>
  <c r="P845" i="28"/>
  <c r="P846" i="28"/>
  <c r="P847" i="28"/>
  <c r="P848" i="28"/>
  <c r="P849" i="28"/>
  <c r="P851" i="28"/>
  <c r="P852" i="28"/>
  <c r="P853" i="28"/>
  <c r="P854" i="28"/>
  <c r="P855" i="28"/>
  <c r="P856" i="28"/>
  <c r="P857" i="28"/>
  <c r="P858" i="28"/>
  <c r="P859" i="28"/>
  <c r="P860" i="28"/>
  <c r="P862" i="28"/>
  <c r="P863" i="28"/>
  <c r="P864" i="28"/>
  <c r="P865" i="28"/>
  <c r="P866" i="28"/>
  <c r="P867" i="28"/>
  <c r="P868" i="28"/>
  <c r="P869" i="28"/>
  <c r="P870" i="28"/>
  <c r="P871" i="28"/>
  <c r="P873" i="28"/>
  <c r="P874" i="28"/>
  <c r="P875" i="28"/>
  <c r="P876" i="28"/>
  <c r="P877" i="28"/>
  <c r="P878" i="28"/>
  <c r="P879" i="28"/>
  <c r="P880" i="28"/>
  <c r="P881" i="28"/>
  <c r="P882" i="28"/>
  <c r="P884" i="28"/>
  <c r="P885" i="28"/>
  <c r="P886" i="28"/>
  <c r="P887" i="28"/>
  <c r="P888" i="28"/>
  <c r="P889" i="28"/>
  <c r="P890" i="28"/>
  <c r="P891" i="28"/>
  <c r="P892" i="28"/>
  <c r="P893" i="28"/>
  <c r="P895" i="28"/>
  <c r="P896" i="28"/>
  <c r="P897" i="28"/>
  <c r="P898" i="28"/>
  <c r="P899" i="28"/>
  <c r="P900" i="28"/>
  <c r="P901" i="28"/>
  <c r="P902" i="28"/>
  <c r="P903" i="28"/>
  <c r="P904" i="28"/>
  <c r="P906" i="28"/>
  <c r="P907" i="28"/>
  <c r="P908" i="28"/>
  <c r="P909" i="28"/>
  <c r="P910" i="28"/>
  <c r="P911" i="28"/>
  <c r="P912" i="28"/>
  <c r="P913" i="28"/>
  <c r="P914" i="28"/>
  <c r="P915" i="28"/>
  <c r="P917" i="28"/>
  <c r="P918" i="28"/>
  <c r="P919" i="28"/>
  <c r="P920" i="28"/>
  <c r="P921" i="28"/>
  <c r="P922" i="28"/>
  <c r="P923" i="28"/>
  <c r="P924" i="28"/>
  <c r="P925" i="28"/>
  <c r="P926" i="28"/>
  <c r="P928" i="28"/>
  <c r="P929" i="28"/>
  <c r="P930" i="28"/>
  <c r="P931" i="28"/>
  <c r="P932" i="28"/>
  <c r="P933" i="28"/>
  <c r="P934" i="28"/>
  <c r="P935" i="28"/>
  <c r="P936" i="28"/>
  <c r="P937" i="28"/>
  <c r="P939" i="28"/>
  <c r="P940" i="28"/>
  <c r="P941" i="28"/>
  <c r="P942" i="28"/>
  <c r="P943" i="28"/>
  <c r="P944" i="28"/>
  <c r="P945" i="28"/>
  <c r="P946" i="28"/>
  <c r="P947" i="28"/>
  <c r="P948" i="28"/>
  <c r="P950" i="28"/>
  <c r="P951" i="28"/>
  <c r="P952" i="28"/>
  <c r="P953" i="28"/>
  <c r="P954" i="28"/>
  <c r="P955" i="28"/>
  <c r="P956" i="28"/>
  <c r="P957" i="28"/>
  <c r="P958" i="28"/>
  <c r="P959" i="28"/>
  <c r="P961" i="28"/>
  <c r="P962" i="28"/>
  <c r="P963" i="28"/>
  <c r="P964" i="28"/>
  <c r="P965" i="28"/>
  <c r="P966" i="28"/>
  <c r="P967" i="28"/>
  <c r="P968" i="28"/>
  <c r="P969" i="28"/>
  <c r="P970" i="28"/>
  <c r="P972" i="28"/>
  <c r="P973" i="28"/>
  <c r="P974" i="28"/>
  <c r="P975" i="28"/>
  <c r="P976" i="28"/>
  <c r="P977" i="28"/>
  <c r="P978" i="28"/>
  <c r="P979" i="28"/>
  <c r="P980" i="28"/>
  <c r="P981" i="28"/>
  <c r="P983" i="28"/>
  <c r="P984" i="28"/>
  <c r="P985" i="28"/>
  <c r="P986" i="28"/>
  <c r="P987" i="28"/>
  <c r="P988" i="28"/>
  <c r="P989" i="28"/>
  <c r="P990" i="28"/>
  <c r="P991" i="28"/>
  <c r="P992" i="28"/>
  <c r="P994" i="28"/>
  <c r="P995" i="28"/>
  <c r="P996" i="28"/>
  <c r="P997" i="28"/>
  <c r="P998" i="28"/>
  <c r="P999" i="28"/>
  <c r="P1000" i="28"/>
  <c r="P1001" i="28"/>
  <c r="P1002" i="28"/>
  <c r="P1003" i="28"/>
  <c r="P1005" i="28"/>
  <c r="P1006" i="28"/>
  <c r="P1007" i="28"/>
  <c r="P1008" i="28"/>
  <c r="P1009" i="28"/>
  <c r="P1010" i="28"/>
  <c r="P1011" i="28"/>
  <c r="P1012" i="28"/>
  <c r="P1013" i="28"/>
  <c r="P1014" i="28"/>
  <c r="P1016" i="28"/>
  <c r="P1017" i="28"/>
  <c r="P1018" i="28"/>
  <c r="P1019" i="28"/>
  <c r="P1020" i="28"/>
  <c r="P1021" i="28"/>
  <c r="P1022" i="28"/>
  <c r="P1023" i="28"/>
  <c r="P1024" i="28"/>
  <c r="P1025" i="28"/>
  <c r="P1027" i="28"/>
  <c r="P1028" i="28"/>
  <c r="P1029" i="28"/>
  <c r="P1030" i="28"/>
  <c r="P1031" i="28"/>
  <c r="P1032" i="28"/>
  <c r="P1033" i="28"/>
  <c r="P1034" i="28"/>
  <c r="P1035" i="28"/>
  <c r="P1036" i="28"/>
  <c r="P1038" i="28"/>
  <c r="P1039" i="28"/>
  <c r="P1040" i="28"/>
  <c r="P1041" i="28"/>
  <c r="P1042" i="28"/>
  <c r="P1043" i="28"/>
  <c r="P1044" i="28"/>
  <c r="P1045" i="28"/>
  <c r="P1046" i="28"/>
  <c r="P1047" i="28"/>
  <c r="P1049" i="28"/>
  <c r="P1050" i="28"/>
  <c r="P1051" i="28"/>
  <c r="P1052" i="28"/>
  <c r="P1053" i="28"/>
  <c r="P1054" i="28"/>
  <c r="P1055" i="28"/>
  <c r="P1056" i="28"/>
  <c r="P1057" i="28"/>
  <c r="P1058" i="28"/>
  <c r="P1060" i="28"/>
  <c r="P1061" i="28"/>
  <c r="P1062" i="28"/>
  <c r="P1063" i="28"/>
  <c r="P1064" i="28"/>
  <c r="P1065" i="28"/>
  <c r="P1066" i="28"/>
  <c r="P1067" i="28"/>
  <c r="P1068" i="28"/>
  <c r="P1069" i="28"/>
  <c r="P1071" i="28"/>
  <c r="P1072" i="28"/>
  <c r="P1073" i="28"/>
  <c r="P1074" i="28"/>
  <c r="P1075" i="28"/>
  <c r="P1076" i="28"/>
  <c r="P1077" i="28"/>
  <c r="P1078" i="28"/>
  <c r="P1079" i="28"/>
  <c r="P1080" i="28"/>
  <c r="P1082" i="28"/>
  <c r="P1083" i="28"/>
  <c r="P1084" i="28"/>
  <c r="P1085" i="28"/>
  <c r="P1086" i="28"/>
  <c r="P1087" i="28"/>
  <c r="P1088" i="28"/>
  <c r="P1089" i="28"/>
  <c r="P1090" i="28"/>
  <c r="P1091" i="28"/>
  <c r="P1093" i="28"/>
  <c r="P1094" i="28"/>
  <c r="P1095" i="28"/>
  <c r="P1096" i="28"/>
  <c r="P1097" i="28"/>
  <c r="P1098" i="28"/>
  <c r="P1099" i="28"/>
  <c r="P1100" i="28"/>
  <c r="P1101" i="28"/>
  <c r="P1102" i="28"/>
  <c r="C763" i="28"/>
  <c r="C764" i="28"/>
  <c r="C765" i="28"/>
  <c r="C766" i="28"/>
  <c r="C767" i="28"/>
  <c r="C768" i="28"/>
  <c r="C769" i="28"/>
  <c r="C770" i="28"/>
  <c r="C771" i="28"/>
  <c r="C772" i="28"/>
  <c r="C774" i="28"/>
  <c r="C775" i="28"/>
  <c r="C776" i="28"/>
  <c r="C777" i="28"/>
  <c r="C778" i="28"/>
  <c r="C779" i="28"/>
  <c r="C780" i="28"/>
  <c r="C781" i="28"/>
  <c r="C782" i="28"/>
  <c r="C783" i="28"/>
  <c r="C785" i="28"/>
  <c r="C786" i="28"/>
  <c r="C787" i="28"/>
  <c r="C788" i="28"/>
  <c r="C789" i="28"/>
  <c r="C790" i="28"/>
  <c r="C791" i="28"/>
  <c r="C792" i="28"/>
  <c r="C793" i="28"/>
  <c r="C794" i="28"/>
  <c r="C796" i="28"/>
  <c r="C797" i="28"/>
  <c r="C798" i="28"/>
  <c r="C799" i="28"/>
  <c r="C800" i="28"/>
  <c r="C801" i="28"/>
  <c r="C802" i="28"/>
  <c r="C803" i="28"/>
  <c r="C804" i="28"/>
  <c r="C805" i="28"/>
  <c r="C807" i="28"/>
  <c r="C808" i="28"/>
  <c r="C809" i="28"/>
  <c r="C810" i="28"/>
  <c r="C811" i="28"/>
  <c r="C812" i="28"/>
  <c r="C813" i="28"/>
  <c r="C814" i="28"/>
  <c r="C815" i="28"/>
  <c r="C816" i="28"/>
  <c r="C818" i="28"/>
  <c r="C819" i="28"/>
  <c r="C820" i="28"/>
  <c r="C821" i="28"/>
  <c r="C822" i="28"/>
  <c r="C823" i="28"/>
  <c r="C824" i="28"/>
  <c r="C825" i="28"/>
  <c r="C826" i="28"/>
  <c r="C827" i="28"/>
  <c r="C829" i="28"/>
  <c r="C830" i="28"/>
  <c r="C831" i="28"/>
  <c r="C832" i="28"/>
  <c r="C833" i="28"/>
  <c r="C834" i="28"/>
  <c r="C835" i="28"/>
  <c r="C836" i="28"/>
  <c r="C837" i="28"/>
  <c r="C838" i="28"/>
  <c r="C840" i="28"/>
  <c r="C841" i="28"/>
  <c r="C842" i="28"/>
  <c r="C843" i="28"/>
  <c r="C844" i="28"/>
  <c r="C845" i="28"/>
  <c r="C846" i="28"/>
  <c r="C847" i="28"/>
  <c r="C848" i="28"/>
  <c r="C849" i="28"/>
  <c r="C851" i="28"/>
  <c r="C852" i="28"/>
  <c r="C853" i="28"/>
  <c r="C854" i="28"/>
  <c r="C855" i="28"/>
  <c r="C856" i="28"/>
  <c r="C857" i="28"/>
  <c r="C858" i="28"/>
  <c r="C859" i="28"/>
  <c r="C860" i="28"/>
  <c r="C862" i="28"/>
  <c r="C863" i="28"/>
  <c r="C864" i="28"/>
  <c r="C865" i="28"/>
  <c r="C866" i="28"/>
  <c r="C867" i="28"/>
  <c r="C868" i="28"/>
  <c r="C869" i="28"/>
  <c r="C870" i="28"/>
  <c r="C871" i="28"/>
  <c r="C873" i="28"/>
  <c r="C874" i="28"/>
  <c r="C875" i="28"/>
  <c r="C876" i="28"/>
  <c r="C877" i="28"/>
  <c r="C878" i="28"/>
  <c r="C879" i="28"/>
  <c r="C880" i="28"/>
  <c r="C881" i="28"/>
  <c r="C882" i="28"/>
  <c r="C884" i="28"/>
  <c r="C885" i="28"/>
  <c r="C886" i="28"/>
  <c r="C887" i="28"/>
  <c r="C888" i="28"/>
  <c r="C889" i="28"/>
  <c r="C890" i="28"/>
  <c r="C891" i="28"/>
  <c r="C892" i="28"/>
  <c r="C893" i="28"/>
  <c r="C895" i="28"/>
  <c r="C896" i="28"/>
  <c r="C897" i="28"/>
  <c r="C898" i="28"/>
  <c r="C899" i="28"/>
  <c r="C900" i="28"/>
  <c r="C901" i="28"/>
  <c r="C902" i="28"/>
  <c r="C903" i="28"/>
  <c r="C904" i="28"/>
  <c r="C906" i="28"/>
  <c r="C907" i="28"/>
  <c r="C908" i="28"/>
  <c r="C909" i="28"/>
  <c r="C910" i="28"/>
  <c r="C911" i="28"/>
  <c r="C912" i="28"/>
  <c r="C913" i="28"/>
  <c r="C914" i="28"/>
  <c r="C915" i="28"/>
  <c r="C917" i="28"/>
  <c r="C918" i="28"/>
  <c r="C919" i="28"/>
  <c r="C920" i="28"/>
  <c r="C921" i="28"/>
  <c r="C922" i="28"/>
  <c r="C923" i="28"/>
  <c r="C924" i="28"/>
  <c r="C925" i="28"/>
  <c r="C926" i="28"/>
  <c r="C928" i="28"/>
  <c r="C929" i="28"/>
  <c r="C930" i="28"/>
  <c r="C931" i="28"/>
  <c r="C932" i="28"/>
  <c r="C933" i="28"/>
  <c r="C934" i="28"/>
  <c r="C935" i="28"/>
  <c r="C936" i="28"/>
  <c r="C937" i="28"/>
  <c r="C939" i="28"/>
  <c r="C940" i="28"/>
  <c r="C941" i="28"/>
  <c r="C942" i="28"/>
  <c r="C943" i="28"/>
  <c r="C944" i="28"/>
  <c r="C945" i="28"/>
  <c r="C946" i="28"/>
  <c r="C947" i="28"/>
  <c r="C948" i="28"/>
  <c r="C950" i="28"/>
  <c r="C951" i="28"/>
  <c r="C952" i="28"/>
  <c r="C953" i="28"/>
  <c r="C954" i="28"/>
  <c r="C955" i="28"/>
  <c r="C956" i="28"/>
  <c r="C957" i="28"/>
  <c r="C958" i="28"/>
  <c r="C959" i="28"/>
  <c r="C961" i="28"/>
  <c r="C962" i="28"/>
  <c r="C963" i="28"/>
  <c r="C964" i="28"/>
  <c r="C965" i="28"/>
  <c r="C966" i="28"/>
  <c r="C967" i="28"/>
  <c r="C968" i="28"/>
  <c r="C969" i="28"/>
  <c r="C970" i="28"/>
  <c r="C972" i="28"/>
  <c r="C973" i="28"/>
  <c r="C974" i="28"/>
  <c r="C975" i="28"/>
  <c r="C976" i="28"/>
  <c r="C977" i="28"/>
  <c r="C978" i="28"/>
  <c r="C979" i="28"/>
  <c r="C980" i="28"/>
  <c r="C981" i="28"/>
  <c r="C983" i="28"/>
  <c r="C984" i="28"/>
  <c r="C985" i="28"/>
  <c r="C986" i="28"/>
  <c r="C987" i="28"/>
  <c r="C988" i="28"/>
  <c r="C989" i="28"/>
  <c r="C990" i="28"/>
  <c r="C991" i="28"/>
  <c r="C992" i="28"/>
  <c r="C994" i="28"/>
  <c r="C995" i="28"/>
  <c r="C996" i="28"/>
  <c r="C997" i="28"/>
  <c r="C998" i="28"/>
  <c r="C999" i="28"/>
  <c r="C1000" i="28"/>
  <c r="C1001" i="28"/>
  <c r="C1002" i="28"/>
  <c r="C1003" i="28"/>
  <c r="C1005" i="28"/>
  <c r="C1006" i="28"/>
  <c r="C1007" i="28"/>
  <c r="C1008" i="28"/>
  <c r="C1009" i="28"/>
  <c r="C1010" i="28"/>
  <c r="C1011" i="28"/>
  <c r="C1012" i="28"/>
  <c r="C1013" i="28"/>
  <c r="C1014" i="28"/>
  <c r="C1016" i="28"/>
  <c r="C1017" i="28"/>
  <c r="C1018" i="28"/>
  <c r="C1019" i="28"/>
  <c r="C1020" i="28"/>
  <c r="C1021" i="28"/>
  <c r="C1022" i="28"/>
  <c r="C1023" i="28"/>
  <c r="C1024" i="28"/>
  <c r="C1025" i="28"/>
  <c r="C1027" i="28"/>
  <c r="C1028" i="28"/>
  <c r="C1029" i="28"/>
  <c r="C1030" i="28"/>
  <c r="C1031" i="28"/>
  <c r="C1032" i="28"/>
  <c r="C1033" i="28"/>
  <c r="C1034" i="28"/>
  <c r="C1035" i="28"/>
  <c r="C1036" i="28"/>
  <c r="C1038" i="28"/>
  <c r="C1039" i="28"/>
  <c r="C1040" i="28"/>
  <c r="C1041" i="28"/>
  <c r="C1042" i="28"/>
  <c r="C1043" i="28"/>
  <c r="C1044" i="28"/>
  <c r="C1045" i="28"/>
  <c r="C1046" i="28"/>
  <c r="C1047" i="28"/>
  <c r="C1049" i="28"/>
  <c r="C1050" i="28"/>
  <c r="C1051" i="28"/>
  <c r="C1052" i="28"/>
  <c r="C1053" i="28"/>
  <c r="C1054" i="28"/>
  <c r="C1055" i="28"/>
  <c r="C1056" i="28"/>
  <c r="C1057" i="28"/>
  <c r="C1058" i="28"/>
  <c r="C1060" i="28"/>
  <c r="C1061" i="28"/>
  <c r="C1062" i="28"/>
  <c r="C1063" i="28"/>
  <c r="C1064" i="28"/>
  <c r="C1065" i="28"/>
  <c r="C1066" i="28"/>
  <c r="C1067" i="28"/>
  <c r="C1068" i="28"/>
  <c r="C1069" i="28"/>
  <c r="C1071" i="28"/>
  <c r="C1072" i="28"/>
  <c r="C1073" i="28"/>
  <c r="C1074" i="28"/>
  <c r="C1075" i="28"/>
  <c r="C1076" i="28"/>
  <c r="C1077" i="28"/>
  <c r="C1078" i="28"/>
  <c r="C1079" i="28"/>
  <c r="C1080" i="28"/>
  <c r="C1082" i="28"/>
  <c r="C1083" i="28"/>
  <c r="C1084" i="28"/>
  <c r="C1085" i="28"/>
  <c r="C1086" i="28"/>
  <c r="C1087" i="28"/>
  <c r="C1088" i="28"/>
  <c r="C1089" i="28"/>
  <c r="C1090" i="28"/>
  <c r="C1091" i="28"/>
  <c r="C1093" i="28"/>
  <c r="C1094" i="28"/>
  <c r="C1095" i="28"/>
  <c r="C1096" i="28"/>
  <c r="C1097" i="28"/>
  <c r="C1098" i="28"/>
  <c r="C1099" i="28"/>
  <c r="C1100" i="28"/>
  <c r="C1101" i="28"/>
  <c r="C1102" i="28"/>
  <c r="AE3" i="26" l="1"/>
  <c r="E72" i="25" l="1"/>
  <c r="D30" i="22" l="1"/>
  <c r="D29" i="22" l="1"/>
  <c r="D28" i="22"/>
  <c r="D27" i="22"/>
  <c r="D26" i="22"/>
  <c r="D25" i="22"/>
  <c r="D24" i="22"/>
  <c r="D23" i="22"/>
  <c r="D22" i="22"/>
  <c r="D21" i="22"/>
  <c r="D20" i="22"/>
  <c r="D19" i="22"/>
  <c r="D18" i="22"/>
  <c r="D17" i="22"/>
  <c r="D16" i="22"/>
  <c r="D15" i="22"/>
  <c r="D14" i="22"/>
  <c r="D13" i="22"/>
  <c r="D12" i="22"/>
  <c r="D11" i="22"/>
  <c r="D10" i="22"/>
  <c r="D9" i="22"/>
  <c r="D8" i="22"/>
  <c r="D7" i="22"/>
  <c r="D6" i="22"/>
  <c r="D5" i="22"/>
  <c r="D4" i="22"/>
  <c r="B9" i="16" l="1"/>
  <c r="AF2" i="24" l="1"/>
  <c r="AE2" i="24"/>
  <c r="AD2" i="24"/>
  <c r="AC2" i="24"/>
  <c r="AB2" i="24"/>
  <c r="AA2" i="24"/>
  <c r="Z2" i="24"/>
  <c r="Y2" i="24"/>
  <c r="X2" i="24"/>
  <c r="W2" i="24"/>
  <c r="V2" i="24"/>
  <c r="C137" i="15" l="1"/>
  <c r="E137" i="15" s="1"/>
  <c r="G137" i="15" s="1"/>
  <c r="D137"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C212" i="15"/>
  <c r="E212" i="15" s="1"/>
  <c r="G212" i="15" s="1"/>
  <c r="C211" i="15"/>
  <c r="E211" i="15" s="1"/>
  <c r="G211" i="15" s="1"/>
  <c r="C210" i="15"/>
  <c r="E210" i="15" s="1"/>
  <c r="G210" i="15" s="1"/>
  <c r="C209" i="15"/>
  <c r="E209" i="15" s="1"/>
  <c r="G209" i="15" s="1"/>
  <c r="C208" i="15"/>
  <c r="E208" i="15" s="1"/>
  <c r="G208" i="15" s="1"/>
  <c r="C207" i="15"/>
  <c r="E207" i="15" s="1"/>
  <c r="G207" i="15" s="1"/>
  <c r="C206" i="15"/>
  <c r="E206" i="15" s="1"/>
  <c r="G206" i="15" s="1"/>
  <c r="C205" i="15"/>
  <c r="E205" i="15" s="1"/>
  <c r="G205" i="15" s="1"/>
  <c r="C204" i="15"/>
  <c r="E204" i="15" s="1"/>
  <c r="G204" i="15" s="1"/>
  <c r="C203" i="15"/>
  <c r="E203" i="15" s="1"/>
  <c r="G203" i="15" s="1"/>
  <c r="C202" i="15"/>
  <c r="E202" i="15" s="1"/>
  <c r="G202" i="15" s="1"/>
  <c r="C201" i="15"/>
  <c r="E201" i="15" s="1"/>
  <c r="G201" i="15" s="1"/>
  <c r="C200" i="15"/>
  <c r="E200" i="15" s="1"/>
  <c r="G200" i="15" s="1"/>
  <c r="C199" i="15"/>
  <c r="E199" i="15" s="1"/>
  <c r="G199" i="15" s="1"/>
  <c r="C198" i="15"/>
  <c r="E198" i="15" s="1"/>
  <c r="G198" i="15" s="1"/>
  <c r="C197" i="15"/>
  <c r="E197" i="15" s="1"/>
  <c r="G197" i="15" s="1"/>
  <c r="C196" i="15"/>
  <c r="E196" i="15" s="1"/>
  <c r="G196" i="15" s="1"/>
  <c r="C195" i="15"/>
  <c r="E195" i="15" s="1"/>
  <c r="G195" i="15" s="1"/>
  <c r="C194" i="15"/>
  <c r="E194" i="15" s="1"/>
  <c r="G194" i="15" s="1"/>
  <c r="C193" i="15"/>
  <c r="E193" i="15" s="1"/>
  <c r="G193" i="15" s="1"/>
  <c r="C192" i="15"/>
  <c r="E192" i="15" s="1"/>
  <c r="G192" i="15" s="1"/>
  <c r="C191" i="15"/>
  <c r="E191" i="15" s="1"/>
  <c r="G191" i="15" s="1"/>
  <c r="C190" i="15"/>
  <c r="E190" i="15" s="1"/>
  <c r="G190" i="15" s="1"/>
  <c r="C189" i="15"/>
  <c r="E189" i="15" s="1"/>
  <c r="G189" i="15" s="1"/>
  <c r="C188" i="15"/>
  <c r="E188" i="15" s="1"/>
  <c r="G188" i="15" s="1"/>
  <c r="C187" i="15"/>
  <c r="E187" i="15" s="1"/>
  <c r="G187" i="15" s="1"/>
  <c r="C186" i="15"/>
  <c r="E186" i="15" s="1"/>
  <c r="G186" i="15" s="1"/>
  <c r="C185" i="15"/>
  <c r="E185" i="15" s="1"/>
  <c r="G185" i="15" s="1"/>
  <c r="C184" i="15"/>
  <c r="E184" i="15" s="1"/>
  <c r="G184" i="15" s="1"/>
  <c r="C183" i="15"/>
  <c r="E183" i="15" s="1"/>
  <c r="G183" i="15" s="1"/>
  <c r="C182" i="15"/>
  <c r="E182" i="15" s="1"/>
  <c r="G182" i="15" s="1"/>
  <c r="C181" i="15"/>
  <c r="E181" i="15" s="1"/>
  <c r="G181" i="15" s="1"/>
  <c r="C180" i="15"/>
  <c r="E180" i="15" s="1"/>
  <c r="G180" i="15" s="1"/>
  <c r="C179" i="15"/>
  <c r="E179" i="15" s="1"/>
  <c r="G179" i="15" s="1"/>
  <c r="C178" i="15"/>
  <c r="E178" i="15" s="1"/>
  <c r="G178" i="15" s="1"/>
  <c r="C177" i="15"/>
  <c r="E177" i="15" s="1"/>
  <c r="G177" i="15" s="1"/>
  <c r="C176" i="15"/>
  <c r="E176" i="15" s="1"/>
  <c r="G176" i="15" s="1"/>
  <c r="C175" i="15"/>
  <c r="E175" i="15" s="1"/>
  <c r="G175" i="15" s="1"/>
  <c r="C174" i="15"/>
  <c r="E174" i="15" s="1"/>
  <c r="G174" i="15" s="1"/>
  <c r="C173" i="15"/>
  <c r="E173" i="15" s="1"/>
  <c r="G173" i="15" s="1"/>
  <c r="C172" i="15"/>
  <c r="E172" i="15" s="1"/>
  <c r="G172" i="15" s="1"/>
  <c r="C171" i="15"/>
  <c r="E171" i="15" s="1"/>
  <c r="G171" i="15" s="1"/>
  <c r="C170" i="15"/>
  <c r="E170" i="15" s="1"/>
  <c r="G170" i="15" s="1"/>
  <c r="C169" i="15"/>
  <c r="E169" i="15" s="1"/>
  <c r="G169" i="15" s="1"/>
  <c r="C168" i="15"/>
  <c r="E168" i="15" s="1"/>
  <c r="G168" i="15" s="1"/>
  <c r="C167" i="15"/>
  <c r="E167" i="15" s="1"/>
  <c r="G167" i="15" s="1"/>
  <c r="C166" i="15"/>
  <c r="E166" i="15" s="1"/>
  <c r="G166" i="15" s="1"/>
  <c r="C165" i="15"/>
  <c r="E165" i="15" s="1"/>
  <c r="G165" i="15" s="1"/>
  <c r="C164" i="15"/>
  <c r="E164" i="15" s="1"/>
  <c r="G164" i="15" s="1"/>
  <c r="C163" i="15"/>
  <c r="E163" i="15" s="1"/>
  <c r="G163" i="15" s="1"/>
  <c r="C162" i="15"/>
  <c r="E162" i="15" s="1"/>
  <c r="G162" i="15" s="1"/>
  <c r="C161" i="15"/>
  <c r="E161" i="15" s="1"/>
  <c r="G161" i="15" s="1"/>
  <c r="C160" i="15"/>
  <c r="E160" i="15" s="1"/>
  <c r="G160" i="15" s="1"/>
  <c r="C159" i="15"/>
  <c r="E159" i="15" s="1"/>
  <c r="G159" i="15" s="1"/>
  <c r="C158" i="15"/>
  <c r="E158" i="15" s="1"/>
  <c r="G158" i="15" s="1"/>
  <c r="C157" i="15"/>
  <c r="E157" i="15" s="1"/>
  <c r="G157" i="15" s="1"/>
  <c r="C156" i="15"/>
  <c r="E156" i="15" s="1"/>
  <c r="G156" i="15" s="1"/>
  <c r="C155" i="15"/>
  <c r="E155" i="15" s="1"/>
  <c r="G155" i="15" s="1"/>
  <c r="C154" i="15"/>
  <c r="E154" i="15" s="1"/>
  <c r="G154" i="15" s="1"/>
  <c r="C153" i="15"/>
  <c r="E153" i="15" s="1"/>
  <c r="G153" i="15" s="1"/>
  <c r="C152" i="15"/>
  <c r="E152" i="15" s="1"/>
  <c r="G152" i="15" s="1"/>
  <c r="C151" i="15"/>
  <c r="E151" i="15" s="1"/>
  <c r="G151" i="15" s="1"/>
  <c r="C150" i="15"/>
  <c r="E150" i="15" s="1"/>
  <c r="G150" i="15" s="1"/>
  <c r="C149" i="15"/>
  <c r="E149" i="15" s="1"/>
  <c r="G149" i="15" s="1"/>
  <c r="C148" i="15"/>
  <c r="E148" i="15" s="1"/>
  <c r="G148" i="15" s="1"/>
  <c r="C147" i="15"/>
  <c r="E147" i="15" s="1"/>
  <c r="G147" i="15" s="1"/>
  <c r="C146" i="15"/>
  <c r="E146" i="15" s="1"/>
  <c r="G146" i="15" s="1"/>
  <c r="C145" i="15"/>
  <c r="E145" i="15" s="1"/>
  <c r="G145" i="15" s="1"/>
  <c r="C144" i="15"/>
  <c r="E144" i="15" s="1"/>
  <c r="G144" i="15" s="1"/>
  <c r="C143" i="15"/>
  <c r="E143" i="15" s="1"/>
  <c r="G143" i="15" s="1"/>
  <c r="C142" i="15"/>
  <c r="E142" i="15" s="1"/>
  <c r="G142" i="15" s="1"/>
  <c r="C141" i="15"/>
  <c r="E141" i="15" s="1"/>
  <c r="G141" i="15" s="1"/>
  <c r="C140" i="15"/>
  <c r="E140" i="15" s="1"/>
  <c r="G140" i="15" s="1"/>
  <c r="C139" i="15"/>
  <c r="E139" i="15" s="1"/>
  <c r="G139" i="15" s="1"/>
  <c r="C138" i="15"/>
  <c r="E138" i="15" s="1"/>
  <c r="G138" i="15" s="1"/>
  <c r="C136" i="15"/>
  <c r="E136" i="15" s="1"/>
  <c r="C135" i="15"/>
  <c r="E135" i="15" s="1"/>
  <c r="C134" i="15"/>
  <c r="E134" i="15" s="1"/>
  <c r="C133" i="15"/>
  <c r="E133" i="15" s="1"/>
  <c r="C132" i="15"/>
  <c r="C131" i="15"/>
  <c r="C130" i="15"/>
  <c r="C129" i="15"/>
  <c r="E129" i="15" s="1"/>
  <c r="C128" i="15"/>
  <c r="C127" i="15"/>
  <c r="C126" i="15"/>
  <c r="E126" i="15" s="1"/>
  <c r="C125" i="15"/>
  <c r="C124" i="15"/>
  <c r="C123" i="15"/>
  <c r="E123" i="15" s="1"/>
  <c r="C122" i="15"/>
  <c r="C121" i="15"/>
  <c r="C120" i="15"/>
  <c r="C119" i="15"/>
  <c r="C118" i="15"/>
  <c r="C117" i="15"/>
  <c r="C116" i="15"/>
  <c r="C115" i="15"/>
  <c r="C114" i="15"/>
  <c r="C113" i="15"/>
  <c r="F129" i="15" l="1"/>
  <c r="I21" i="24"/>
  <c r="F133" i="15"/>
  <c r="I25" i="24"/>
  <c r="F135" i="15"/>
  <c r="I27" i="24"/>
  <c r="F126" i="15"/>
  <c r="I18" i="24"/>
  <c r="F134" i="15"/>
  <c r="I26" i="24"/>
  <c r="F123" i="15"/>
  <c r="I15" i="24"/>
  <c r="F136" i="15"/>
  <c r="I28" i="24"/>
  <c r="D35" i="19"/>
  <c r="C33" i="19"/>
  <c r="C34" i="19"/>
  <c r="D33" i="19"/>
  <c r="D34" i="19"/>
  <c r="C29" i="19"/>
  <c r="C30" i="19"/>
  <c r="C31" i="19"/>
  <c r="C32" i="19"/>
  <c r="D29" i="19"/>
  <c r="D30" i="19"/>
  <c r="D31" i="19"/>
  <c r="D32" i="19"/>
  <c r="D15" i="19"/>
  <c r="D12" i="19"/>
  <c r="D6" i="19"/>
  <c r="D7" i="19"/>
  <c r="D24" i="19"/>
  <c r="D28" i="19"/>
  <c r="D25" i="19"/>
  <c r="D23" i="19"/>
  <c r="D27" i="19"/>
  <c r="D21" i="19"/>
  <c r="D13" i="19"/>
  <c r="D14" i="19"/>
  <c r="D22" i="19"/>
  <c r="D5" i="19"/>
  <c r="D19" i="19"/>
  <c r="D20" i="19"/>
  <c r="D16" i="19"/>
  <c r="D17" i="19"/>
  <c r="D18" i="19"/>
  <c r="D11" i="19"/>
  <c r="D10" i="19"/>
  <c r="D26" i="19"/>
  <c r="D9" i="19"/>
  <c r="D8" i="19"/>
  <c r="C8" i="19"/>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C15" i="19"/>
  <c r="C12" i="19"/>
  <c r="C6" i="19"/>
  <c r="C7" i="19"/>
  <c r="C24" i="19"/>
  <c r="C28" i="19"/>
  <c r="C25" i="19"/>
  <c r="C23" i="19"/>
  <c r="C27" i="19"/>
  <c r="C21" i="19"/>
  <c r="C13" i="19"/>
  <c r="C14" i="19"/>
  <c r="C22" i="19"/>
  <c r="C5" i="19"/>
  <c r="C19" i="19"/>
  <c r="C20" i="19"/>
  <c r="C16" i="19"/>
  <c r="C17" i="19"/>
  <c r="C18" i="19"/>
  <c r="C11" i="19"/>
  <c r="C10" i="19"/>
  <c r="C26" i="19"/>
  <c r="C9" i="19"/>
  <c r="D12" i="24" l="1"/>
  <c r="T12" i="24"/>
  <c r="D20" i="24"/>
  <c r="T20" i="24"/>
  <c r="E21" i="24"/>
  <c r="U21" i="24"/>
  <c r="T6" i="24"/>
  <c r="D6" i="24"/>
  <c r="D10" i="24"/>
  <c r="T10" i="24"/>
  <c r="T14" i="24"/>
  <c r="D14" i="24"/>
  <c r="D18" i="24"/>
  <c r="T18" i="24"/>
  <c r="T22" i="24"/>
  <c r="D22" i="24"/>
  <c r="T26" i="24"/>
  <c r="D26" i="24"/>
  <c r="E7" i="24"/>
  <c r="U7" i="24"/>
  <c r="E11" i="24"/>
  <c r="U11" i="24"/>
  <c r="E15" i="24"/>
  <c r="U15" i="24"/>
  <c r="E19" i="24"/>
  <c r="U19" i="24"/>
  <c r="E23" i="24"/>
  <c r="U23" i="24"/>
  <c r="E27" i="24"/>
  <c r="U27" i="24"/>
  <c r="D8" i="24"/>
  <c r="T8" i="24"/>
  <c r="D16" i="24"/>
  <c r="T16" i="24"/>
  <c r="D24" i="24"/>
  <c r="T24" i="24"/>
  <c r="D28" i="24"/>
  <c r="T28" i="24"/>
  <c r="E5" i="24"/>
  <c r="U5" i="24"/>
  <c r="E9" i="24"/>
  <c r="U9" i="24"/>
  <c r="E13" i="24"/>
  <c r="U13" i="24"/>
  <c r="E17" i="24"/>
  <c r="U17" i="24"/>
  <c r="E25" i="24"/>
  <c r="U25" i="24"/>
  <c r="D5" i="24"/>
  <c r="T5" i="24"/>
  <c r="T9" i="24"/>
  <c r="D9" i="24"/>
  <c r="T13" i="24"/>
  <c r="D13" i="24"/>
  <c r="D17" i="24"/>
  <c r="T17" i="24"/>
  <c r="T21" i="24"/>
  <c r="D21" i="24"/>
  <c r="T25" i="24"/>
  <c r="D25" i="24"/>
  <c r="E6" i="24"/>
  <c r="U6" i="24"/>
  <c r="E10" i="24"/>
  <c r="U10" i="24"/>
  <c r="E14" i="24"/>
  <c r="U14" i="24"/>
  <c r="E18" i="24"/>
  <c r="U18" i="24"/>
  <c r="E22" i="24"/>
  <c r="U22" i="24"/>
  <c r="E26" i="24"/>
  <c r="U26" i="24"/>
  <c r="T7" i="24"/>
  <c r="D7" i="24"/>
  <c r="T11" i="24"/>
  <c r="D11" i="24"/>
  <c r="T15" i="24"/>
  <c r="D15" i="24"/>
  <c r="T19" i="24"/>
  <c r="D19" i="24"/>
  <c r="T23" i="24"/>
  <c r="D23" i="24"/>
  <c r="T27" i="24"/>
  <c r="D27" i="24"/>
  <c r="E8" i="24"/>
  <c r="U8" i="24"/>
  <c r="E12" i="24"/>
  <c r="U12" i="24"/>
  <c r="E16" i="24"/>
  <c r="U16" i="24"/>
  <c r="E20" i="24"/>
  <c r="U20" i="24"/>
  <c r="E24" i="24"/>
  <c r="U24" i="24"/>
  <c r="E28" i="24"/>
  <c r="U28" i="24"/>
  <c r="Y11" i="15"/>
  <c r="Y20" i="15"/>
  <c r="W8" i="15"/>
  <c r="O8" i="15"/>
  <c r="K8" i="15"/>
  <c r="G8" i="15"/>
  <c r="Q8" i="15"/>
  <c r="S8" i="15"/>
  <c r="I8" i="15"/>
  <c r="M8" i="15"/>
  <c r="U8" i="15"/>
  <c r="M28" i="15"/>
  <c r="I28" i="15"/>
  <c r="W28" i="15"/>
  <c r="O28" i="15"/>
  <c r="S28" i="15"/>
  <c r="K28" i="15"/>
  <c r="Y28" i="15"/>
  <c r="G28" i="15"/>
  <c r="Q28" i="15"/>
  <c r="Q9" i="15"/>
  <c r="I9" i="15"/>
  <c r="Y9" i="15"/>
  <c r="U9" i="15"/>
  <c r="S9" i="15"/>
  <c r="M9" i="15"/>
  <c r="W9" i="15"/>
  <c r="K9" i="15"/>
  <c r="O9" i="15"/>
  <c r="G9" i="15"/>
  <c r="O29" i="15"/>
  <c r="G29" i="15"/>
  <c r="S29" i="15"/>
  <c r="Q29" i="15"/>
  <c r="Y29" i="15"/>
  <c r="M29" i="15"/>
  <c r="U29" i="15"/>
  <c r="K29" i="15"/>
  <c r="S30" i="15"/>
  <c r="Q30" i="15"/>
  <c r="K30" i="15"/>
  <c r="Y30" i="15"/>
  <c r="M30" i="15"/>
  <c r="G30" i="15"/>
  <c r="O30" i="15"/>
  <c r="Q15" i="15"/>
  <c r="O15" i="15"/>
  <c r="K15" i="15"/>
  <c r="Y15" i="15"/>
  <c r="G15" i="15"/>
  <c r="Y31" i="15"/>
  <c r="M31" i="15"/>
  <c r="O31" i="15"/>
  <c r="K31" i="15"/>
  <c r="Q31" i="15"/>
  <c r="W31" i="15"/>
  <c r="S31" i="15"/>
  <c r="G31" i="15"/>
  <c r="Q16" i="15"/>
  <c r="O16" i="15"/>
  <c r="U16" i="15"/>
  <c r="C35" i="19"/>
  <c r="C37" i="19"/>
  <c r="R1102" i="28"/>
  <c r="R1101" i="28"/>
  <c r="R1100" i="28"/>
  <c r="R1099" i="28"/>
  <c r="R1098" i="28"/>
  <c r="R1097" i="28"/>
  <c r="R1096" i="28"/>
  <c r="R1095" i="28"/>
  <c r="R1094" i="28"/>
  <c r="R1093" i="28"/>
  <c r="P1092" i="28"/>
  <c r="R1092" i="28" s="1"/>
  <c r="R1091" i="28"/>
  <c r="R1090" i="28"/>
  <c r="R1089" i="28"/>
  <c r="R1088" i="28"/>
  <c r="R1087" i="28"/>
  <c r="R1086" i="28"/>
  <c r="R1085" i="28"/>
  <c r="R1084" i="28"/>
  <c r="R1083" i="28"/>
  <c r="R1082" i="28"/>
  <c r="P1081" i="28"/>
  <c r="R1081" i="28" s="1"/>
  <c r="R1080" i="28"/>
  <c r="R1079" i="28"/>
  <c r="R1078" i="28"/>
  <c r="R1077" i="28"/>
  <c r="R1076" i="28"/>
  <c r="R1075" i="28"/>
  <c r="R1074" i="28"/>
  <c r="R1073" i="28"/>
  <c r="R1072" i="28"/>
  <c r="R1071" i="28"/>
  <c r="P1070" i="28"/>
  <c r="R1070" i="28" s="1"/>
  <c r="R1069" i="28"/>
  <c r="R1068" i="28"/>
  <c r="R1067" i="28"/>
  <c r="R1066" i="28"/>
  <c r="R1065" i="28"/>
  <c r="R1064" i="28"/>
  <c r="R1063" i="28"/>
  <c r="R1062" i="28"/>
  <c r="R1061" i="28"/>
  <c r="R1060" i="28"/>
  <c r="P1059" i="28"/>
  <c r="R1059" i="28" s="1"/>
  <c r="R1058" i="28"/>
  <c r="R1057" i="28"/>
  <c r="R1056" i="28"/>
  <c r="R1055" i="28"/>
  <c r="R1054" i="28"/>
  <c r="R1053" i="28"/>
  <c r="R1052" i="28"/>
  <c r="R1051" i="28"/>
  <c r="R1050" i="28"/>
  <c r="R1049" i="28"/>
  <c r="P1048" i="28"/>
  <c r="R1048" i="28" s="1"/>
  <c r="R1047" i="28"/>
  <c r="R1046" i="28"/>
  <c r="R1045" i="28"/>
  <c r="R1044" i="28"/>
  <c r="R1043" i="28"/>
  <c r="R1042" i="28"/>
  <c r="R1041" i="28"/>
  <c r="R1040" i="28"/>
  <c r="R1039" i="28"/>
  <c r="R1038" i="28"/>
  <c r="P1037" i="28"/>
  <c r="R1037" i="28" s="1"/>
  <c r="R1036" i="28"/>
  <c r="R1035" i="28"/>
  <c r="R1034" i="28"/>
  <c r="R1033" i="28"/>
  <c r="R1032" i="28"/>
  <c r="R1031" i="28"/>
  <c r="R1030" i="28"/>
  <c r="R1029" i="28"/>
  <c r="R1028" i="28"/>
  <c r="R1027" i="28"/>
  <c r="P1026" i="28"/>
  <c r="R1026" i="28" s="1"/>
  <c r="R1025" i="28"/>
  <c r="R1024" i="28"/>
  <c r="R1023" i="28"/>
  <c r="R1022" i="28"/>
  <c r="R1021" i="28"/>
  <c r="R1020" i="28"/>
  <c r="R1019" i="28"/>
  <c r="R1018" i="28"/>
  <c r="R1017" i="28"/>
  <c r="R1016" i="28"/>
  <c r="P1015" i="28"/>
  <c r="R1015" i="28" s="1"/>
  <c r="R1014" i="28"/>
  <c r="R1013" i="28"/>
  <c r="R1012" i="28"/>
  <c r="R1011" i="28"/>
  <c r="R1010" i="28"/>
  <c r="R1009" i="28"/>
  <c r="R1008" i="28"/>
  <c r="R1007" i="28"/>
  <c r="R1006" i="28"/>
  <c r="R1005" i="28"/>
  <c r="P1004" i="28"/>
  <c r="R1004" i="28" s="1"/>
  <c r="R1003" i="28"/>
  <c r="R1002" i="28"/>
  <c r="R1001" i="28"/>
  <c r="R1000" i="28"/>
  <c r="R999" i="28"/>
  <c r="R998" i="28"/>
  <c r="R997" i="28"/>
  <c r="R996" i="28"/>
  <c r="R995" i="28"/>
  <c r="R994" i="28"/>
  <c r="P993" i="28"/>
  <c r="R993" i="28" s="1"/>
  <c r="R992" i="28"/>
  <c r="R991" i="28"/>
  <c r="R990" i="28"/>
  <c r="R989" i="28"/>
  <c r="R988" i="28"/>
  <c r="R987" i="28"/>
  <c r="R986" i="28"/>
  <c r="R985" i="28"/>
  <c r="R984" i="28"/>
  <c r="R983" i="28"/>
  <c r="P982" i="28"/>
  <c r="R982" i="28" s="1"/>
  <c r="R981" i="28"/>
  <c r="R980" i="28"/>
  <c r="R979" i="28"/>
  <c r="R978" i="28"/>
  <c r="R977" i="28"/>
  <c r="R976" i="28"/>
  <c r="R975" i="28"/>
  <c r="R974" i="28"/>
  <c r="R973" i="28"/>
  <c r="R972" i="28"/>
  <c r="P971" i="28"/>
  <c r="R971" i="28" s="1"/>
  <c r="R970" i="28"/>
  <c r="R969" i="28"/>
  <c r="R968" i="28"/>
  <c r="R967" i="28"/>
  <c r="R966" i="28"/>
  <c r="R965" i="28"/>
  <c r="R964" i="28"/>
  <c r="R963" i="28"/>
  <c r="R962" i="28"/>
  <c r="R961" i="28"/>
  <c r="P960" i="28"/>
  <c r="R960" i="28" s="1"/>
  <c r="R959" i="28"/>
  <c r="R958" i="28"/>
  <c r="R957" i="28"/>
  <c r="R956" i="28"/>
  <c r="R955" i="28"/>
  <c r="R954" i="28"/>
  <c r="R953" i="28"/>
  <c r="R952" i="28"/>
  <c r="R951" i="28"/>
  <c r="R950" i="28"/>
  <c r="P949" i="28"/>
  <c r="R949" i="28" s="1"/>
  <c r="R948" i="28"/>
  <c r="R947" i="28"/>
  <c r="R946" i="28"/>
  <c r="R945" i="28"/>
  <c r="R944" i="28"/>
  <c r="R943" i="28"/>
  <c r="R942" i="28"/>
  <c r="R941" i="28"/>
  <c r="R940" i="28"/>
  <c r="R939" i="28"/>
  <c r="P938" i="28"/>
  <c r="R938" i="28" s="1"/>
  <c r="R937" i="28"/>
  <c r="R936" i="28"/>
  <c r="R935" i="28"/>
  <c r="R934" i="28"/>
  <c r="R933" i="28"/>
  <c r="R932" i="28"/>
  <c r="R931" i="28"/>
  <c r="R930" i="28"/>
  <c r="R929" i="28"/>
  <c r="R928" i="28"/>
  <c r="P927" i="28"/>
  <c r="R927" i="28" s="1"/>
  <c r="R926" i="28"/>
  <c r="R925" i="28"/>
  <c r="R924" i="28"/>
  <c r="R923" i="28"/>
  <c r="R922" i="28"/>
  <c r="R921" i="28"/>
  <c r="R920" i="28"/>
  <c r="R919" i="28"/>
  <c r="R918" i="28"/>
  <c r="R917" i="28"/>
  <c r="P916" i="28"/>
  <c r="R916" i="28" s="1"/>
  <c r="R915" i="28"/>
  <c r="R914" i="28"/>
  <c r="R913" i="28"/>
  <c r="R912" i="28"/>
  <c r="R911" i="28"/>
  <c r="R910" i="28"/>
  <c r="R909" i="28"/>
  <c r="R908" i="28"/>
  <c r="R907" i="28"/>
  <c r="R906" i="28"/>
  <c r="P905" i="28"/>
  <c r="R905" i="28" s="1"/>
  <c r="R904" i="28"/>
  <c r="R903" i="28"/>
  <c r="R902" i="28"/>
  <c r="R901" i="28"/>
  <c r="R900" i="28"/>
  <c r="R899" i="28"/>
  <c r="R898" i="28"/>
  <c r="R897" i="28"/>
  <c r="R896" i="28"/>
  <c r="R895" i="28"/>
  <c r="P894" i="28"/>
  <c r="R894" i="28" s="1"/>
  <c r="R893" i="28"/>
  <c r="R892" i="28"/>
  <c r="R891" i="28"/>
  <c r="R890" i="28"/>
  <c r="R889" i="28"/>
  <c r="R888" i="28"/>
  <c r="R887" i="28"/>
  <c r="R886" i="28"/>
  <c r="R885" i="28"/>
  <c r="R884" i="28"/>
  <c r="P883" i="28"/>
  <c r="R883" i="28" s="1"/>
  <c r="R882" i="28"/>
  <c r="R881" i="28"/>
  <c r="R880" i="28"/>
  <c r="R879" i="28"/>
  <c r="R878" i="28"/>
  <c r="R877" i="28"/>
  <c r="R876" i="28"/>
  <c r="R875" i="28"/>
  <c r="R874" i="28"/>
  <c r="R873" i="28"/>
  <c r="P872" i="28"/>
  <c r="R872" i="28" s="1"/>
  <c r="R871" i="28"/>
  <c r="R870" i="28"/>
  <c r="R869" i="28"/>
  <c r="R868" i="28"/>
  <c r="R867" i="28"/>
  <c r="R866" i="28"/>
  <c r="R865" i="28"/>
  <c r="R864" i="28"/>
  <c r="R863" i="28"/>
  <c r="R862" i="28"/>
  <c r="P861" i="28"/>
  <c r="R861" i="28" s="1"/>
  <c r="R860" i="28"/>
  <c r="R859" i="28"/>
  <c r="R858" i="28"/>
  <c r="R857" i="28"/>
  <c r="R856" i="28"/>
  <c r="R855" i="28"/>
  <c r="R854" i="28"/>
  <c r="R853" i="28"/>
  <c r="R852" i="28"/>
  <c r="R851" i="28"/>
  <c r="P850" i="28"/>
  <c r="R850" i="28" s="1"/>
  <c r="R849" i="28"/>
  <c r="R848" i="28"/>
  <c r="R847" i="28"/>
  <c r="R846" i="28"/>
  <c r="R845" i="28"/>
  <c r="R844" i="28"/>
  <c r="R843" i="28"/>
  <c r="R842" i="28"/>
  <c r="R841" i="28"/>
  <c r="R840" i="28"/>
  <c r="P839" i="28"/>
  <c r="R839" i="28" s="1"/>
  <c r="R838" i="28"/>
  <c r="R837" i="28"/>
  <c r="R836" i="28"/>
  <c r="R835" i="28"/>
  <c r="R834" i="28"/>
  <c r="R833" i="28"/>
  <c r="R832" i="28"/>
  <c r="R831" i="28"/>
  <c r="R830" i="28"/>
  <c r="R829" i="28"/>
  <c r="P828" i="28"/>
  <c r="R828" i="28" s="1"/>
  <c r="R827" i="28"/>
  <c r="R826" i="28"/>
  <c r="R825" i="28"/>
  <c r="R824" i="28"/>
  <c r="R823" i="28"/>
  <c r="R822" i="28"/>
  <c r="R821" i="28"/>
  <c r="R820" i="28"/>
  <c r="R819" i="28"/>
  <c r="R818" i="28"/>
  <c r="P817" i="28"/>
  <c r="R817" i="28" s="1"/>
  <c r="R816" i="28"/>
  <c r="R815" i="28"/>
  <c r="R814" i="28"/>
  <c r="R813" i="28"/>
  <c r="R812" i="28"/>
  <c r="R811" i="28"/>
  <c r="R810" i="28"/>
  <c r="R809" i="28"/>
  <c r="R808" i="28"/>
  <c r="R807" i="28"/>
  <c r="P806" i="28"/>
  <c r="R806" i="28" s="1"/>
  <c r="R805" i="28"/>
  <c r="R804" i="28"/>
  <c r="R803" i="28"/>
  <c r="R802" i="28"/>
  <c r="R801" i="28"/>
  <c r="R800" i="28"/>
  <c r="R799" i="28"/>
  <c r="R798" i="28"/>
  <c r="R797" i="28"/>
  <c r="R796" i="28"/>
  <c r="P795" i="28"/>
  <c r="R795" i="28" s="1"/>
  <c r="R794" i="28"/>
  <c r="R793" i="28"/>
  <c r="R792" i="28"/>
  <c r="R791" i="28"/>
  <c r="R790" i="28"/>
  <c r="R789" i="28"/>
  <c r="R788" i="28"/>
  <c r="R787" i="28"/>
  <c r="R786" i="28"/>
  <c r="R785" i="28"/>
  <c r="P784" i="28"/>
  <c r="R784" i="28" s="1"/>
  <c r="R783" i="28"/>
  <c r="R782" i="28"/>
  <c r="R781" i="28"/>
  <c r="R780" i="28"/>
  <c r="R779" i="28"/>
  <c r="R778" i="28"/>
  <c r="R777" i="28"/>
  <c r="R776" i="28"/>
  <c r="R775" i="28"/>
  <c r="R774" i="28"/>
  <c r="P773" i="28"/>
  <c r="R773" i="28" s="1"/>
  <c r="R772" i="28"/>
  <c r="R771" i="28"/>
  <c r="R770" i="28"/>
  <c r="R769" i="28"/>
  <c r="R768" i="28"/>
  <c r="R767" i="28"/>
  <c r="R766" i="28"/>
  <c r="R765" i="28"/>
  <c r="R764" i="28"/>
  <c r="R763" i="28"/>
  <c r="P762" i="28"/>
  <c r="R762" i="28" s="1"/>
  <c r="R761" i="28"/>
  <c r="C761" i="28"/>
  <c r="R760" i="28"/>
  <c r="C760" i="28"/>
  <c r="R759" i="28"/>
  <c r="C759" i="28"/>
  <c r="R758" i="28"/>
  <c r="C758" i="28"/>
  <c r="R757" i="28"/>
  <c r="C757" i="28"/>
  <c r="R756" i="28"/>
  <c r="C756" i="28"/>
  <c r="R755" i="28"/>
  <c r="C755" i="28"/>
  <c r="R754" i="28"/>
  <c r="C754" i="28"/>
  <c r="R753" i="28"/>
  <c r="C753" i="28"/>
  <c r="R752" i="28"/>
  <c r="C752" i="28"/>
  <c r="P751" i="28"/>
  <c r="R751" i="28" s="1"/>
  <c r="R750" i="28"/>
  <c r="C750" i="28"/>
  <c r="R749" i="28"/>
  <c r="C749" i="28"/>
  <c r="R748" i="28"/>
  <c r="C748" i="28"/>
  <c r="R747" i="28"/>
  <c r="C747" i="28"/>
  <c r="R746" i="28"/>
  <c r="C746" i="28"/>
  <c r="R745" i="28"/>
  <c r="C745" i="28"/>
  <c r="R744" i="28"/>
  <c r="C744" i="28"/>
  <c r="R743" i="28"/>
  <c r="C743" i="28"/>
  <c r="R742" i="28"/>
  <c r="C742" i="28"/>
  <c r="R741" i="28"/>
  <c r="C741" i="28"/>
  <c r="P740" i="28"/>
  <c r="R740" i="28" s="1"/>
  <c r="R739" i="28"/>
  <c r="C739" i="28"/>
  <c r="R738" i="28"/>
  <c r="C738" i="28"/>
  <c r="R737" i="28"/>
  <c r="C737" i="28"/>
  <c r="R736" i="28"/>
  <c r="C736" i="28"/>
  <c r="R735" i="28"/>
  <c r="C735" i="28"/>
  <c r="R734" i="28"/>
  <c r="C734" i="28"/>
  <c r="R733" i="28"/>
  <c r="C733" i="28"/>
  <c r="R732" i="28"/>
  <c r="C732" i="28"/>
  <c r="R731" i="28"/>
  <c r="C731" i="28"/>
  <c r="R730" i="28"/>
  <c r="C730" i="28"/>
  <c r="P729" i="28"/>
  <c r="R729" i="28" s="1"/>
  <c r="R728" i="28"/>
  <c r="C728" i="28"/>
  <c r="R727" i="28"/>
  <c r="C727" i="28"/>
  <c r="R726" i="28"/>
  <c r="C726" i="28"/>
  <c r="R725" i="28"/>
  <c r="C725" i="28"/>
  <c r="R724" i="28"/>
  <c r="C724" i="28"/>
  <c r="R723" i="28"/>
  <c r="C723" i="28"/>
  <c r="R722" i="28"/>
  <c r="C722" i="28"/>
  <c r="R721" i="28"/>
  <c r="C721" i="28"/>
  <c r="R720" i="28"/>
  <c r="C720" i="28"/>
  <c r="R719" i="28"/>
  <c r="C719" i="28"/>
  <c r="P718" i="28"/>
  <c r="R718" i="28" s="1"/>
  <c r="R717" i="28"/>
  <c r="C717" i="28"/>
  <c r="R716" i="28"/>
  <c r="C716" i="28"/>
  <c r="R715" i="28"/>
  <c r="C715" i="28"/>
  <c r="R714" i="28"/>
  <c r="C714" i="28"/>
  <c r="R713" i="28"/>
  <c r="C713" i="28"/>
  <c r="R712" i="28"/>
  <c r="C712" i="28"/>
  <c r="R711" i="28"/>
  <c r="C711" i="28"/>
  <c r="R710" i="28"/>
  <c r="C710" i="28"/>
  <c r="R709" i="28"/>
  <c r="C709" i="28"/>
  <c r="R708" i="28"/>
  <c r="C708" i="28"/>
  <c r="P707" i="28"/>
  <c r="R707" i="28" s="1"/>
  <c r="R706" i="28"/>
  <c r="C706" i="28"/>
  <c r="R705" i="28"/>
  <c r="C705" i="28"/>
  <c r="R704" i="28"/>
  <c r="C704" i="28"/>
  <c r="R703" i="28"/>
  <c r="C703" i="28"/>
  <c r="R702" i="28"/>
  <c r="C702" i="28"/>
  <c r="R701" i="28"/>
  <c r="C701" i="28"/>
  <c r="R700" i="28"/>
  <c r="C700" i="28"/>
  <c r="R699" i="28"/>
  <c r="C699" i="28"/>
  <c r="R698" i="28"/>
  <c r="C698" i="28"/>
  <c r="R697" i="28"/>
  <c r="C697" i="28"/>
  <c r="P696" i="28"/>
  <c r="R696" i="28" s="1"/>
  <c r="R695" i="28"/>
  <c r="C695" i="28"/>
  <c r="R694" i="28"/>
  <c r="C694" i="28"/>
  <c r="R693" i="28"/>
  <c r="C693" i="28"/>
  <c r="R692" i="28"/>
  <c r="C692" i="28"/>
  <c r="R691" i="28"/>
  <c r="C691" i="28"/>
  <c r="R690" i="28"/>
  <c r="C690" i="28"/>
  <c r="R689" i="28"/>
  <c r="C689" i="28"/>
  <c r="R688" i="28"/>
  <c r="C688" i="28"/>
  <c r="R687" i="28"/>
  <c r="C687" i="28"/>
  <c r="R686" i="28"/>
  <c r="C686" i="28"/>
  <c r="P685" i="28"/>
  <c r="R685" i="28" s="1"/>
  <c r="R684" i="28"/>
  <c r="C684" i="28"/>
  <c r="R683" i="28"/>
  <c r="C683" i="28"/>
  <c r="R682" i="28"/>
  <c r="C682" i="28"/>
  <c r="R681" i="28"/>
  <c r="C681" i="28"/>
  <c r="R680" i="28"/>
  <c r="C680" i="28"/>
  <c r="R679" i="28"/>
  <c r="C679" i="28"/>
  <c r="R678" i="28"/>
  <c r="C678" i="28"/>
  <c r="R677" i="28"/>
  <c r="C677" i="28"/>
  <c r="R676" i="28"/>
  <c r="C676" i="28"/>
  <c r="R675" i="28"/>
  <c r="C675" i="28"/>
  <c r="P674" i="28"/>
  <c r="R674" i="28" s="1"/>
  <c r="R673" i="28"/>
  <c r="C673" i="28"/>
  <c r="R672" i="28"/>
  <c r="C672" i="28"/>
  <c r="R671" i="28"/>
  <c r="C671" i="28"/>
  <c r="R670" i="28"/>
  <c r="C670" i="28"/>
  <c r="R669" i="28"/>
  <c r="C669" i="28"/>
  <c r="R668" i="28"/>
  <c r="C668" i="28"/>
  <c r="R667" i="28"/>
  <c r="C667" i="28"/>
  <c r="R666" i="28"/>
  <c r="C666" i="28"/>
  <c r="R665" i="28"/>
  <c r="C665" i="28"/>
  <c r="R664" i="28"/>
  <c r="C664" i="28"/>
  <c r="P663" i="28"/>
  <c r="R663" i="28" s="1"/>
  <c r="R662" i="28"/>
  <c r="C662" i="28"/>
  <c r="R661" i="28"/>
  <c r="C661" i="28"/>
  <c r="R660" i="28"/>
  <c r="C660" i="28"/>
  <c r="R659" i="28"/>
  <c r="C659" i="28"/>
  <c r="R658" i="28"/>
  <c r="C658" i="28"/>
  <c r="R657" i="28"/>
  <c r="C657" i="28"/>
  <c r="R656" i="28"/>
  <c r="C656" i="28"/>
  <c r="R655" i="28"/>
  <c r="C655" i="28"/>
  <c r="R654" i="28"/>
  <c r="C654" i="28"/>
  <c r="R653" i="28"/>
  <c r="C653" i="28"/>
  <c r="P652" i="28"/>
  <c r="R652" i="28" s="1"/>
  <c r="R651" i="28"/>
  <c r="C651" i="28"/>
  <c r="R650" i="28"/>
  <c r="C650" i="28"/>
  <c r="R649" i="28"/>
  <c r="C649" i="28"/>
  <c r="R648" i="28"/>
  <c r="C648" i="28"/>
  <c r="R647" i="28"/>
  <c r="C647" i="28"/>
  <c r="R646" i="28"/>
  <c r="C646" i="28"/>
  <c r="R645" i="28"/>
  <c r="C645" i="28"/>
  <c r="R644" i="28"/>
  <c r="C644" i="28"/>
  <c r="R643" i="28"/>
  <c r="C643" i="28"/>
  <c r="R642" i="28"/>
  <c r="C642" i="28"/>
  <c r="P641" i="28"/>
  <c r="R641" i="28" s="1"/>
  <c r="R640" i="28"/>
  <c r="C640" i="28"/>
  <c r="R639" i="28"/>
  <c r="C639" i="28"/>
  <c r="R638" i="28"/>
  <c r="C638" i="28"/>
  <c r="R637" i="28"/>
  <c r="C637" i="28"/>
  <c r="R636" i="28"/>
  <c r="C636" i="28"/>
  <c r="R635" i="28"/>
  <c r="C635" i="28"/>
  <c r="R634" i="28"/>
  <c r="C634" i="28"/>
  <c r="R633" i="28"/>
  <c r="C633" i="28"/>
  <c r="R632" i="28"/>
  <c r="C632" i="28"/>
  <c r="R631" i="28"/>
  <c r="C631" i="28"/>
  <c r="P630" i="28"/>
  <c r="R630" i="28" s="1"/>
  <c r="R629" i="28"/>
  <c r="C629" i="28"/>
  <c r="R628" i="28"/>
  <c r="C628" i="28"/>
  <c r="R627" i="28"/>
  <c r="C627" i="28"/>
  <c r="R626" i="28"/>
  <c r="C626" i="28"/>
  <c r="R625" i="28"/>
  <c r="C625" i="28"/>
  <c r="R624" i="28"/>
  <c r="C624" i="28"/>
  <c r="R623" i="28"/>
  <c r="C623" i="28"/>
  <c r="R622" i="28"/>
  <c r="C622" i="28"/>
  <c r="R621" i="28"/>
  <c r="C621" i="28"/>
  <c r="R620" i="28"/>
  <c r="C620" i="28"/>
  <c r="P619" i="28"/>
  <c r="R619" i="28" s="1"/>
  <c r="R618" i="28"/>
  <c r="C618" i="28"/>
  <c r="R617" i="28"/>
  <c r="C617" i="28"/>
  <c r="R616" i="28"/>
  <c r="C616" i="28"/>
  <c r="R615" i="28"/>
  <c r="C615" i="28"/>
  <c r="R614" i="28"/>
  <c r="C614" i="28"/>
  <c r="R613" i="28"/>
  <c r="C613" i="28"/>
  <c r="R612" i="28"/>
  <c r="C612" i="28"/>
  <c r="R611" i="28"/>
  <c r="C611" i="28"/>
  <c r="R610" i="28"/>
  <c r="C610" i="28"/>
  <c r="R609" i="28"/>
  <c r="C609" i="28"/>
  <c r="P608" i="28"/>
  <c r="R608" i="28" s="1"/>
  <c r="R607" i="28"/>
  <c r="C607" i="28"/>
  <c r="R606" i="28"/>
  <c r="C606" i="28"/>
  <c r="R605" i="28"/>
  <c r="C605" i="28"/>
  <c r="R604" i="28"/>
  <c r="C604" i="28"/>
  <c r="R603" i="28"/>
  <c r="C603" i="28"/>
  <c r="R602" i="28"/>
  <c r="C602" i="28"/>
  <c r="R601" i="28"/>
  <c r="C601" i="28"/>
  <c r="R600" i="28"/>
  <c r="C600" i="28"/>
  <c r="R599" i="28"/>
  <c r="C599" i="28"/>
  <c r="R598" i="28"/>
  <c r="C598" i="28"/>
  <c r="P597" i="28"/>
  <c r="R597" i="28" s="1"/>
  <c r="R596" i="28"/>
  <c r="C596" i="28"/>
  <c r="R595" i="28"/>
  <c r="C595" i="28"/>
  <c r="R594" i="28"/>
  <c r="C594" i="28"/>
  <c r="R593" i="28"/>
  <c r="C593" i="28"/>
  <c r="R592" i="28"/>
  <c r="C592" i="28"/>
  <c r="R591" i="28"/>
  <c r="C591" i="28"/>
  <c r="R590" i="28"/>
  <c r="C590" i="28"/>
  <c r="R589" i="28"/>
  <c r="C589" i="28"/>
  <c r="R588" i="28"/>
  <c r="C588" i="28"/>
  <c r="R587" i="28"/>
  <c r="C587" i="28"/>
  <c r="P586" i="28"/>
  <c r="R586" i="28" s="1"/>
  <c r="R585" i="28"/>
  <c r="C585" i="28"/>
  <c r="R584" i="28"/>
  <c r="C584" i="28"/>
  <c r="R583" i="28"/>
  <c r="C583" i="28"/>
  <c r="R582" i="28"/>
  <c r="C582" i="28"/>
  <c r="R581" i="28"/>
  <c r="C581" i="28"/>
  <c r="R580" i="28"/>
  <c r="C580" i="28"/>
  <c r="R579" i="28"/>
  <c r="C579" i="28"/>
  <c r="R578" i="28"/>
  <c r="C578" i="28"/>
  <c r="R577" i="28"/>
  <c r="C577" i="28"/>
  <c r="R576" i="28"/>
  <c r="C576" i="28"/>
  <c r="P575" i="28"/>
  <c r="R575" i="28" s="1"/>
  <c r="R574" i="28"/>
  <c r="C574" i="28"/>
  <c r="R573" i="28"/>
  <c r="C573" i="28"/>
  <c r="R572" i="28"/>
  <c r="C572" i="28"/>
  <c r="R571" i="28"/>
  <c r="C571" i="28"/>
  <c r="R570" i="28"/>
  <c r="C570" i="28"/>
  <c r="R569" i="28"/>
  <c r="C569" i="28"/>
  <c r="R568" i="28"/>
  <c r="C568" i="28"/>
  <c r="R567" i="28"/>
  <c r="C567" i="28"/>
  <c r="R566" i="28"/>
  <c r="C566" i="28"/>
  <c r="R565" i="28"/>
  <c r="C565" i="28"/>
  <c r="P564" i="28"/>
  <c r="R564" i="28" s="1"/>
  <c r="R563" i="28"/>
  <c r="C563" i="28"/>
  <c r="R562" i="28"/>
  <c r="C562" i="28"/>
  <c r="R561" i="28"/>
  <c r="C561" i="28"/>
  <c r="R560" i="28"/>
  <c r="C560" i="28"/>
  <c r="R559" i="28"/>
  <c r="C559" i="28"/>
  <c r="R558" i="28"/>
  <c r="C558" i="28"/>
  <c r="R557" i="28"/>
  <c r="C557" i="28"/>
  <c r="R556" i="28"/>
  <c r="C556" i="28"/>
  <c r="R555" i="28"/>
  <c r="C555" i="28"/>
  <c r="R554" i="28"/>
  <c r="C554" i="28"/>
  <c r="P553" i="28"/>
  <c r="R553" i="28" s="1"/>
  <c r="R552" i="28"/>
  <c r="C552" i="28"/>
  <c r="R551" i="28"/>
  <c r="C551" i="28"/>
  <c r="R550" i="28"/>
  <c r="C550" i="28"/>
  <c r="R549" i="28"/>
  <c r="C549" i="28"/>
  <c r="R548" i="28"/>
  <c r="C548" i="28"/>
  <c r="R547" i="28"/>
  <c r="C547" i="28"/>
  <c r="R546" i="28"/>
  <c r="C546" i="28"/>
  <c r="R545" i="28"/>
  <c r="C545" i="28"/>
  <c r="R544" i="28"/>
  <c r="C544" i="28"/>
  <c r="R543" i="28"/>
  <c r="C543" i="28"/>
  <c r="P542" i="28"/>
  <c r="R542" i="28" s="1"/>
  <c r="R541" i="28"/>
  <c r="C541" i="28"/>
  <c r="R540" i="28"/>
  <c r="C540" i="28"/>
  <c r="R539" i="28"/>
  <c r="C539" i="28"/>
  <c r="R538" i="28"/>
  <c r="C538" i="28"/>
  <c r="R537" i="28"/>
  <c r="C537" i="28"/>
  <c r="R536" i="28"/>
  <c r="C536" i="28"/>
  <c r="R535" i="28"/>
  <c r="C535" i="28"/>
  <c r="R534" i="28"/>
  <c r="C534" i="28"/>
  <c r="R533" i="28"/>
  <c r="C533" i="28"/>
  <c r="R532" i="28"/>
  <c r="C532" i="28"/>
  <c r="P531" i="28"/>
  <c r="R531" i="28" s="1"/>
  <c r="R530" i="28"/>
  <c r="C530" i="28"/>
  <c r="R529" i="28"/>
  <c r="C529" i="28"/>
  <c r="R528" i="28"/>
  <c r="C528" i="28"/>
  <c r="R527" i="28"/>
  <c r="C527" i="28"/>
  <c r="R526" i="28"/>
  <c r="C526" i="28"/>
  <c r="R525" i="28"/>
  <c r="C525" i="28"/>
  <c r="R524" i="28"/>
  <c r="C524" i="28"/>
  <c r="R523" i="28"/>
  <c r="C523" i="28"/>
  <c r="R522" i="28"/>
  <c r="C522" i="28"/>
  <c r="R521" i="28"/>
  <c r="C521" i="28"/>
  <c r="P520" i="28"/>
  <c r="R520" i="28" s="1"/>
  <c r="R519" i="28"/>
  <c r="C519" i="28"/>
  <c r="R518" i="28"/>
  <c r="C518" i="28"/>
  <c r="R517" i="28"/>
  <c r="C517" i="28"/>
  <c r="R516" i="28"/>
  <c r="C516" i="28"/>
  <c r="R515" i="28"/>
  <c r="C515" i="28"/>
  <c r="R514" i="28"/>
  <c r="C514" i="28"/>
  <c r="R513" i="28"/>
  <c r="C513" i="28"/>
  <c r="R512" i="28"/>
  <c r="C512" i="28"/>
  <c r="R511" i="28"/>
  <c r="C511" i="28"/>
  <c r="R510" i="28"/>
  <c r="C510" i="28"/>
  <c r="P509" i="28"/>
  <c r="R509" i="28" s="1"/>
  <c r="R508" i="28"/>
  <c r="C508" i="28"/>
  <c r="R507" i="28"/>
  <c r="C507" i="28"/>
  <c r="R506" i="28"/>
  <c r="C506" i="28"/>
  <c r="R505" i="28"/>
  <c r="C505" i="28"/>
  <c r="R504" i="28"/>
  <c r="C504" i="28"/>
  <c r="R503" i="28"/>
  <c r="C503" i="28"/>
  <c r="R502" i="28"/>
  <c r="C502" i="28"/>
  <c r="R501" i="28"/>
  <c r="C501" i="28"/>
  <c r="R500" i="28"/>
  <c r="C500" i="28"/>
  <c r="R499" i="28"/>
  <c r="C499" i="28"/>
  <c r="P498" i="28"/>
  <c r="R498" i="28" s="1"/>
  <c r="R497" i="28"/>
  <c r="C497" i="28"/>
  <c r="R496" i="28"/>
  <c r="C496" i="28"/>
  <c r="R495" i="28"/>
  <c r="C495" i="28"/>
  <c r="R494" i="28"/>
  <c r="C494" i="28"/>
  <c r="R493" i="28"/>
  <c r="C493" i="28"/>
  <c r="R492" i="28"/>
  <c r="C492" i="28"/>
  <c r="R491" i="28"/>
  <c r="C491" i="28"/>
  <c r="R490" i="28"/>
  <c r="C490" i="28"/>
  <c r="R489" i="28"/>
  <c r="C489" i="28"/>
  <c r="R488" i="28"/>
  <c r="C488" i="28"/>
  <c r="P487" i="28"/>
  <c r="R487" i="28" s="1"/>
  <c r="R486" i="28"/>
  <c r="C486" i="28"/>
  <c r="R485" i="28"/>
  <c r="C485" i="28"/>
  <c r="R484" i="28"/>
  <c r="C484" i="28"/>
  <c r="R483" i="28"/>
  <c r="C483" i="28"/>
  <c r="R482" i="28"/>
  <c r="C482" i="28"/>
  <c r="R481" i="28"/>
  <c r="C481" i="28"/>
  <c r="R480" i="28"/>
  <c r="C480" i="28"/>
  <c r="R479" i="28"/>
  <c r="C479" i="28"/>
  <c r="R478" i="28"/>
  <c r="C478" i="28"/>
  <c r="R477" i="28"/>
  <c r="C477" i="28"/>
  <c r="P476" i="28"/>
  <c r="R476" i="28" s="1"/>
  <c r="R475" i="28"/>
  <c r="C475" i="28"/>
  <c r="R474" i="28"/>
  <c r="C474" i="28"/>
  <c r="R473" i="28"/>
  <c r="C473" i="28"/>
  <c r="R472" i="28"/>
  <c r="C472" i="28"/>
  <c r="R471" i="28"/>
  <c r="C471" i="28"/>
  <c r="R470" i="28"/>
  <c r="C470" i="28"/>
  <c r="R469" i="28"/>
  <c r="C469" i="28"/>
  <c r="R468" i="28"/>
  <c r="C468" i="28"/>
  <c r="R467" i="28"/>
  <c r="C467" i="28"/>
  <c r="R466" i="28"/>
  <c r="C466" i="28"/>
  <c r="P465" i="28"/>
  <c r="R465" i="28" s="1"/>
  <c r="R464" i="28"/>
  <c r="C464" i="28"/>
  <c r="R463" i="28"/>
  <c r="C463" i="28"/>
  <c r="R462" i="28"/>
  <c r="C462" i="28"/>
  <c r="R461" i="28"/>
  <c r="C461" i="28"/>
  <c r="R460" i="28"/>
  <c r="C460" i="28"/>
  <c r="R459" i="28"/>
  <c r="C459" i="28"/>
  <c r="R458" i="28"/>
  <c r="C458" i="28"/>
  <c r="R457" i="28"/>
  <c r="C457" i="28"/>
  <c r="R456" i="28"/>
  <c r="C456" i="28"/>
  <c r="R455" i="28"/>
  <c r="C455" i="28"/>
  <c r="P454" i="28"/>
  <c r="R454" i="28" s="1"/>
  <c r="R453" i="28"/>
  <c r="C453" i="28"/>
  <c r="R452" i="28"/>
  <c r="C452" i="28"/>
  <c r="R451" i="28"/>
  <c r="C451" i="28"/>
  <c r="R450" i="28"/>
  <c r="C450" i="28"/>
  <c r="R449" i="28"/>
  <c r="C449" i="28"/>
  <c r="R448" i="28"/>
  <c r="C448" i="28"/>
  <c r="R447" i="28"/>
  <c r="C447" i="28"/>
  <c r="R446" i="28"/>
  <c r="C446" i="28"/>
  <c r="R445" i="28"/>
  <c r="C445" i="28"/>
  <c r="R444" i="28"/>
  <c r="C444" i="28"/>
  <c r="P443" i="28"/>
  <c r="R443" i="28" s="1"/>
  <c r="R442" i="28"/>
  <c r="C442" i="28"/>
  <c r="R441" i="28"/>
  <c r="C441" i="28"/>
  <c r="R440" i="28"/>
  <c r="C440" i="28"/>
  <c r="R439" i="28"/>
  <c r="C439" i="28"/>
  <c r="R438" i="28"/>
  <c r="C438" i="28"/>
  <c r="R437" i="28"/>
  <c r="C437" i="28"/>
  <c r="R436" i="28"/>
  <c r="C436" i="28"/>
  <c r="R435" i="28"/>
  <c r="C435" i="28"/>
  <c r="R434" i="28"/>
  <c r="C434" i="28"/>
  <c r="R433" i="28"/>
  <c r="C433" i="28"/>
  <c r="P432" i="28"/>
  <c r="R432" i="28" s="1"/>
  <c r="R431" i="28"/>
  <c r="C431" i="28"/>
  <c r="R430" i="28"/>
  <c r="C430" i="28"/>
  <c r="R429" i="28"/>
  <c r="C429" i="28"/>
  <c r="R428" i="28"/>
  <c r="C428" i="28"/>
  <c r="R427" i="28"/>
  <c r="C427" i="28"/>
  <c r="R426" i="28"/>
  <c r="C426" i="28"/>
  <c r="R425" i="28"/>
  <c r="C425" i="28"/>
  <c r="R424" i="28"/>
  <c r="C424" i="28"/>
  <c r="R423" i="28"/>
  <c r="C423" i="28"/>
  <c r="R422" i="28"/>
  <c r="C422" i="28"/>
  <c r="P421" i="28"/>
  <c r="R421" i="28" s="1"/>
  <c r="R420" i="28"/>
  <c r="C420" i="28"/>
  <c r="R419" i="28"/>
  <c r="C419" i="28"/>
  <c r="R418" i="28"/>
  <c r="C418" i="28"/>
  <c r="R417" i="28"/>
  <c r="C417" i="28"/>
  <c r="R416" i="28"/>
  <c r="C416" i="28"/>
  <c r="R415" i="28"/>
  <c r="C415" i="28"/>
  <c r="R414" i="28"/>
  <c r="S414" i="28" s="1"/>
  <c r="C414" i="28"/>
  <c r="R413" i="28"/>
  <c r="S413" i="28" s="1"/>
  <c r="C413" i="28"/>
  <c r="R412" i="28"/>
  <c r="S412" i="28" s="1"/>
  <c r="C412" i="28"/>
  <c r="R411" i="28"/>
  <c r="S411" i="28" s="1"/>
  <c r="C411" i="28"/>
  <c r="P410" i="28"/>
  <c r="R410" i="28" s="1"/>
  <c r="S410" i="28" s="1"/>
  <c r="R409" i="28"/>
  <c r="S409" i="28" s="1"/>
  <c r="C409" i="28"/>
  <c r="R408" i="28"/>
  <c r="S408" i="28" s="1"/>
  <c r="C408" i="28"/>
  <c r="R407" i="28"/>
  <c r="S407" i="28" s="1"/>
  <c r="C407" i="28"/>
  <c r="R406" i="28"/>
  <c r="S406" i="28" s="1"/>
  <c r="C406" i="28"/>
  <c r="R405" i="28"/>
  <c r="S405" i="28" s="1"/>
  <c r="C405" i="28"/>
  <c r="R404" i="28"/>
  <c r="S404" i="28" s="1"/>
  <c r="C404" i="28"/>
  <c r="R403" i="28"/>
  <c r="S403" i="28" s="1"/>
  <c r="C403" i="28"/>
  <c r="R402" i="28"/>
  <c r="S402" i="28" s="1"/>
  <c r="C402" i="28"/>
  <c r="R401" i="28"/>
  <c r="S401" i="28" s="1"/>
  <c r="C401" i="28"/>
  <c r="R400" i="28"/>
  <c r="S400" i="28" s="1"/>
  <c r="C400" i="28"/>
  <c r="P399" i="28"/>
  <c r="R399" i="28" s="1"/>
  <c r="S399" i="28" s="1"/>
  <c r="R398" i="28"/>
  <c r="S398" i="28" s="1"/>
  <c r="C398" i="28"/>
  <c r="R397" i="28"/>
  <c r="S397" i="28" s="1"/>
  <c r="C397" i="28"/>
  <c r="R396" i="28"/>
  <c r="S396" i="28" s="1"/>
  <c r="C396" i="28"/>
  <c r="R395" i="28"/>
  <c r="S395" i="28" s="1"/>
  <c r="C395" i="28"/>
  <c r="R394" i="28"/>
  <c r="S394" i="28" s="1"/>
  <c r="C394" i="28"/>
  <c r="R393" i="28"/>
  <c r="S393" i="28" s="1"/>
  <c r="C393" i="28"/>
  <c r="R392" i="28"/>
  <c r="S392" i="28" s="1"/>
  <c r="C392" i="28"/>
  <c r="R391" i="28"/>
  <c r="S391" i="28" s="1"/>
  <c r="C391" i="28"/>
  <c r="R390" i="28"/>
  <c r="S390" i="28" s="1"/>
  <c r="C390" i="28"/>
  <c r="R389" i="28"/>
  <c r="S389" i="28" s="1"/>
  <c r="C389" i="28"/>
  <c r="P388" i="28"/>
  <c r="R388" i="28" s="1"/>
  <c r="S388" i="28" s="1"/>
  <c r="R387" i="28"/>
  <c r="S387" i="28" s="1"/>
  <c r="C387" i="28"/>
  <c r="R386" i="28"/>
  <c r="S386" i="28" s="1"/>
  <c r="C386" i="28"/>
  <c r="R385" i="28"/>
  <c r="S385" i="28" s="1"/>
  <c r="C385" i="28"/>
  <c r="R384" i="28"/>
  <c r="S384" i="28" s="1"/>
  <c r="C384" i="28"/>
  <c r="R383" i="28"/>
  <c r="S383" i="28" s="1"/>
  <c r="C383" i="28"/>
  <c r="R382" i="28"/>
  <c r="S382" i="28" s="1"/>
  <c r="C382" i="28"/>
  <c r="R381" i="28"/>
  <c r="S381" i="28" s="1"/>
  <c r="C381" i="28"/>
  <c r="R380" i="28"/>
  <c r="S380" i="28" s="1"/>
  <c r="C380" i="28"/>
  <c r="R379" i="28"/>
  <c r="S379" i="28" s="1"/>
  <c r="C379" i="28"/>
  <c r="R378" i="28"/>
  <c r="S378" i="28" s="1"/>
  <c r="C378" i="28"/>
  <c r="P377" i="28"/>
  <c r="R377" i="28" s="1"/>
  <c r="S377" i="28" s="1"/>
  <c r="R376" i="28"/>
  <c r="S376" i="28" s="1"/>
  <c r="C376" i="28"/>
  <c r="R375" i="28"/>
  <c r="S375" i="28" s="1"/>
  <c r="C375" i="28"/>
  <c r="R374" i="28"/>
  <c r="S374" i="28" s="1"/>
  <c r="C374" i="28"/>
  <c r="R373" i="28"/>
  <c r="S373" i="28" s="1"/>
  <c r="C373" i="28"/>
  <c r="R372" i="28"/>
  <c r="S372" i="28" s="1"/>
  <c r="C372" i="28"/>
  <c r="R371" i="28"/>
  <c r="S371" i="28" s="1"/>
  <c r="C371" i="28"/>
  <c r="R370" i="28"/>
  <c r="S370" i="28" s="1"/>
  <c r="C370" i="28"/>
  <c r="R369" i="28"/>
  <c r="S369" i="28" s="1"/>
  <c r="C369" i="28"/>
  <c r="R368" i="28"/>
  <c r="S368" i="28" s="1"/>
  <c r="C368" i="28"/>
  <c r="R367" i="28"/>
  <c r="S367" i="28" s="1"/>
  <c r="C367" i="28"/>
  <c r="P366" i="28"/>
  <c r="R366" i="28" s="1"/>
  <c r="S366" i="28" s="1"/>
  <c r="R365" i="28"/>
  <c r="S365" i="28" s="1"/>
  <c r="C365" i="28"/>
  <c r="R364" i="28"/>
  <c r="S364" i="28" s="1"/>
  <c r="C364" i="28"/>
  <c r="R363" i="28"/>
  <c r="S363" i="28" s="1"/>
  <c r="C363" i="28"/>
  <c r="R362" i="28"/>
  <c r="S362" i="28" s="1"/>
  <c r="C362" i="28"/>
  <c r="R361" i="28"/>
  <c r="S361" i="28" s="1"/>
  <c r="C361" i="28"/>
  <c r="R360" i="28"/>
  <c r="S360" i="28" s="1"/>
  <c r="C360" i="28"/>
  <c r="R359" i="28"/>
  <c r="S359" i="28" s="1"/>
  <c r="C359" i="28"/>
  <c r="R358" i="28"/>
  <c r="S358" i="28" s="1"/>
  <c r="C358" i="28"/>
  <c r="R357" i="28"/>
  <c r="S357" i="28" s="1"/>
  <c r="C357" i="28"/>
  <c r="R356" i="28"/>
  <c r="S356" i="28" s="1"/>
  <c r="C356" i="28"/>
  <c r="P355" i="28"/>
  <c r="R355" i="28" s="1"/>
  <c r="S355" i="28" s="1"/>
  <c r="R354" i="28"/>
  <c r="S354" i="28" s="1"/>
  <c r="C354" i="28"/>
  <c r="R353" i="28"/>
  <c r="S353" i="28" s="1"/>
  <c r="C353" i="28"/>
  <c r="R352" i="28"/>
  <c r="S352" i="28" s="1"/>
  <c r="C352" i="28"/>
  <c r="R351" i="28"/>
  <c r="S351" i="28" s="1"/>
  <c r="C351" i="28"/>
  <c r="R350" i="28"/>
  <c r="S350" i="28" s="1"/>
  <c r="C350" i="28"/>
  <c r="R349" i="28"/>
  <c r="S349" i="28" s="1"/>
  <c r="C349" i="28"/>
  <c r="R348" i="28"/>
  <c r="S348" i="28" s="1"/>
  <c r="C348" i="28"/>
  <c r="R347" i="28"/>
  <c r="S347" i="28" s="1"/>
  <c r="C347" i="28"/>
  <c r="R346" i="28"/>
  <c r="S346" i="28" s="1"/>
  <c r="C346" i="28"/>
  <c r="R345" i="28"/>
  <c r="S345" i="28" s="1"/>
  <c r="C345" i="28"/>
  <c r="P344" i="28"/>
  <c r="R344" i="28" s="1"/>
  <c r="S344" i="28" s="1"/>
  <c r="R343" i="28"/>
  <c r="S343" i="28" s="1"/>
  <c r="C343" i="28"/>
  <c r="R342" i="28"/>
  <c r="S342" i="28" s="1"/>
  <c r="C342" i="28"/>
  <c r="R341" i="28"/>
  <c r="S341" i="28" s="1"/>
  <c r="C341" i="28"/>
  <c r="R340" i="28"/>
  <c r="S340" i="28" s="1"/>
  <c r="C340" i="28"/>
  <c r="R339" i="28"/>
  <c r="S339" i="28" s="1"/>
  <c r="C339" i="28"/>
  <c r="R338" i="28"/>
  <c r="S338" i="28" s="1"/>
  <c r="C338" i="28"/>
  <c r="R337" i="28"/>
  <c r="S337" i="28" s="1"/>
  <c r="C337" i="28"/>
  <c r="R336" i="28"/>
  <c r="S336" i="28" s="1"/>
  <c r="C336" i="28"/>
  <c r="R335" i="28"/>
  <c r="S335" i="28" s="1"/>
  <c r="C335" i="28"/>
  <c r="R334" i="28"/>
  <c r="S334" i="28" s="1"/>
  <c r="C334" i="28"/>
  <c r="P333" i="28"/>
  <c r="R333" i="28" s="1"/>
  <c r="S333" i="28" s="1"/>
  <c r="R332" i="28"/>
  <c r="S332" i="28" s="1"/>
  <c r="C332" i="28"/>
  <c r="R331" i="28"/>
  <c r="S331" i="28" s="1"/>
  <c r="C331" i="28"/>
  <c r="R330" i="28"/>
  <c r="S330" i="28" s="1"/>
  <c r="C330" i="28"/>
  <c r="R329" i="28"/>
  <c r="S329" i="28" s="1"/>
  <c r="C329" i="28"/>
  <c r="R328" i="28"/>
  <c r="S328" i="28" s="1"/>
  <c r="C328" i="28"/>
  <c r="R327" i="28"/>
  <c r="S327" i="28" s="1"/>
  <c r="C327" i="28"/>
  <c r="R326" i="28"/>
  <c r="S326" i="28" s="1"/>
  <c r="C326" i="28"/>
  <c r="R325" i="28"/>
  <c r="S325" i="28" s="1"/>
  <c r="C325" i="28"/>
  <c r="R324" i="28"/>
  <c r="S324" i="28" s="1"/>
  <c r="C324" i="28"/>
  <c r="R323" i="28"/>
  <c r="S323" i="28" s="1"/>
  <c r="C323" i="28"/>
  <c r="P322" i="28"/>
  <c r="R322" i="28" s="1"/>
  <c r="S322" i="28" s="1"/>
  <c r="R321" i="28"/>
  <c r="S321" i="28" s="1"/>
  <c r="C321" i="28"/>
  <c r="R320" i="28"/>
  <c r="S320" i="28" s="1"/>
  <c r="C320" i="28"/>
  <c r="R319" i="28"/>
  <c r="S319" i="28" s="1"/>
  <c r="C319" i="28"/>
  <c r="R318" i="28"/>
  <c r="S318" i="28" s="1"/>
  <c r="C318" i="28"/>
  <c r="R317" i="28"/>
  <c r="S317" i="28" s="1"/>
  <c r="C317" i="28"/>
  <c r="R316" i="28"/>
  <c r="S316" i="28" s="1"/>
  <c r="C316" i="28"/>
  <c r="R315" i="28"/>
  <c r="S315" i="28" s="1"/>
  <c r="C315" i="28"/>
  <c r="R314" i="28"/>
  <c r="S314" i="28" s="1"/>
  <c r="C314" i="28"/>
  <c r="R313" i="28"/>
  <c r="S313" i="28" s="1"/>
  <c r="C313" i="28"/>
  <c r="R312" i="28"/>
  <c r="S312" i="28" s="1"/>
  <c r="C312" i="28"/>
  <c r="P311" i="28"/>
  <c r="R311" i="28" s="1"/>
  <c r="S311" i="28" s="1"/>
  <c r="R310" i="28"/>
  <c r="S310" i="28" s="1"/>
  <c r="C310" i="28"/>
  <c r="R309" i="28"/>
  <c r="S309" i="28" s="1"/>
  <c r="C309" i="28"/>
  <c r="R308" i="28"/>
  <c r="S308" i="28" s="1"/>
  <c r="C308" i="28"/>
  <c r="R307" i="28"/>
  <c r="S307" i="28" s="1"/>
  <c r="C307" i="28"/>
  <c r="R306" i="28"/>
  <c r="S306" i="28" s="1"/>
  <c r="C306" i="28"/>
  <c r="R305" i="28"/>
  <c r="S305" i="28" s="1"/>
  <c r="C305" i="28"/>
  <c r="R304" i="28"/>
  <c r="S304" i="28" s="1"/>
  <c r="C304" i="28"/>
  <c r="R303" i="28"/>
  <c r="S303" i="28" s="1"/>
  <c r="C303" i="28"/>
  <c r="R302" i="28"/>
  <c r="S302" i="28" s="1"/>
  <c r="C302" i="28"/>
  <c r="R301" i="28"/>
  <c r="S301" i="28" s="1"/>
  <c r="C301" i="28"/>
  <c r="P300" i="28"/>
  <c r="R300" i="28" s="1"/>
  <c r="S300" i="28" s="1"/>
  <c r="R299" i="28"/>
  <c r="S299" i="28" s="1"/>
  <c r="C299" i="28"/>
  <c r="R298" i="28"/>
  <c r="S298" i="28" s="1"/>
  <c r="C298" i="28"/>
  <c r="R297" i="28"/>
  <c r="S297" i="28" s="1"/>
  <c r="C297" i="28"/>
  <c r="R296" i="28"/>
  <c r="S296" i="28" s="1"/>
  <c r="C296" i="28"/>
  <c r="R295" i="28"/>
  <c r="S295" i="28" s="1"/>
  <c r="C295" i="28"/>
  <c r="R294" i="28"/>
  <c r="S294" i="28" s="1"/>
  <c r="C294" i="28"/>
  <c r="R293" i="28"/>
  <c r="S293" i="28" s="1"/>
  <c r="C293" i="28"/>
  <c r="R292" i="28"/>
  <c r="S292" i="28" s="1"/>
  <c r="C292" i="28"/>
  <c r="R291" i="28"/>
  <c r="S291" i="28" s="1"/>
  <c r="C291" i="28"/>
  <c r="R290" i="28"/>
  <c r="S290" i="28" s="1"/>
  <c r="C290" i="28"/>
  <c r="P289" i="28"/>
  <c r="R289" i="28" s="1"/>
  <c r="S289" i="28" s="1"/>
  <c r="R288" i="28"/>
  <c r="S288" i="28" s="1"/>
  <c r="R287" i="28"/>
  <c r="S287" i="28" s="1"/>
  <c r="R286" i="28"/>
  <c r="S286" i="28" s="1"/>
  <c r="R285" i="28"/>
  <c r="S285" i="28" s="1"/>
  <c r="R284" i="28"/>
  <c r="S284" i="28" s="1"/>
  <c r="R283" i="28"/>
  <c r="S283" i="28" s="1"/>
  <c r="R282" i="28"/>
  <c r="S282" i="28" s="1"/>
  <c r="R281" i="28"/>
  <c r="S281" i="28" s="1"/>
  <c r="R280" i="28"/>
  <c r="S280" i="28" s="1"/>
  <c r="R279" i="28"/>
  <c r="S279" i="28" s="1"/>
  <c r="P278" i="28"/>
  <c r="R278" i="28" s="1"/>
  <c r="S278" i="28" s="1"/>
  <c r="E288" i="28"/>
  <c r="E299" i="28" s="1"/>
  <c r="E310" i="28" s="1"/>
  <c r="E321" i="28" s="1"/>
  <c r="E287" i="28"/>
  <c r="E298" i="28" s="1"/>
  <c r="F298" i="28" s="1"/>
  <c r="G298" i="28" s="1"/>
  <c r="E286" i="28"/>
  <c r="F286" i="28" s="1"/>
  <c r="G286" i="28" s="1"/>
  <c r="E285" i="28"/>
  <c r="F285" i="28" s="1"/>
  <c r="G285" i="28" s="1"/>
  <c r="E284" i="28"/>
  <c r="E295" i="28" s="1"/>
  <c r="E306" i="28" s="1"/>
  <c r="E283" i="28"/>
  <c r="E294" i="28" s="1"/>
  <c r="E282" i="28"/>
  <c r="E293" i="28" s="1"/>
  <c r="E281" i="28"/>
  <c r="E292" i="28" s="1"/>
  <c r="F292" i="28" s="1"/>
  <c r="G292" i="28" s="1"/>
  <c r="E280" i="28"/>
  <c r="E291" i="28" s="1"/>
  <c r="E302" i="28" s="1"/>
  <c r="E313" i="28" s="1"/>
  <c r="E279" i="28"/>
  <c r="E290" i="28" s="1"/>
  <c r="F290" i="28" s="1"/>
  <c r="G290" i="28" s="1"/>
  <c r="E278" i="28"/>
  <c r="F278" i="28" s="1"/>
  <c r="G278" i="28" s="1"/>
  <c r="C288" i="28"/>
  <c r="C287" i="28"/>
  <c r="C286" i="28"/>
  <c r="C285" i="28"/>
  <c r="C284" i="28"/>
  <c r="C283" i="28"/>
  <c r="C282" i="28"/>
  <c r="C281" i="28"/>
  <c r="C280" i="28"/>
  <c r="C279" i="28"/>
  <c r="R277" i="28"/>
  <c r="S277" i="28" s="1"/>
  <c r="F277" i="28"/>
  <c r="G277" i="28" s="1"/>
  <c r="C277" i="28"/>
  <c r="R276" i="28"/>
  <c r="S276" i="28" s="1"/>
  <c r="F276" i="28"/>
  <c r="G276" i="28" s="1"/>
  <c r="C276" i="28"/>
  <c r="R275" i="28"/>
  <c r="S275" i="28" s="1"/>
  <c r="F275" i="28"/>
  <c r="G275" i="28" s="1"/>
  <c r="C275" i="28"/>
  <c r="R274" i="28"/>
  <c r="S274" i="28" s="1"/>
  <c r="F274" i="28"/>
  <c r="G274" i="28" s="1"/>
  <c r="C274" i="28"/>
  <c r="R273" i="28"/>
  <c r="S273" i="28" s="1"/>
  <c r="F273" i="28"/>
  <c r="G273" i="28" s="1"/>
  <c r="C273" i="28"/>
  <c r="R272" i="28"/>
  <c r="S272" i="28" s="1"/>
  <c r="F272" i="28"/>
  <c r="G272" i="28" s="1"/>
  <c r="C272" i="28"/>
  <c r="R271" i="28"/>
  <c r="S271" i="28" s="1"/>
  <c r="F271" i="28"/>
  <c r="G271" i="28" s="1"/>
  <c r="C271" i="28"/>
  <c r="R270" i="28"/>
  <c r="S270" i="28" s="1"/>
  <c r="F270" i="28"/>
  <c r="G270" i="28" s="1"/>
  <c r="C270" i="28"/>
  <c r="R269" i="28"/>
  <c r="S269" i="28" s="1"/>
  <c r="F269" i="28"/>
  <c r="G269" i="28" s="1"/>
  <c r="C269" i="28"/>
  <c r="R268" i="28"/>
  <c r="S268" i="28" s="1"/>
  <c r="F268" i="28"/>
  <c r="G268" i="28" s="1"/>
  <c r="C268" i="28"/>
  <c r="P267" i="28"/>
  <c r="R267" i="28" s="1"/>
  <c r="S267" i="28" s="1"/>
  <c r="F267" i="28"/>
  <c r="G267" i="28" s="1"/>
  <c r="R266" i="28"/>
  <c r="S266" i="28" s="1"/>
  <c r="G266" i="28"/>
  <c r="C266" i="28"/>
  <c r="R265" i="28"/>
  <c r="S265" i="28" s="1"/>
  <c r="G265" i="28"/>
  <c r="C265" i="28"/>
  <c r="R264" i="28"/>
  <c r="S264" i="28" s="1"/>
  <c r="G264" i="28"/>
  <c r="C264" i="28"/>
  <c r="R263" i="28"/>
  <c r="S263" i="28" s="1"/>
  <c r="G263" i="28"/>
  <c r="C263" i="28"/>
  <c r="R262" i="28"/>
  <c r="S262" i="28" s="1"/>
  <c r="G262" i="28"/>
  <c r="C262" i="28"/>
  <c r="R261" i="28"/>
  <c r="S261" i="28" s="1"/>
  <c r="G261" i="28"/>
  <c r="C261" i="28"/>
  <c r="R260" i="28"/>
  <c r="S260" i="28" s="1"/>
  <c r="G260" i="28"/>
  <c r="C260" i="28"/>
  <c r="R259" i="28"/>
  <c r="S259" i="28" s="1"/>
  <c r="G259" i="28"/>
  <c r="C259" i="28"/>
  <c r="R258" i="28"/>
  <c r="S258" i="28" s="1"/>
  <c r="G258" i="28"/>
  <c r="C258" i="28"/>
  <c r="R257" i="28"/>
  <c r="S257" i="28" s="1"/>
  <c r="G257" i="28"/>
  <c r="C257" i="28"/>
  <c r="G256" i="28"/>
  <c r="P256" i="28"/>
  <c r="R255" i="28"/>
  <c r="S255" i="28" s="1"/>
  <c r="G255" i="28"/>
  <c r="C255" i="28"/>
  <c r="R254" i="28"/>
  <c r="S254" i="28" s="1"/>
  <c r="G254" i="28"/>
  <c r="C254" i="28"/>
  <c r="R253" i="28"/>
  <c r="S253" i="28" s="1"/>
  <c r="G253" i="28"/>
  <c r="C253" i="28"/>
  <c r="R252" i="28"/>
  <c r="S252" i="28" s="1"/>
  <c r="G252" i="28"/>
  <c r="C252" i="28"/>
  <c r="R251" i="28"/>
  <c r="S251" i="28" s="1"/>
  <c r="G251" i="28"/>
  <c r="C251" i="28"/>
  <c r="R250" i="28"/>
  <c r="S250" i="28" s="1"/>
  <c r="G250" i="28"/>
  <c r="C250" i="28"/>
  <c r="R249" i="28"/>
  <c r="S249" i="28" s="1"/>
  <c r="G249" i="28"/>
  <c r="C249" i="28"/>
  <c r="R248" i="28"/>
  <c r="S248" i="28" s="1"/>
  <c r="G248" i="28"/>
  <c r="C248" i="28"/>
  <c r="R247" i="28"/>
  <c r="S247" i="28" s="1"/>
  <c r="G247" i="28"/>
  <c r="C247" i="28"/>
  <c r="R246" i="28"/>
  <c r="S246" i="28" s="1"/>
  <c r="G246" i="28"/>
  <c r="C246" i="28"/>
  <c r="G245" i="28"/>
  <c r="P245" i="28"/>
  <c r="R245" i="28" s="1"/>
  <c r="S245" i="28" s="1"/>
  <c r="R244" i="28"/>
  <c r="S244" i="28" s="1"/>
  <c r="G244" i="28"/>
  <c r="C244" i="28"/>
  <c r="R243" i="28"/>
  <c r="S243" i="28" s="1"/>
  <c r="G243" i="28"/>
  <c r="C243" i="28"/>
  <c r="R242" i="28"/>
  <c r="S242" i="28" s="1"/>
  <c r="G242" i="28"/>
  <c r="C242" i="28"/>
  <c r="R241" i="28"/>
  <c r="S241" i="28" s="1"/>
  <c r="G241" i="28"/>
  <c r="C241" i="28"/>
  <c r="R240" i="28"/>
  <c r="S240" i="28" s="1"/>
  <c r="G240" i="28"/>
  <c r="C240" i="28"/>
  <c r="R239" i="28"/>
  <c r="S239" i="28" s="1"/>
  <c r="G239" i="28"/>
  <c r="C239" i="28"/>
  <c r="R238" i="28"/>
  <c r="S238" i="28" s="1"/>
  <c r="G238" i="28"/>
  <c r="C238" i="28"/>
  <c r="R237" i="28"/>
  <c r="S237" i="28" s="1"/>
  <c r="G237" i="28"/>
  <c r="C237" i="28"/>
  <c r="R236" i="28"/>
  <c r="S236" i="28" s="1"/>
  <c r="G236" i="28"/>
  <c r="C236" i="28"/>
  <c r="R235" i="28"/>
  <c r="S235" i="28" s="1"/>
  <c r="G235" i="28"/>
  <c r="C235" i="28"/>
  <c r="P234" i="28"/>
  <c r="R234" i="28" s="1"/>
  <c r="S234" i="28" s="1"/>
  <c r="G234" i="28"/>
  <c r="A212" i="28"/>
  <c r="A213" i="28" s="1"/>
  <c r="A214" i="28" s="1"/>
  <c r="A215" i="28" s="1"/>
  <c r="A216" i="28" s="1"/>
  <c r="A217" i="28" s="1"/>
  <c r="A218" i="28" s="1"/>
  <c r="A219" i="28" s="1"/>
  <c r="A220" i="28" s="1"/>
  <c r="A221" i="28" s="1"/>
  <c r="A222" i="28" s="1"/>
  <c r="A223" i="28" s="1"/>
  <c r="A224" i="28" s="1"/>
  <c r="A225" i="28" s="1"/>
  <c r="A226" i="28" s="1"/>
  <c r="A227" i="28" s="1"/>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s="1"/>
  <c r="A258" i="28" s="1"/>
  <c r="A259" i="28" s="1"/>
  <c r="A260" i="28" s="1"/>
  <c r="A261" i="28" s="1"/>
  <c r="A262" i="28" s="1"/>
  <c r="A263" i="28" s="1"/>
  <c r="A264" i="28" s="1"/>
  <c r="A265" i="28" s="1"/>
  <c r="A266" i="28" s="1"/>
  <c r="R233" i="28"/>
  <c r="S233" i="28" s="1"/>
  <c r="G233" i="28"/>
  <c r="C233" i="28"/>
  <c r="R232" i="28"/>
  <c r="S232" i="28" s="1"/>
  <c r="G232" i="28"/>
  <c r="C232" i="28"/>
  <c r="R231" i="28"/>
  <c r="S231" i="28" s="1"/>
  <c r="G231" i="28"/>
  <c r="C231" i="28"/>
  <c r="R230" i="28"/>
  <c r="S230" i="28" s="1"/>
  <c r="G230" i="28"/>
  <c r="C230" i="28"/>
  <c r="R229" i="28"/>
  <c r="S229" i="28" s="1"/>
  <c r="G229" i="28"/>
  <c r="C229" i="28"/>
  <c r="R228" i="28"/>
  <c r="S228" i="28" s="1"/>
  <c r="G228" i="28"/>
  <c r="C228" i="28"/>
  <c r="R227" i="28"/>
  <c r="S227" i="28" s="1"/>
  <c r="G227" i="28"/>
  <c r="C227" i="28"/>
  <c r="R226" i="28"/>
  <c r="S226" i="28" s="1"/>
  <c r="G226" i="28"/>
  <c r="C226" i="28"/>
  <c r="R225" i="28"/>
  <c r="S225" i="28" s="1"/>
  <c r="G225" i="28"/>
  <c r="C225" i="28"/>
  <c r="R224" i="28"/>
  <c r="S224" i="28" s="1"/>
  <c r="G224" i="28"/>
  <c r="C224" i="28"/>
  <c r="P223" i="28"/>
  <c r="R223" i="28" s="1"/>
  <c r="S223" i="28" s="1"/>
  <c r="G223" i="28"/>
  <c r="R222" i="28"/>
  <c r="S222" i="28" s="1"/>
  <c r="R221" i="28"/>
  <c r="S221" i="28" s="1"/>
  <c r="R220" i="28"/>
  <c r="S220" i="28" s="1"/>
  <c r="R219" i="28"/>
  <c r="S219" i="28" s="1"/>
  <c r="R218" i="28"/>
  <c r="S218" i="28" s="1"/>
  <c r="R217" i="28"/>
  <c r="S217" i="28" s="1"/>
  <c r="R216" i="28"/>
  <c r="S216" i="28" s="1"/>
  <c r="R215" i="28"/>
  <c r="S215" i="28" s="1"/>
  <c r="R214" i="28"/>
  <c r="S214" i="28" s="1"/>
  <c r="R213" i="28"/>
  <c r="S213" i="28" s="1"/>
  <c r="P212" i="28"/>
  <c r="R212" i="28" s="1"/>
  <c r="S212" i="28" s="1"/>
  <c r="G222" i="28"/>
  <c r="G221" i="28"/>
  <c r="G220" i="28"/>
  <c r="G219" i="28"/>
  <c r="G218" i="28"/>
  <c r="G217" i="28"/>
  <c r="G216" i="28"/>
  <c r="G215" i="28"/>
  <c r="G214" i="28"/>
  <c r="G213" i="28"/>
  <c r="G212" i="28"/>
  <c r="C222" i="28"/>
  <c r="C221" i="28"/>
  <c r="C220" i="28"/>
  <c r="C219" i="28"/>
  <c r="C218" i="28"/>
  <c r="C217" i="28"/>
  <c r="C216" i="28"/>
  <c r="C215" i="28"/>
  <c r="C214" i="28"/>
  <c r="C213" i="28"/>
  <c r="G211" i="28"/>
  <c r="G210" i="28"/>
  <c r="G209" i="28"/>
  <c r="G208" i="28"/>
  <c r="G207" i="28"/>
  <c r="G206" i="28"/>
  <c r="G205" i="28"/>
  <c r="G204" i="28"/>
  <c r="G203" i="28"/>
  <c r="G202" i="28"/>
  <c r="G201" i="28"/>
  <c r="G200" i="28"/>
  <c r="G199" i="28"/>
  <c r="G198" i="28"/>
  <c r="G197" i="28"/>
  <c r="G196" i="28"/>
  <c r="G195" i="28"/>
  <c r="G194" i="28"/>
  <c r="G193" i="28"/>
  <c r="G192" i="28"/>
  <c r="G191" i="28"/>
  <c r="G190" i="28"/>
  <c r="G189" i="28"/>
  <c r="G188" i="28"/>
  <c r="G187" i="28"/>
  <c r="G186" i="28"/>
  <c r="G185" i="28"/>
  <c r="G184" i="28"/>
  <c r="G183" i="28"/>
  <c r="G182" i="28"/>
  <c r="G181" i="28"/>
  <c r="G180" i="28"/>
  <c r="G179" i="28"/>
  <c r="G178" i="28"/>
  <c r="G177" i="28"/>
  <c r="G176" i="28"/>
  <c r="G175" i="28"/>
  <c r="G174" i="28"/>
  <c r="G173" i="28"/>
  <c r="G172" i="28"/>
  <c r="G171" i="28"/>
  <c r="G170" i="28"/>
  <c r="G169" i="28"/>
  <c r="G168" i="28"/>
  <c r="G167" i="28"/>
  <c r="G166" i="28"/>
  <c r="G165" i="28"/>
  <c r="G164" i="28"/>
  <c r="G163" i="28"/>
  <c r="G162" i="28"/>
  <c r="G161" i="28"/>
  <c r="G160" i="28"/>
  <c r="G159" i="28"/>
  <c r="G158" i="28"/>
  <c r="G157" i="28"/>
  <c r="G156" i="28"/>
  <c r="G155" i="28"/>
  <c r="G154" i="28"/>
  <c r="G153" i="28"/>
  <c r="G152" i="28"/>
  <c r="G151" i="28"/>
  <c r="G150" i="28"/>
  <c r="G149" i="28"/>
  <c r="G148" i="28"/>
  <c r="G147" i="28"/>
  <c r="G146" i="28"/>
  <c r="G145" i="28"/>
  <c r="G144" i="28"/>
  <c r="G143" i="28"/>
  <c r="G142" i="28"/>
  <c r="G141" i="28"/>
  <c r="G140" i="28"/>
  <c r="G139" i="28"/>
  <c r="G138" i="28"/>
  <c r="G137" i="28"/>
  <c r="G136" i="28"/>
  <c r="G135" i="28"/>
  <c r="G134" i="28"/>
  <c r="G133" i="28"/>
  <c r="G132" i="28"/>
  <c r="G131" i="28"/>
  <c r="G130" i="28"/>
  <c r="G129" i="28"/>
  <c r="G128" i="28"/>
  <c r="G127" i="28"/>
  <c r="G126" i="28"/>
  <c r="G125" i="28"/>
  <c r="G124" i="28"/>
  <c r="G123" i="28"/>
  <c r="G122" i="28"/>
  <c r="G121" i="28"/>
  <c r="G120" i="28"/>
  <c r="G119" i="28"/>
  <c r="G118" i="28"/>
  <c r="G117" i="28"/>
  <c r="G116" i="28"/>
  <c r="G115" i="28"/>
  <c r="G114" i="28"/>
  <c r="G113" i="28"/>
  <c r="G112" i="28"/>
  <c r="G111" i="28"/>
  <c r="G110" i="28"/>
  <c r="G109" i="28"/>
  <c r="G108" i="28"/>
  <c r="G107" i="28"/>
  <c r="G106" i="28"/>
  <c r="G105" i="28"/>
  <c r="G104" i="28"/>
  <c r="G103" i="28"/>
  <c r="G102" i="28"/>
  <c r="G101" i="28"/>
  <c r="G100" i="28"/>
  <c r="G99" i="28"/>
  <c r="G98" i="28"/>
  <c r="G97" i="28"/>
  <c r="G96" i="28"/>
  <c r="G95" i="28"/>
  <c r="G94" i="28"/>
  <c r="G93" i="28"/>
  <c r="G92" i="28"/>
  <c r="G91" i="28"/>
  <c r="G90" i="28"/>
  <c r="G89" i="28"/>
  <c r="G88" i="28"/>
  <c r="G87" i="28"/>
  <c r="G86" i="28"/>
  <c r="G85" i="28"/>
  <c r="G84" i="28"/>
  <c r="G83" i="28"/>
  <c r="G82" i="28"/>
  <c r="G81" i="28"/>
  <c r="G80" i="28"/>
  <c r="G79" i="28"/>
  <c r="G78" i="28"/>
  <c r="G77" i="28"/>
  <c r="G76" i="28"/>
  <c r="G75" i="28"/>
  <c r="G74" i="28"/>
  <c r="G73" i="28"/>
  <c r="G72" i="28"/>
  <c r="G71" i="28"/>
  <c r="G70" i="28"/>
  <c r="G69" i="28"/>
  <c r="G68" i="28"/>
  <c r="G67" i="28"/>
  <c r="G66" i="28"/>
  <c r="G65" i="28"/>
  <c r="G64" i="28"/>
  <c r="G63" i="28"/>
  <c r="G62" i="28"/>
  <c r="G61" i="28"/>
  <c r="G60" i="28"/>
  <c r="G59" i="28"/>
  <c r="G58" i="28"/>
  <c r="G57" i="28"/>
  <c r="G56" i="28"/>
  <c r="G55" i="28"/>
  <c r="G54" i="28"/>
  <c r="G53" i="28"/>
  <c r="G52" i="28"/>
  <c r="G51" i="28"/>
  <c r="G50" i="28"/>
  <c r="G49" i="28"/>
  <c r="G48" i="28"/>
  <c r="G47" i="28"/>
  <c r="G46" i="28"/>
  <c r="G45" i="28"/>
  <c r="G44" i="28"/>
  <c r="G43" i="28"/>
  <c r="G42" i="28"/>
  <c r="G41" i="28"/>
  <c r="G40" i="28"/>
  <c r="G39" i="28"/>
  <c r="G38" i="28"/>
  <c r="G37" i="28"/>
  <c r="G36" i="28"/>
  <c r="G35" i="28"/>
  <c r="G34" i="28"/>
  <c r="G33" i="28"/>
  <c r="G32" i="28"/>
  <c r="G31" i="28"/>
  <c r="G30" i="28"/>
  <c r="G29" i="28"/>
  <c r="G28" i="28"/>
  <c r="G27" i="28"/>
  <c r="G26" i="28"/>
  <c r="G25" i="28"/>
  <c r="G24" i="28"/>
  <c r="G23" i="28"/>
  <c r="G22" i="28"/>
  <c r="G21" i="28"/>
  <c r="G20" i="28"/>
  <c r="G19" i="28"/>
  <c r="G18" i="28"/>
  <c r="G17" i="28"/>
  <c r="G16" i="28"/>
  <c r="G15" i="28"/>
  <c r="G14" i="28"/>
  <c r="G13" i="28"/>
  <c r="G12" i="28"/>
  <c r="G11" i="28"/>
  <c r="G10" i="28"/>
  <c r="G9" i="28"/>
  <c r="G8" i="28"/>
  <c r="G7" i="28"/>
  <c r="G6" i="28"/>
  <c r="G5" i="28"/>
  <c r="G4" i="28"/>
  <c r="AC20" i="24" l="1"/>
  <c r="AF20" i="24"/>
  <c r="AD20" i="24"/>
  <c r="AE20" i="24"/>
  <c r="AB20" i="24"/>
  <c r="S27" i="15"/>
  <c r="M27" i="15"/>
  <c r="W30" i="15"/>
  <c r="W26" i="15"/>
  <c r="S26" i="15"/>
  <c r="G27" i="15"/>
  <c r="Q27" i="15"/>
  <c r="U27" i="15"/>
  <c r="U30" i="15"/>
  <c r="G26" i="15"/>
  <c r="Y26" i="15"/>
  <c r="I27" i="15"/>
  <c r="O27" i="15"/>
  <c r="Y27" i="15"/>
  <c r="O26" i="15"/>
  <c r="K26" i="15"/>
  <c r="K27" i="15"/>
  <c r="W27" i="15"/>
  <c r="I30" i="15"/>
  <c r="M26" i="15"/>
  <c r="Q26" i="15"/>
  <c r="H27" i="15"/>
  <c r="J27" i="15"/>
  <c r="L27" i="15"/>
  <c r="N27" i="15"/>
  <c r="P27" i="15"/>
  <c r="R27" i="15"/>
  <c r="T27" i="15"/>
  <c r="V27" i="15"/>
  <c r="Z27" i="15"/>
  <c r="H30" i="15"/>
  <c r="H26" i="15"/>
  <c r="J30" i="15"/>
  <c r="L30" i="15"/>
  <c r="L26" i="15"/>
  <c r="N30" i="15"/>
  <c r="N26" i="15"/>
  <c r="P30" i="15"/>
  <c r="P26" i="15"/>
  <c r="R30" i="15"/>
  <c r="R26" i="15"/>
  <c r="T30" i="15"/>
  <c r="T26" i="15"/>
  <c r="V30" i="15"/>
  <c r="Z30" i="15"/>
  <c r="Z26" i="15"/>
  <c r="R256" i="28"/>
  <c r="S256" i="28" s="1"/>
  <c r="AF28" i="24"/>
  <c r="AF24" i="24"/>
  <c r="AE28" i="24"/>
  <c r="AE24" i="24"/>
  <c r="AE12" i="24"/>
  <c r="AD28" i="24"/>
  <c r="AD24" i="24"/>
  <c r="AD16" i="24"/>
  <c r="AC24" i="24"/>
  <c r="AB28" i="24"/>
  <c r="AB24" i="24"/>
  <c r="AB16" i="24"/>
  <c r="AA28" i="24"/>
  <c r="AA24" i="24"/>
  <c r="Z24" i="24"/>
  <c r="Y28" i="24"/>
  <c r="Y24" i="24"/>
  <c r="Y12" i="24"/>
  <c r="AB18" i="24"/>
  <c r="AA26" i="24"/>
  <c r="Z18" i="24"/>
  <c r="Y26" i="24"/>
  <c r="AF21" i="24"/>
  <c r="AF13" i="24"/>
  <c r="AE17" i="24"/>
  <c r="AD25" i="24"/>
  <c r="AF27" i="24"/>
  <c r="AF23" i="24"/>
  <c r="AF19" i="24"/>
  <c r="AF11" i="24"/>
  <c r="AF7" i="24"/>
  <c r="AE27" i="24"/>
  <c r="AE23" i="24"/>
  <c r="AE19" i="24"/>
  <c r="AE11" i="24"/>
  <c r="AE7" i="24"/>
  <c r="AD27" i="24"/>
  <c r="AD23" i="24"/>
  <c r="AD19" i="24"/>
  <c r="AD11" i="24"/>
  <c r="AD7" i="24"/>
  <c r="AC27" i="24"/>
  <c r="AC11" i="24"/>
  <c r="AC7" i="24"/>
  <c r="AB27" i="24"/>
  <c r="AB23" i="24"/>
  <c r="AB19" i="24"/>
  <c r="AB11" i="24"/>
  <c r="AB7" i="24"/>
  <c r="AA27" i="24"/>
  <c r="AA23" i="24"/>
  <c r="AA19" i="24"/>
  <c r="AA11" i="24"/>
  <c r="AA7" i="24"/>
  <c r="Z27" i="24"/>
  <c r="Z11" i="24"/>
  <c r="Z7" i="24"/>
  <c r="Y27" i="24"/>
  <c r="Y23" i="24"/>
  <c r="Y19" i="24"/>
  <c r="Y11" i="24"/>
  <c r="Y7" i="24"/>
  <c r="AC22" i="24"/>
  <c r="AC14" i="24"/>
  <c r="AB26" i="24"/>
  <c r="AB22" i="24"/>
  <c r="AB14" i="24"/>
  <c r="AA22" i="24"/>
  <c r="AA14" i="24"/>
  <c r="Z22" i="24"/>
  <c r="Z14" i="24"/>
  <c r="Z6" i="24"/>
  <c r="Y22" i="24"/>
  <c r="Y14" i="24"/>
  <c r="AE21" i="24"/>
  <c r="AD21" i="24"/>
  <c r="AD13" i="24"/>
  <c r="AF26" i="24"/>
  <c r="AF22" i="24"/>
  <c r="AF18" i="24"/>
  <c r="AF14" i="24"/>
  <c r="AE26" i="24"/>
  <c r="AE22" i="24"/>
  <c r="AE14" i="24"/>
  <c r="AD26" i="24"/>
  <c r="AD22" i="24"/>
  <c r="AD18" i="24"/>
  <c r="AD14" i="24"/>
  <c r="AC21" i="24"/>
  <c r="AB13" i="24"/>
  <c r="AA21" i="24"/>
  <c r="Z13" i="24"/>
  <c r="Y21" i="24"/>
  <c r="AB25" i="24"/>
  <c r="Y17" i="24"/>
  <c r="AB21" i="24"/>
  <c r="Z21" i="24"/>
  <c r="X26" i="24"/>
  <c r="X22" i="24"/>
  <c r="X18" i="24"/>
  <c r="W26" i="24"/>
  <c r="W22" i="24"/>
  <c r="V22" i="24"/>
  <c r="X28" i="24"/>
  <c r="X24" i="24"/>
  <c r="W24" i="24"/>
  <c r="V24" i="24"/>
  <c r="X27" i="24"/>
  <c r="X19" i="24"/>
  <c r="W27" i="24"/>
  <c r="V27" i="24"/>
  <c r="X13" i="24"/>
  <c r="W25" i="24"/>
  <c r="W21" i="24"/>
  <c r="W28" i="24"/>
  <c r="X23" i="24"/>
  <c r="W23" i="24"/>
  <c r="D37" i="19"/>
  <c r="D38" i="19"/>
  <c r="C36" i="19"/>
  <c r="D36" i="19"/>
  <c r="C38" i="19"/>
  <c r="C39" i="19"/>
  <c r="D39" i="19"/>
  <c r="F302" i="28"/>
  <c r="G302" i="28" s="1"/>
  <c r="F299" i="28"/>
  <c r="G299" i="28" s="1"/>
  <c r="F291" i="28"/>
  <c r="G291" i="28" s="1"/>
  <c r="X27" i="15"/>
  <c r="X30" i="15"/>
  <c r="F284" i="28"/>
  <c r="G284" i="28" s="1"/>
  <c r="F282" i="28"/>
  <c r="G282" i="28" s="1"/>
  <c r="E289" i="28"/>
  <c r="F289" i="28" s="1"/>
  <c r="G289" i="28" s="1"/>
  <c r="E297" i="28"/>
  <c r="F280" i="28"/>
  <c r="G280" i="28" s="1"/>
  <c r="F288" i="28"/>
  <c r="G288" i="28" s="1"/>
  <c r="F293" i="28"/>
  <c r="G293" i="28" s="1"/>
  <c r="E304" i="28"/>
  <c r="E317" i="28"/>
  <c r="F306" i="28"/>
  <c r="G306" i="28" s="1"/>
  <c r="F294" i="28"/>
  <c r="G294" i="28" s="1"/>
  <c r="E305" i="28"/>
  <c r="E303" i="28"/>
  <c r="E314" i="28" s="1"/>
  <c r="E296" i="28"/>
  <c r="F279" i="28"/>
  <c r="G279" i="28" s="1"/>
  <c r="F281" i="28"/>
  <c r="G281" i="28" s="1"/>
  <c r="F283" i="28"/>
  <c r="G283" i="28" s="1"/>
  <c r="F287" i="28"/>
  <c r="G287" i="28" s="1"/>
  <c r="F295" i="28"/>
  <c r="G295" i="28" s="1"/>
  <c r="E301" i="28"/>
  <c r="E309" i="28"/>
  <c r="F321" i="28"/>
  <c r="G321" i="28" s="1"/>
  <c r="E332" i="28"/>
  <c r="E343" i="28" s="1"/>
  <c r="F313" i="28"/>
  <c r="G313" i="28" s="1"/>
  <c r="E324" i="28"/>
  <c r="F310" i="28"/>
  <c r="G310" i="28" s="1"/>
  <c r="A267" i="28"/>
  <c r="A268" i="28" s="1"/>
  <c r="A269" i="28" s="1"/>
  <c r="A270" i="28" s="1"/>
  <c r="A271" i="28" s="1"/>
  <c r="A272" i="28" s="1"/>
  <c r="A273" i="28" s="1"/>
  <c r="A274" i="28" s="1"/>
  <c r="A275" i="28" s="1"/>
  <c r="A276" i="28" s="1"/>
  <c r="A277" i="28" s="1"/>
  <c r="A278" i="28" s="1"/>
  <c r="A279" i="28" s="1"/>
  <c r="A280" i="28" s="1"/>
  <c r="A281" i="28" s="1"/>
  <c r="A282" i="28" s="1"/>
  <c r="A283" i="28" s="1"/>
  <c r="A284" i="28" s="1"/>
  <c r="A285" i="28" s="1"/>
  <c r="A286" i="28" s="1"/>
  <c r="A287" i="28" s="1"/>
  <c r="A288" i="28" s="1"/>
  <c r="A289" i="28" s="1"/>
  <c r="A290" i="28" s="1"/>
  <c r="A291" i="28" s="1"/>
  <c r="A292" i="28" s="1"/>
  <c r="A293" i="28" s="1"/>
  <c r="A294" i="28" s="1"/>
  <c r="A295" i="28" s="1"/>
  <c r="A296" i="28" s="1"/>
  <c r="A297" i="28" s="1"/>
  <c r="A298" i="28" s="1"/>
  <c r="A299" i="28" s="1"/>
  <c r="A300" i="28" s="1"/>
  <c r="A301" i="28" s="1"/>
  <c r="A302" i="28" s="1"/>
  <c r="A303" i="28" s="1"/>
  <c r="A304" i="28" s="1"/>
  <c r="A305" i="28" s="1"/>
  <c r="A306" i="28" s="1"/>
  <c r="A307" i="28" s="1"/>
  <c r="A308" i="28" s="1"/>
  <c r="A309" i="28" s="1"/>
  <c r="A310" i="28" s="1"/>
  <c r="A311" i="28" s="1"/>
  <c r="A312" i="28" s="1"/>
  <c r="A313" i="28" s="1"/>
  <c r="A314" i="28" s="1"/>
  <c r="A315" i="28" s="1"/>
  <c r="A316" i="28" s="1"/>
  <c r="A317" i="28" s="1"/>
  <c r="A318" i="28" s="1"/>
  <c r="A319" i="28" s="1"/>
  <c r="A320" i="28" s="1"/>
  <c r="A321" i="28" s="1"/>
  <c r="A322" i="28" s="1"/>
  <c r="A323" i="28" s="1"/>
  <c r="A324" i="28" s="1"/>
  <c r="A325" i="28" s="1"/>
  <c r="A326" i="28" s="1"/>
  <c r="A327" i="28" s="1"/>
  <c r="A328" i="28" s="1"/>
  <c r="A329" i="28" s="1"/>
  <c r="A330" i="28" s="1"/>
  <c r="A331" i="28" s="1"/>
  <c r="A332" i="28" s="1"/>
  <c r="A333" i="28" s="1"/>
  <c r="A334" i="28" s="1"/>
  <c r="A335" i="28" s="1"/>
  <c r="A336" i="28" s="1"/>
  <c r="A337" i="28" s="1"/>
  <c r="A338" i="28" s="1"/>
  <c r="A339" i="28" s="1"/>
  <c r="A340" i="28" s="1"/>
  <c r="A341" i="28" s="1"/>
  <c r="A342" i="28" s="1"/>
  <c r="A343" i="28" s="1"/>
  <c r="A344" i="28" s="1"/>
  <c r="A345" i="28" s="1"/>
  <c r="A346" i="28" s="1"/>
  <c r="A347" i="28" s="1"/>
  <c r="A348" i="28" s="1"/>
  <c r="A349" i="28" s="1"/>
  <c r="A350" i="28" s="1"/>
  <c r="A351" i="28" s="1"/>
  <c r="A352" i="28" s="1"/>
  <c r="A353" i="28" s="1"/>
  <c r="A354" i="28" s="1"/>
  <c r="A355" i="28" s="1"/>
  <c r="A356" i="28" s="1"/>
  <c r="A357" i="28" s="1"/>
  <c r="A358" i="28" s="1"/>
  <c r="A359" i="28" s="1"/>
  <c r="A360" i="28" s="1"/>
  <c r="A361" i="28" s="1"/>
  <c r="A362" i="28" s="1"/>
  <c r="A363" i="28" s="1"/>
  <c r="A364" i="28" s="1"/>
  <c r="A365" i="28" s="1"/>
  <c r="A366" i="28" s="1"/>
  <c r="A367" i="28" s="1"/>
  <c r="A368" i="28" s="1"/>
  <c r="A369" i="28" s="1"/>
  <c r="A370" i="28" s="1"/>
  <c r="A371" i="28" s="1"/>
  <c r="A372" i="28" s="1"/>
  <c r="A373" i="28" s="1"/>
  <c r="A374" i="28" s="1"/>
  <c r="A375" i="28" s="1"/>
  <c r="A376" i="28" s="1"/>
  <c r="A377" i="28" s="1"/>
  <c r="A378" i="28" s="1"/>
  <c r="A379" i="28" s="1"/>
  <c r="A380" i="28" s="1"/>
  <c r="A381" i="28" s="1"/>
  <c r="A382" i="28" s="1"/>
  <c r="A383" i="28" s="1"/>
  <c r="A384" i="28" s="1"/>
  <c r="A385" i="28" s="1"/>
  <c r="A386" i="28" s="1"/>
  <c r="A387" i="28" s="1"/>
  <c r="A388" i="28" s="1"/>
  <c r="A389" i="28" s="1"/>
  <c r="A390" i="28" s="1"/>
  <c r="A391" i="28" s="1"/>
  <c r="A392" i="28" s="1"/>
  <c r="A393" i="28" s="1"/>
  <c r="A394" i="28" s="1"/>
  <c r="A395" i="28" s="1"/>
  <c r="A396" i="28" s="1"/>
  <c r="A397" i="28" s="1"/>
  <c r="A398" i="28" s="1"/>
  <c r="A399" i="28" s="1"/>
  <c r="A400" i="28" s="1"/>
  <c r="A401" i="28" s="1"/>
  <c r="A402" i="28" s="1"/>
  <c r="A403" i="28" s="1"/>
  <c r="A404" i="28" s="1"/>
  <c r="A405" i="28" s="1"/>
  <c r="A406" i="28" s="1"/>
  <c r="A407" i="28" s="1"/>
  <c r="A408" i="28" s="1"/>
  <c r="A409" i="28" s="1"/>
  <c r="A410" i="28" s="1"/>
  <c r="A411" i="28" s="1"/>
  <c r="A412" i="28" s="1"/>
  <c r="A413" i="28" s="1"/>
  <c r="A414" i="28" s="1"/>
  <c r="A415" i="28" s="1"/>
  <c r="A416" i="28" s="1"/>
  <c r="A417" i="28" s="1"/>
  <c r="A418" i="28" s="1"/>
  <c r="A419" i="28" s="1"/>
  <c r="A420" i="28" s="1"/>
  <c r="A421" i="28" s="1"/>
  <c r="A422" i="28" s="1"/>
  <c r="A423" i="28" s="1"/>
  <c r="A424" i="28" s="1"/>
  <c r="A425" i="28" s="1"/>
  <c r="A426" i="28" s="1"/>
  <c r="A427" i="28" s="1"/>
  <c r="A428" i="28" s="1"/>
  <c r="A429" i="28" s="1"/>
  <c r="A430" i="28" s="1"/>
  <c r="A431" i="28" s="1"/>
  <c r="A432" i="28" s="1"/>
  <c r="A433" i="28" s="1"/>
  <c r="A434" i="28" s="1"/>
  <c r="A435" i="28" s="1"/>
  <c r="A436" i="28" s="1"/>
  <c r="A437" i="28" s="1"/>
  <c r="A438" i="28" s="1"/>
  <c r="A439" i="28" s="1"/>
  <c r="A440" i="28" s="1"/>
  <c r="A441" i="28" s="1"/>
  <c r="A442" i="28" s="1"/>
  <c r="A443" i="28" s="1"/>
  <c r="A444" i="28" s="1"/>
  <c r="A445" i="28" s="1"/>
  <c r="A446" i="28" s="1"/>
  <c r="A447" i="28" s="1"/>
  <c r="A448" i="28" s="1"/>
  <c r="A449" i="28" s="1"/>
  <c r="A450" i="28" s="1"/>
  <c r="A451" i="28" s="1"/>
  <c r="A452" i="28" s="1"/>
  <c r="A453" i="28" s="1"/>
  <c r="A454" i="28" s="1"/>
  <c r="A455" i="28" s="1"/>
  <c r="A456" i="28" s="1"/>
  <c r="A457" i="28" s="1"/>
  <c r="A458" i="28" s="1"/>
  <c r="A459" i="28" s="1"/>
  <c r="A460" i="28" s="1"/>
  <c r="A461" i="28" s="1"/>
  <c r="A462" i="28" s="1"/>
  <c r="A463" i="28" s="1"/>
  <c r="A464" i="28" s="1"/>
  <c r="A465" i="28" s="1"/>
  <c r="A466" i="28" s="1"/>
  <c r="A467" i="28" s="1"/>
  <c r="A468" i="28" s="1"/>
  <c r="A469" i="28" s="1"/>
  <c r="A470" i="28" s="1"/>
  <c r="A471" i="28" s="1"/>
  <c r="A472" i="28" s="1"/>
  <c r="A473" i="28" s="1"/>
  <c r="A474" i="28" s="1"/>
  <c r="A475" i="28" s="1"/>
  <c r="A476" i="28" s="1"/>
  <c r="A477" i="28" s="1"/>
  <c r="A478" i="28" s="1"/>
  <c r="A479" i="28" s="1"/>
  <c r="A480" i="28" s="1"/>
  <c r="A481" i="28" s="1"/>
  <c r="A482" i="28" s="1"/>
  <c r="A483" i="28" s="1"/>
  <c r="A484" i="28" s="1"/>
  <c r="A485" i="28" s="1"/>
  <c r="A486" i="28" s="1"/>
  <c r="A487" i="28" s="1"/>
  <c r="A488" i="28" s="1"/>
  <c r="A489" i="28" s="1"/>
  <c r="A490" i="28" s="1"/>
  <c r="A491" i="28" s="1"/>
  <c r="A492" i="28" s="1"/>
  <c r="A493" i="28" s="1"/>
  <c r="A494" i="28" s="1"/>
  <c r="A495" i="28" s="1"/>
  <c r="A496" i="28" s="1"/>
  <c r="A497" i="28" s="1"/>
  <c r="A498" i="28" s="1"/>
  <c r="A499" i="28" s="1"/>
  <c r="A500" i="28" s="1"/>
  <c r="A501" i="28" s="1"/>
  <c r="A502" i="28" s="1"/>
  <c r="A503" i="28" s="1"/>
  <c r="A504" i="28" s="1"/>
  <c r="A505" i="28" s="1"/>
  <c r="A506" i="28" s="1"/>
  <c r="A507" i="28" s="1"/>
  <c r="A508" i="28" s="1"/>
  <c r="A509" i="28" s="1"/>
  <c r="A510" i="28" s="1"/>
  <c r="A511" i="28" s="1"/>
  <c r="A512" i="28" s="1"/>
  <c r="A513" i="28" s="1"/>
  <c r="A514" i="28" s="1"/>
  <c r="A515" i="28" s="1"/>
  <c r="A516" i="28" s="1"/>
  <c r="A517" i="28" s="1"/>
  <c r="A518" i="28" s="1"/>
  <c r="A519" i="28" s="1"/>
  <c r="A520" i="28" s="1"/>
  <c r="A521" i="28" s="1"/>
  <c r="A522" i="28" s="1"/>
  <c r="A523" i="28" s="1"/>
  <c r="A524" i="28" s="1"/>
  <c r="A525" i="28" s="1"/>
  <c r="A526" i="28" s="1"/>
  <c r="A527" i="28" s="1"/>
  <c r="A528" i="28" s="1"/>
  <c r="A529" i="28" s="1"/>
  <c r="A530" i="28" s="1"/>
  <c r="A531" i="28" s="1"/>
  <c r="A532" i="28" s="1"/>
  <c r="A533" i="28" s="1"/>
  <c r="A534" i="28" s="1"/>
  <c r="A535" i="28" s="1"/>
  <c r="A536" i="28" s="1"/>
  <c r="A537" i="28" s="1"/>
  <c r="A538" i="28" s="1"/>
  <c r="A539" i="28" s="1"/>
  <c r="A540" i="28" s="1"/>
  <c r="A541" i="28" s="1"/>
  <c r="A542" i="28" s="1"/>
  <c r="A543" i="28" s="1"/>
  <c r="A544" i="28" s="1"/>
  <c r="A545" i="28" s="1"/>
  <c r="A546" i="28" s="1"/>
  <c r="A547" i="28" s="1"/>
  <c r="A548" i="28" s="1"/>
  <c r="A549" i="28" s="1"/>
  <c r="A550" i="28" s="1"/>
  <c r="A551" i="28" s="1"/>
  <c r="A552" i="28" s="1"/>
  <c r="A553" i="28" s="1"/>
  <c r="A554" i="28" s="1"/>
  <c r="A555" i="28" s="1"/>
  <c r="A556" i="28" s="1"/>
  <c r="A557" i="28" s="1"/>
  <c r="A558" i="28" s="1"/>
  <c r="A559" i="28" s="1"/>
  <c r="A560" i="28" s="1"/>
  <c r="A561" i="28" s="1"/>
  <c r="A562" i="28" s="1"/>
  <c r="A563" i="28" s="1"/>
  <c r="A564" i="28" s="1"/>
  <c r="A565" i="28" s="1"/>
  <c r="A566" i="28" s="1"/>
  <c r="A567" i="28" s="1"/>
  <c r="A568" i="28" s="1"/>
  <c r="A569" i="28" s="1"/>
  <c r="A570" i="28" s="1"/>
  <c r="A571" i="28" s="1"/>
  <c r="A572" i="28" s="1"/>
  <c r="A573" i="28" s="1"/>
  <c r="A574" i="28" s="1"/>
  <c r="A575" i="28" s="1"/>
  <c r="A576" i="28" s="1"/>
  <c r="A577" i="28" s="1"/>
  <c r="A578" i="28" s="1"/>
  <c r="A579" i="28" s="1"/>
  <c r="A580" i="28" s="1"/>
  <c r="A581" i="28" s="1"/>
  <c r="A582" i="28" s="1"/>
  <c r="A583" i="28" s="1"/>
  <c r="A584" i="28" s="1"/>
  <c r="A585" i="28" s="1"/>
  <c r="A586" i="28" s="1"/>
  <c r="A587" i="28" s="1"/>
  <c r="A588" i="28" s="1"/>
  <c r="A589" i="28" s="1"/>
  <c r="A590" i="28" s="1"/>
  <c r="A591" i="28" s="1"/>
  <c r="A592" i="28" s="1"/>
  <c r="A593" i="28" s="1"/>
  <c r="A594" i="28" s="1"/>
  <c r="A595" i="28" s="1"/>
  <c r="A596" i="28" s="1"/>
  <c r="A597" i="28" s="1"/>
  <c r="A598" i="28" s="1"/>
  <c r="A599" i="28" s="1"/>
  <c r="A600" i="28" s="1"/>
  <c r="A601" i="28" s="1"/>
  <c r="A602" i="28" s="1"/>
  <c r="A603" i="28" s="1"/>
  <c r="A604" i="28" s="1"/>
  <c r="A605" i="28" s="1"/>
  <c r="A606" i="28" s="1"/>
  <c r="A607" i="28" s="1"/>
  <c r="A608" i="28" s="1"/>
  <c r="A609" i="28" s="1"/>
  <c r="A610" i="28" s="1"/>
  <c r="A611" i="28" s="1"/>
  <c r="A612" i="28" s="1"/>
  <c r="A613" i="28" s="1"/>
  <c r="A614" i="28" s="1"/>
  <c r="A615" i="28" s="1"/>
  <c r="A616" i="28" s="1"/>
  <c r="A617" i="28" s="1"/>
  <c r="A618" i="28" s="1"/>
  <c r="A619" i="28" s="1"/>
  <c r="A620" i="28" s="1"/>
  <c r="A621" i="28" s="1"/>
  <c r="A622" i="28" s="1"/>
  <c r="A623" i="28" s="1"/>
  <c r="A624" i="28" s="1"/>
  <c r="A625" i="28" s="1"/>
  <c r="A626" i="28" s="1"/>
  <c r="A627" i="28" s="1"/>
  <c r="A628" i="28" s="1"/>
  <c r="A629" i="28" s="1"/>
  <c r="A630" i="28" s="1"/>
  <c r="A631" i="28" s="1"/>
  <c r="A632" i="28" s="1"/>
  <c r="A633" i="28" s="1"/>
  <c r="A634" i="28" s="1"/>
  <c r="A635" i="28" s="1"/>
  <c r="A636" i="28" s="1"/>
  <c r="A637" i="28" s="1"/>
  <c r="A638" i="28" s="1"/>
  <c r="A639" i="28" s="1"/>
  <c r="A640" i="28" s="1"/>
  <c r="A641" i="28" s="1"/>
  <c r="A642" i="28" s="1"/>
  <c r="A643" i="28" s="1"/>
  <c r="A644" i="28" s="1"/>
  <c r="A645" i="28" s="1"/>
  <c r="A646" i="28" s="1"/>
  <c r="A647" i="28" s="1"/>
  <c r="A648" i="28" s="1"/>
  <c r="A649" i="28" s="1"/>
  <c r="A650" i="28" s="1"/>
  <c r="A651" i="28" s="1"/>
  <c r="A652" i="28" s="1"/>
  <c r="A653" i="28" s="1"/>
  <c r="A654" i="28" s="1"/>
  <c r="A655" i="28" s="1"/>
  <c r="A656" i="28" s="1"/>
  <c r="A657" i="28" s="1"/>
  <c r="A658" i="28" s="1"/>
  <c r="A659" i="28" s="1"/>
  <c r="A660" i="28" s="1"/>
  <c r="A661" i="28" s="1"/>
  <c r="A662" i="28" s="1"/>
  <c r="A663" i="28" s="1"/>
  <c r="A664" i="28" s="1"/>
  <c r="A665" i="28" s="1"/>
  <c r="A666" i="28" s="1"/>
  <c r="A667" i="28" s="1"/>
  <c r="A668" i="28" s="1"/>
  <c r="A669" i="28" s="1"/>
  <c r="A670" i="28" s="1"/>
  <c r="A671" i="28" s="1"/>
  <c r="A672" i="28" s="1"/>
  <c r="A673" i="28" s="1"/>
  <c r="A674" i="28" s="1"/>
  <c r="A675" i="28" s="1"/>
  <c r="A676" i="28" s="1"/>
  <c r="A677" i="28" s="1"/>
  <c r="A678" i="28" s="1"/>
  <c r="A679" i="28" s="1"/>
  <c r="A680" i="28" s="1"/>
  <c r="A681" i="28" s="1"/>
  <c r="A682" i="28" s="1"/>
  <c r="A683" i="28" s="1"/>
  <c r="A684" i="28" s="1"/>
  <c r="A685" i="28" s="1"/>
  <c r="A686" i="28" s="1"/>
  <c r="A687" i="28" s="1"/>
  <c r="A688" i="28" s="1"/>
  <c r="A689" i="28" s="1"/>
  <c r="A690" i="28" s="1"/>
  <c r="A691" i="28" s="1"/>
  <c r="A692" i="28" s="1"/>
  <c r="A693" i="28" s="1"/>
  <c r="A694" i="28" s="1"/>
  <c r="A695" i="28" s="1"/>
  <c r="A696" i="28" s="1"/>
  <c r="A697" i="28" s="1"/>
  <c r="A698" i="28" s="1"/>
  <c r="A699" i="28" s="1"/>
  <c r="A700" i="28" s="1"/>
  <c r="A701" i="28" s="1"/>
  <c r="A702" i="28" s="1"/>
  <c r="A703" i="28" s="1"/>
  <c r="A704" i="28" s="1"/>
  <c r="A705" i="28" s="1"/>
  <c r="A706" i="28" s="1"/>
  <c r="A707" i="28" s="1"/>
  <c r="A708" i="28" s="1"/>
  <c r="A709" i="28" s="1"/>
  <c r="A710" i="28" s="1"/>
  <c r="A711" i="28" s="1"/>
  <c r="A712" i="28" s="1"/>
  <c r="A713" i="28" s="1"/>
  <c r="A714" i="28" s="1"/>
  <c r="A715" i="28" s="1"/>
  <c r="A716" i="28" s="1"/>
  <c r="A717" i="28" s="1"/>
  <c r="A718" i="28" s="1"/>
  <c r="A719" i="28" s="1"/>
  <c r="A720" i="28" s="1"/>
  <c r="A721" i="28" s="1"/>
  <c r="A722" i="28" s="1"/>
  <c r="A723" i="28" s="1"/>
  <c r="A724" i="28" s="1"/>
  <c r="A725" i="28" s="1"/>
  <c r="A726" i="28" s="1"/>
  <c r="A727" i="28" s="1"/>
  <c r="A728" i="28" s="1"/>
  <c r="A729" i="28" s="1"/>
  <c r="A730" i="28" s="1"/>
  <c r="A731" i="28" s="1"/>
  <c r="A732" i="28" s="1"/>
  <c r="A733" i="28" s="1"/>
  <c r="A734" i="28" s="1"/>
  <c r="A735" i="28" s="1"/>
  <c r="A736" i="28" s="1"/>
  <c r="A737" i="28" s="1"/>
  <c r="A738" i="28" s="1"/>
  <c r="A739" i="28" s="1"/>
  <c r="A740" i="28" s="1"/>
  <c r="A741" i="28" s="1"/>
  <c r="A742" i="28" s="1"/>
  <c r="A743" i="28" s="1"/>
  <c r="A744" i="28" s="1"/>
  <c r="A745" i="28" s="1"/>
  <c r="A746" i="28" s="1"/>
  <c r="A747" i="28" s="1"/>
  <c r="A748" i="28" s="1"/>
  <c r="A749" i="28" s="1"/>
  <c r="A750" i="28" s="1"/>
  <c r="A751" i="28" s="1"/>
  <c r="A752" i="28" s="1"/>
  <c r="A753" i="28" s="1"/>
  <c r="A754" i="28" s="1"/>
  <c r="A755" i="28" s="1"/>
  <c r="A756" i="28" s="1"/>
  <c r="A757" i="28" s="1"/>
  <c r="A758" i="28" s="1"/>
  <c r="A759" i="28" s="1"/>
  <c r="A760" i="28" s="1"/>
  <c r="A761" i="28" s="1"/>
  <c r="A762" i="28" s="1"/>
  <c r="A763" i="28" s="1"/>
  <c r="A764" i="28" s="1"/>
  <c r="A765" i="28" s="1"/>
  <c r="A766" i="28" s="1"/>
  <c r="A767" i="28" s="1"/>
  <c r="A768" i="28" s="1"/>
  <c r="A769" i="28" s="1"/>
  <c r="A770" i="28" s="1"/>
  <c r="A771" i="28" s="1"/>
  <c r="A772" i="28" s="1"/>
  <c r="A773" i="28" s="1"/>
  <c r="A774" i="28" s="1"/>
  <c r="A775" i="28" s="1"/>
  <c r="A776" i="28" s="1"/>
  <c r="A777" i="28" s="1"/>
  <c r="A778" i="28" s="1"/>
  <c r="A779" i="28" s="1"/>
  <c r="A780" i="28" s="1"/>
  <c r="A781" i="28" s="1"/>
  <c r="A782" i="28" s="1"/>
  <c r="A783" i="28" s="1"/>
  <c r="A784" i="28" s="1"/>
  <c r="A785" i="28" s="1"/>
  <c r="A786" i="28" s="1"/>
  <c r="A787" i="28" s="1"/>
  <c r="A788" i="28" s="1"/>
  <c r="A789" i="28" s="1"/>
  <c r="A790" i="28" s="1"/>
  <c r="A791" i="28" s="1"/>
  <c r="A792" i="28" s="1"/>
  <c r="A793" i="28" s="1"/>
  <c r="A794" i="28" s="1"/>
  <c r="A795" i="28" s="1"/>
  <c r="A796" i="28" s="1"/>
  <c r="A797" i="28" s="1"/>
  <c r="A798" i="28" s="1"/>
  <c r="A799" i="28" s="1"/>
  <c r="A800" i="28" s="1"/>
  <c r="A801" i="28" s="1"/>
  <c r="A802" i="28" s="1"/>
  <c r="A803" i="28" s="1"/>
  <c r="A804" i="28" s="1"/>
  <c r="A805" i="28" s="1"/>
  <c r="A806" i="28" s="1"/>
  <c r="A807" i="28" s="1"/>
  <c r="A808" i="28" s="1"/>
  <c r="A809" i="28" s="1"/>
  <c r="A810" i="28" s="1"/>
  <c r="A811" i="28" s="1"/>
  <c r="A812" i="28" s="1"/>
  <c r="A813" i="28" s="1"/>
  <c r="A814" i="28" s="1"/>
  <c r="A815" i="28" s="1"/>
  <c r="A816" i="28" s="1"/>
  <c r="A817" i="28" s="1"/>
  <c r="A818" i="28" s="1"/>
  <c r="A819" i="28" s="1"/>
  <c r="A820" i="28" s="1"/>
  <c r="A821" i="28" s="1"/>
  <c r="A822" i="28" s="1"/>
  <c r="A823" i="28" s="1"/>
  <c r="A824" i="28" s="1"/>
  <c r="A825" i="28" s="1"/>
  <c r="A826" i="28" s="1"/>
  <c r="A827" i="28" s="1"/>
  <c r="A828" i="28" s="1"/>
  <c r="A829" i="28" s="1"/>
  <c r="A830" i="28" s="1"/>
  <c r="A831" i="28" s="1"/>
  <c r="A832" i="28" s="1"/>
  <c r="A833" i="28" s="1"/>
  <c r="A834" i="28" s="1"/>
  <c r="A835" i="28" s="1"/>
  <c r="A836" i="28" s="1"/>
  <c r="A837" i="28" s="1"/>
  <c r="A838" i="28" s="1"/>
  <c r="A839" i="28" s="1"/>
  <c r="A840" i="28" s="1"/>
  <c r="A841" i="28" s="1"/>
  <c r="A842" i="28" s="1"/>
  <c r="A843" i="28" s="1"/>
  <c r="A844" i="28" s="1"/>
  <c r="A845" i="28" s="1"/>
  <c r="A846" i="28" s="1"/>
  <c r="A847" i="28" s="1"/>
  <c r="A848" i="28" s="1"/>
  <c r="A849" i="28" s="1"/>
  <c r="A850" i="28" s="1"/>
  <c r="A851" i="28" s="1"/>
  <c r="A852" i="28" s="1"/>
  <c r="A853" i="28" s="1"/>
  <c r="A854" i="28" s="1"/>
  <c r="A855" i="28" s="1"/>
  <c r="A856" i="28" s="1"/>
  <c r="A857" i="28" s="1"/>
  <c r="A858" i="28" s="1"/>
  <c r="A859" i="28" s="1"/>
  <c r="A860" i="28" s="1"/>
  <c r="A861" i="28" s="1"/>
  <c r="A862" i="28" s="1"/>
  <c r="A863" i="28" s="1"/>
  <c r="A864" i="28" s="1"/>
  <c r="A865" i="28" s="1"/>
  <c r="A866" i="28" s="1"/>
  <c r="A867" i="28" s="1"/>
  <c r="A868" i="28" s="1"/>
  <c r="A869" i="28" s="1"/>
  <c r="A870" i="28" s="1"/>
  <c r="A871" i="28" s="1"/>
  <c r="A872" i="28" s="1"/>
  <c r="A873" i="28" s="1"/>
  <c r="A874" i="28" s="1"/>
  <c r="A875" i="28" s="1"/>
  <c r="A876" i="28" s="1"/>
  <c r="A877" i="28" s="1"/>
  <c r="A878" i="28" s="1"/>
  <c r="A879" i="28" s="1"/>
  <c r="A880" i="28" s="1"/>
  <c r="A881" i="28" s="1"/>
  <c r="A882" i="28" s="1"/>
  <c r="A883" i="28" s="1"/>
  <c r="A884" i="28" s="1"/>
  <c r="A885" i="28" s="1"/>
  <c r="A886" i="28" s="1"/>
  <c r="A887" i="28" s="1"/>
  <c r="A888" i="28" s="1"/>
  <c r="A889" i="28" s="1"/>
  <c r="A890" i="28" s="1"/>
  <c r="A891" i="28" s="1"/>
  <c r="A892" i="28" s="1"/>
  <c r="A893" i="28" s="1"/>
  <c r="A894" i="28" s="1"/>
  <c r="A895" i="28" s="1"/>
  <c r="A896" i="28" s="1"/>
  <c r="A897" i="28" s="1"/>
  <c r="A898" i="28" s="1"/>
  <c r="A899" i="28" s="1"/>
  <c r="A900" i="28" s="1"/>
  <c r="A901" i="28" s="1"/>
  <c r="A902" i="28" s="1"/>
  <c r="A903" i="28" s="1"/>
  <c r="A904" i="28" s="1"/>
  <c r="A905" i="28" s="1"/>
  <c r="A906" i="28" s="1"/>
  <c r="A907" i="28" s="1"/>
  <c r="A908" i="28" s="1"/>
  <c r="A909" i="28" s="1"/>
  <c r="A910" i="28" s="1"/>
  <c r="A911" i="28" s="1"/>
  <c r="A912" i="28" s="1"/>
  <c r="A913" i="28" s="1"/>
  <c r="A914" i="28" s="1"/>
  <c r="A915" i="28" s="1"/>
  <c r="A916" i="28" s="1"/>
  <c r="A917" i="28" s="1"/>
  <c r="A918" i="28" s="1"/>
  <c r="A919" i="28" s="1"/>
  <c r="A920" i="28" s="1"/>
  <c r="A921" i="28" s="1"/>
  <c r="A922" i="28" s="1"/>
  <c r="A923" i="28" s="1"/>
  <c r="A924" i="28" s="1"/>
  <c r="A925" i="28" s="1"/>
  <c r="A926" i="28" s="1"/>
  <c r="A927" i="28" s="1"/>
  <c r="A928" i="28" s="1"/>
  <c r="A929" i="28" s="1"/>
  <c r="A930" i="28" s="1"/>
  <c r="A931" i="28" s="1"/>
  <c r="A932" i="28" s="1"/>
  <c r="A933" i="28" s="1"/>
  <c r="A934" i="28" s="1"/>
  <c r="A935" i="28" s="1"/>
  <c r="A936" i="28" s="1"/>
  <c r="A937" i="28" s="1"/>
  <c r="A938" i="28" s="1"/>
  <c r="A939" i="28" s="1"/>
  <c r="A940" i="28" s="1"/>
  <c r="A941" i="28" s="1"/>
  <c r="A942" i="28" s="1"/>
  <c r="A943" i="28" s="1"/>
  <c r="A944" i="28" s="1"/>
  <c r="A945" i="28" s="1"/>
  <c r="A946" i="28" s="1"/>
  <c r="A947" i="28" s="1"/>
  <c r="A948" i="28" s="1"/>
  <c r="A949" i="28" s="1"/>
  <c r="A950" i="28" s="1"/>
  <c r="A951" i="28" s="1"/>
  <c r="A952" i="28" s="1"/>
  <c r="A953" i="28" s="1"/>
  <c r="A954" i="28" s="1"/>
  <c r="A955" i="28" s="1"/>
  <c r="A956" i="28" s="1"/>
  <c r="A957" i="28" s="1"/>
  <c r="A958" i="28" s="1"/>
  <c r="A959" i="28" s="1"/>
  <c r="A960" i="28" s="1"/>
  <c r="A961" i="28" s="1"/>
  <c r="A962" i="28" s="1"/>
  <c r="A963" i="28" s="1"/>
  <c r="A964" i="28" s="1"/>
  <c r="A965" i="28" s="1"/>
  <c r="A966" i="28" s="1"/>
  <c r="A967" i="28" s="1"/>
  <c r="A968" i="28" s="1"/>
  <c r="A969" i="28" s="1"/>
  <c r="A970" i="28" s="1"/>
  <c r="A971" i="28" s="1"/>
  <c r="A972" i="28" s="1"/>
  <c r="A973" i="28" s="1"/>
  <c r="A974" i="28" s="1"/>
  <c r="A975" i="28" s="1"/>
  <c r="A976" i="28" s="1"/>
  <c r="A977" i="28" s="1"/>
  <c r="A978" i="28" s="1"/>
  <c r="A979" i="28" s="1"/>
  <c r="A980" i="28" s="1"/>
  <c r="A981" i="28" s="1"/>
  <c r="A982" i="28" s="1"/>
  <c r="A983" i="28" s="1"/>
  <c r="A984" i="28" s="1"/>
  <c r="A985" i="28" s="1"/>
  <c r="A986" i="28" s="1"/>
  <c r="A987" i="28" s="1"/>
  <c r="A988" i="28" s="1"/>
  <c r="A989" i="28" s="1"/>
  <c r="A990" i="28" s="1"/>
  <c r="A991" i="28" s="1"/>
  <c r="A992" i="28" s="1"/>
  <c r="A993" i="28" s="1"/>
  <c r="A994" i="28" s="1"/>
  <c r="A995" i="28" s="1"/>
  <c r="A996" i="28" s="1"/>
  <c r="A997" i="28" s="1"/>
  <c r="A998" i="28" s="1"/>
  <c r="A999" i="28" s="1"/>
  <c r="A1000" i="28" s="1"/>
  <c r="A1001" i="28" s="1"/>
  <c r="A1002" i="28" s="1"/>
  <c r="A1003" i="28" s="1"/>
  <c r="A1004" i="28" s="1"/>
  <c r="A1005" i="28" s="1"/>
  <c r="A1006" i="28" s="1"/>
  <c r="A1007" i="28" s="1"/>
  <c r="A1008" i="28" s="1"/>
  <c r="A1009" i="28" s="1"/>
  <c r="A1010" i="28" s="1"/>
  <c r="A1011" i="28" s="1"/>
  <c r="A1012" i="28" s="1"/>
  <c r="A1013" i="28" s="1"/>
  <c r="A1014" i="28" s="1"/>
  <c r="A1015" i="28" s="1"/>
  <c r="A1016" i="28" s="1"/>
  <c r="A1017" i="28" s="1"/>
  <c r="A1018" i="28" s="1"/>
  <c r="A1019" i="28" s="1"/>
  <c r="A1020" i="28" s="1"/>
  <c r="A1021" i="28" s="1"/>
  <c r="A1022" i="28" s="1"/>
  <c r="A1023" i="28" s="1"/>
  <c r="A1024" i="28" s="1"/>
  <c r="A1025" i="28" s="1"/>
  <c r="A1026" i="28" s="1"/>
  <c r="A1027" i="28" s="1"/>
  <c r="A1028" i="28" s="1"/>
  <c r="A1029" i="28" s="1"/>
  <c r="A1030" i="28" s="1"/>
  <c r="A1031" i="28" s="1"/>
  <c r="A1032" i="28" s="1"/>
  <c r="A1033" i="28" s="1"/>
  <c r="A1034" i="28" s="1"/>
  <c r="A1035" i="28" s="1"/>
  <c r="A1036" i="28" s="1"/>
  <c r="A1037" i="28" s="1"/>
  <c r="A1038" i="28" s="1"/>
  <c r="A1039" i="28" s="1"/>
  <c r="A1040" i="28" s="1"/>
  <c r="A1041" i="28" s="1"/>
  <c r="A1042" i="28" s="1"/>
  <c r="A1043" i="28" s="1"/>
  <c r="A1044" i="28" s="1"/>
  <c r="A1045" i="28" s="1"/>
  <c r="A1046" i="28" s="1"/>
  <c r="A1047" i="28" s="1"/>
  <c r="A1048" i="28" s="1"/>
  <c r="A1049" i="28" s="1"/>
  <c r="A1050" i="28" s="1"/>
  <c r="A1051" i="28" s="1"/>
  <c r="A1052" i="28" s="1"/>
  <c r="A1053" i="28" s="1"/>
  <c r="A1054" i="28" s="1"/>
  <c r="A1055" i="28" s="1"/>
  <c r="A1056" i="28" s="1"/>
  <c r="A1057" i="28" s="1"/>
  <c r="A1058" i="28" s="1"/>
  <c r="A1059" i="28" s="1"/>
  <c r="A1060" i="28" s="1"/>
  <c r="A1061" i="28" s="1"/>
  <c r="A1062" i="28" s="1"/>
  <c r="A1063" i="28" s="1"/>
  <c r="A1064" i="28" s="1"/>
  <c r="A1065" i="28" s="1"/>
  <c r="A1066" i="28" s="1"/>
  <c r="A1067" i="28" s="1"/>
  <c r="A1068" i="28" s="1"/>
  <c r="A1069" i="28" s="1"/>
  <c r="A1070" i="28" s="1"/>
  <c r="A1071" i="28" s="1"/>
  <c r="A1072" i="28" s="1"/>
  <c r="A1073" i="28" s="1"/>
  <c r="A1074" i="28" s="1"/>
  <c r="A1075" i="28" s="1"/>
  <c r="A1076" i="28" s="1"/>
  <c r="A1077" i="28" s="1"/>
  <c r="A1078" i="28" s="1"/>
  <c r="A1079" i="28" s="1"/>
  <c r="A1080" i="28" s="1"/>
  <c r="A1081" i="28" s="1"/>
  <c r="A1082" i="28" s="1"/>
  <c r="A1083" i="28" s="1"/>
  <c r="A1084" i="28" s="1"/>
  <c r="A1085" i="28" s="1"/>
  <c r="A1086" i="28" s="1"/>
  <c r="A1087" i="28" s="1"/>
  <c r="A1088" i="28" s="1"/>
  <c r="A1089" i="28" s="1"/>
  <c r="A1090" i="28" s="1"/>
  <c r="A1091" i="28" s="1"/>
  <c r="A1092" i="28" s="1"/>
  <c r="A1093" i="28" s="1"/>
  <c r="A1094" i="28" s="1"/>
  <c r="A1095" i="28" s="1"/>
  <c r="A1096" i="28" s="1"/>
  <c r="A1097" i="28" s="1"/>
  <c r="A1098" i="28" s="1"/>
  <c r="A1099" i="28" s="1"/>
  <c r="A1100" i="28" s="1"/>
  <c r="A1101" i="28" s="1"/>
  <c r="A1102" i="28" s="1"/>
  <c r="F332" i="28" l="1"/>
  <c r="G332" i="28" s="1"/>
  <c r="F303" i="28"/>
  <c r="G303" i="28" s="1"/>
  <c r="C40" i="19"/>
  <c r="D40" i="19"/>
  <c r="E315" i="28"/>
  <c r="F304" i="28"/>
  <c r="G304" i="28" s="1"/>
  <c r="F297" i="28"/>
  <c r="G297" i="28" s="1"/>
  <c r="E308" i="28"/>
  <c r="F308" i="28" s="1"/>
  <c r="G308" i="28" s="1"/>
  <c r="E335" i="28"/>
  <c r="F335" i="28" s="1"/>
  <c r="G335" i="28" s="1"/>
  <c r="F324" i="28"/>
  <c r="G324" i="28" s="1"/>
  <c r="E300" i="28"/>
  <c r="F343" i="28"/>
  <c r="G343" i="28" s="1"/>
  <c r="E354" i="28"/>
  <c r="F301" i="28"/>
  <c r="G301" i="28" s="1"/>
  <c r="E312" i="28"/>
  <c r="F314" i="28"/>
  <c r="G314" i="28" s="1"/>
  <c r="E325" i="28"/>
  <c r="F317" i="28"/>
  <c r="G317" i="28" s="1"/>
  <c r="E328" i="28"/>
  <c r="F296" i="28"/>
  <c r="G296" i="28" s="1"/>
  <c r="E307" i="28"/>
  <c r="E316" i="28"/>
  <c r="F305" i="28"/>
  <c r="G305" i="28" s="1"/>
  <c r="F309" i="28"/>
  <c r="G309" i="28" s="1"/>
  <c r="E320" i="28"/>
  <c r="E346" i="28" l="1"/>
  <c r="E357" i="28" s="1"/>
  <c r="C41" i="19"/>
  <c r="D41" i="19"/>
  <c r="F315" i="28"/>
  <c r="G315" i="28" s="1"/>
  <c r="E326" i="28"/>
  <c r="F326" i="28" s="1"/>
  <c r="G326" i="28" s="1"/>
  <c r="E319" i="28"/>
  <c r="F319" i="28" s="1"/>
  <c r="G319" i="28" s="1"/>
  <c r="E311" i="28"/>
  <c r="F300" i="28"/>
  <c r="G300" i="28" s="1"/>
  <c r="E339" i="28"/>
  <c r="F328" i="28"/>
  <c r="G328" i="28" s="1"/>
  <c r="F312" i="28"/>
  <c r="G312" i="28" s="1"/>
  <c r="E323" i="28"/>
  <c r="F316" i="28"/>
  <c r="G316" i="28" s="1"/>
  <c r="E327" i="28"/>
  <c r="E318" i="28"/>
  <c r="F307" i="28"/>
  <c r="G307" i="28" s="1"/>
  <c r="E336" i="28"/>
  <c r="F325" i="28"/>
  <c r="G325" i="28" s="1"/>
  <c r="E365" i="28"/>
  <c r="F354" i="28"/>
  <c r="G354" i="28" s="1"/>
  <c r="F320" i="28"/>
  <c r="G320" i="28" s="1"/>
  <c r="E331" i="28"/>
  <c r="E337" i="28" l="1"/>
  <c r="F337" i="28" s="1"/>
  <c r="G337" i="28" s="1"/>
  <c r="F346" i="28"/>
  <c r="G346" i="28" s="1"/>
  <c r="F35" i="15"/>
  <c r="G35" i="15"/>
  <c r="I35" i="15"/>
  <c r="W35" i="15"/>
  <c r="Y35" i="15"/>
  <c r="M35" i="15"/>
  <c r="S35" i="15"/>
  <c r="T35" i="15" s="1"/>
  <c r="K35" i="15"/>
  <c r="O35" i="15"/>
  <c r="U35" i="15"/>
  <c r="Q35" i="15"/>
  <c r="X35" i="15"/>
  <c r="E330" i="28"/>
  <c r="F330" i="28" s="1"/>
  <c r="G330" i="28" s="1"/>
  <c r="D42" i="19"/>
  <c r="C42" i="19"/>
  <c r="P35" i="15"/>
  <c r="H35" i="15"/>
  <c r="Z35" i="15"/>
  <c r="L35" i="15"/>
  <c r="J35" i="15"/>
  <c r="N35" i="15"/>
  <c r="R35" i="15"/>
  <c r="V35" i="15"/>
  <c r="E322" i="28"/>
  <c r="F311" i="28"/>
  <c r="G311" i="28" s="1"/>
  <c r="E334" i="28"/>
  <c r="F323" i="28"/>
  <c r="G323" i="28" s="1"/>
  <c r="F365" i="28"/>
  <c r="G365" i="28" s="1"/>
  <c r="E376" i="28"/>
  <c r="F318" i="28"/>
  <c r="G318" i="28" s="1"/>
  <c r="E329" i="28"/>
  <c r="E342" i="28"/>
  <c r="F331" i="28"/>
  <c r="G331" i="28" s="1"/>
  <c r="E338" i="28"/>
  <c r="F327" i="28"/>
  <c r="G327" i="28" s="1"/>
  <c r="F336" i="28"/>
  <c r="G336" i="28" s="1"/>
  <c r="E347" i="28"/>
  <c r="F357" i="28"/>
  <c r="G357" i="28" s="1"/>
  <c r="E368" i="28"/>
  <c r="F339" i="28"/>
  <c r="G339" i="28" s="1"/>
  <c r="E350" i="28"/>
  <c r="E348" i="28" l="1"/>
  <c r="E359" i="28" s="1"/>
  <c r="E341" i="28"/>
  <c r="M36" i="15"/>
  <c r="G36" i="15"/>
  <c r="Y36" i="15"/>
  <c r="S36" i="15"/>
  <c r="O36" i="15"/>
  <c r="U36" i="15"/>
  <c r="W36" i="15"/>
  <c r="I36" i="15"/>
  <c r="Q36" i="15"/>
  <c r="K36" i="15"/>
  <c r="C43" i="19"/>
  <c r="D43" i="19"/>
  <c r="J36" i="15"/>
  <c r="N36" i="15"/>
  <c r="H36" i="15"/>
  <c r="X36" i="15"/>
  <c r="L36" i="15"/>
  <c r="P36" i="15"/>
  <c r="F36" i="15"/>
  <c r="T36" i="15"/>
  <c r="Z36" i="15"/>
  <c r="V36" i="15"/>
  <c r="R36" i="15"/>
  <c r="F322" i="28"/>
  <c r="G322" i="28" s="1"/>
  <c r="E333" i="28"/>
  <c r="F348" i="28"/>
  <c r="G348" i="28" s="1"/>
  <c r="F338" i="28"/>
  <c r="G338" i="28" s="1"/>
  <c r="E349" i="28"/>
  <c r="F341" i="28"/>
  <c r="G341" i="28" s="1"/>
  <c r="E352" i="28"/>
  <c r="E379" i="28"/>
  <c r="F368" i="28"/>
  <c r="G368" i="28" s="1"/>
  <c r="E361" i="28"/>
  <c r="F350" i="28"/>
  <c r="G350" i="28" s="1"/>
  <c r="F347" i="28"/>
  <c r="G347" i="28" s="1"/>
  <c r="E358" i="28"/>
  <c r="E387" i="28"/>
  <c r="F376" i="28"/>
  <c r="G376" i="28" s="1"/>
  <c r="E340" i="28"/>
  <c r="F329" i="28"/>
  <c r="G329" i="28" s="1"/>
  <c r="F342" i="28"/>
  <c r="G342" i="28" s="1"/>
  <c r="E353" i="28"/>
  <c r="F334" i="28"/>
  <c r="G334" i="28" s="1"/>
  <c r="E345" i="28"/>
  <c r="C44" i="19" l="1"/>
  <c r="D44" i="19"/>
  <c r="F333" i="28"/>
  <c r="G333" i="28" s="1"/>
  <c r="E344" i="28"/>
  <c r="F349" i="28"/>
  <c r="G349" i="28" s="1"/>
  <c r="E360" i="28"/>
  <c r="F358" i="28"/>
  <c r="G358" i="28" s="1"/>
  <c r="E369" i="28"/>
  <c r="E390" i="28"/>
  <c r="F379" i="28"/>
  <c r="G379" i="28" s="1"/>
  <c r="E364" i="28"/>
  <c r="F353" i="28"/>
  <c r="G353" i="28" s="1"/>
  <c r="F345" i="28"/>
  <c r="G345" i="28" s="1"/>
  <c r="E356" i="28"/>
  <c r="E363" i="28"/>
  <c r="F352" i="28"/>
  <c r="G352" i="28" s="1"/>
  <c r="F340" i="28"/>
  <c r="G340" i="28" s="1"/>
  <c r="E351" i="28"/>
  <c r="E398" i="28"/>
  <c r="F387" i="28"/>
  <c r="G387" i="28" s="1"/>
  <c r="F361" i="28"/>
  <c r="G361" i="28" s="1"/>
  <c r="E372" i="28"/>
  <c r="F359" i="28"/>
  <c r="G359" i="28" s="1"/>
  <c r="E370" i="28"/>
  <c r="C45" i="19" l="1"/>
  <c r="D45" i="19"/>
  <c r="F344" i="28"/>
  <c r="G344" i="28" s="1"/>
  <c r="E355" i="28"/>
  <c r="E362" i="28"/>
  <c r="F351" i="28"/>
  <c r="G351" i="28" s="1"/>
  <c r="E401" i="28"/>
  <c r="F390" i="28"/>
  <c r="G390" i="28" s="1"/>
  <c r="E383" i="28"/>
  <c r="F372" i="28"/>
  <c r="G372" i="28" s="1"/>
  <c r="F356" i="28"/>
  <c r="G356" i="28" s="1"/>
  <c r="E367" i="28"/>
  <c r="F369" i="28"/>
  <c r="G369" i="28" s="1"/>
  <c r="E380" i="28"/>
  <c r="E381" i="28"/>
  <c r="F370" i="28"/>
  <c r="G370" i="28" s="1"/>
  <c r="F360" i="28"/>
  <c r="G360" i="28" s="1"/>
  <c r="E371" i="28"/>
  <c r="E409" i="28"/>
  <c r="F398" i="28"/>
  <c r="G398" i="28" s="1"/>
  <c r="F363" i="28"/>
  <c r="G363" i="28" s="1"/>
  <c r="E374" i="28"/>
  <c r="F364" i="28"/>
  <c r="G364" i="28" s="1"/>
  <c r="E375" i="28"/>
  <c r="C46" i="19" l="1"/>
  <c r="D46" i="19"/>
  <c r="F355" i="28"/>
  <c r="G355" i="28" s="1"/>
  <c r="E366" i="28"/>
  <c r="F381" i="28"/>
  <c r="G381" i="28" s="1"/>
  <c r="E392" i="28"/>
  <c r="F401" i="28"/>
  <c r="G401" i="28" s="1"/>
  <c r="E412" i="28"/>
  <c r="E386" i="28"/>
  <c r="F375" i="28"/>
  <c r="G375" i="28" s="1"/>
  <c r="E391" i="28"/>
  <c r="F380" i="28"/>
  <c r="G380" i="28" s="1"/>
  <c r="E385" i="28"/>
  <c r="F374" i="28"/>
  <c r="G374" i="28" s="1"/>
  <c r="E382" i="28"/>
  <c r="F371" i="28"/>
  <c r="G371" i="28" s="1"/>
  <c r="E378" i="28"/>
  <c r="F367" i="28"/>
  <c r="G367" i="28" s="1"/>
  <c r="F409" i="28"/>
  <c r="G409" i="28" s="1"/>
  <c r="E420" i="28"/>
  <c r="F383" i="28"/>
  <c r="G383" i="28" s="1"/>
  <c r="E394" i="28"/>
  <c r="F362" i="28"/>
  <c r="G362" i="28" s="1"/>
  <c r="E373" i="28"/>
  <c r="C47" i="19" l="1"/>
  <c r="D47" i="19"/>
  <c r="E377" i="28"/>
  <c r="F366" i="28"/>
  <c r="G366" i="28" s="1"/>
  <c r="E393" i="28"/>
  <c r="F382" i="28"/>
  <c r="G382" i="28" s="1"/>
  <c r="E402" i="28"/>
  <c r="F391" i="28"/>
  <c r="G391" i="28" s="1"/>
  <c r="E403" i="28"/>
  <c r="F392" i="28"/>
  <c r="G392" i="28" s="1"/>
  <c r="F394" i="28"/>
  <c r="G394" i="28" s="1"/>
  <c r="E405" i="28"/>
  <c r="E431" i="28"/>
  <c r="F420" i="28"/>
  <c r="G420" i="28" s="1"/>
  <c r="E423" i="28"/>
  <c r="F412" i="28"/>
  <c r="G412" i="28" s="1"/>
  <c r="F373" i="28"/>
  <c r="G373" i="28" s="1"/>
  <c r="E384" i="28"/>
  <c r="F378" i="28"/>
  <c r="G378" i="28" s="1"/>
  <c r="E389" i="28"/>
  <c r="F385" i="28"/>
  <c r="G385" i="28" s="1"/>
  <c r="E396" i="28"/>
  <c r="F386" i="28"/>
  <c r="G386" i="28" s="1"/>
  <c r="E397" i="28"/>
  <c r="C48" i="19" l="1"/>
  <c r="D48" i="19"/>
  <c r="F377" i="28"/>
  <c r="G377" i="28" s="1"/>
  <c r="E388" i="28"/>
  <c r="E434" i="28"/>
  <c r="F423" i="28"/>
  <c r="G423" i="28" s="1"/>
  <c r="E413" i="28"/>
  <c r="F402" i="28"/>
  <c r="G402" i="28" s="1"/>
  <c r="E408" i="28"/>
  <c r="F397" i="28"/>
  <c r="G397" i="28" s="1"/>
  <c r="F389" i="28"/>
  <c r="G389" i="28" s="1"/>
  <c r="E400" i="28"/>
  <c r="E395" i="28"/>
  <c r="F384" i="28"/>
  <c r="G384" i="28" s="1"/>
  <c r="E407" i="28"/>
  <c r="F396" i="28"/>
  <c r="G396" i="28" s="1"/>
  <c r="E416" i="28"/>
  <c r="F405" i="28"/>
  <c r="G405" i="28" s="1"/>
  <c r="F431" i="28"/>
  <c r="G431" i="28" s="1"/>
  <c r="E442" i="28"/>
  <c r="E414" i="28"/>
  <c r="F403" i="28"/>
  <c r="G403" i="28" s="1"/>
  <c r="F393" i="28"/>
  <c r="G393" i="28" s="1"/>
  <c r="E404" i="28"/>
  <c r="C49" i="19" l="1"/>
  <c r="D49" i="19"/>
  <c r="F388" i="28"/>
  <c r="G388" i="28" s="1"/>
  <c r="E399" i="28"/>
  <c r="F414" i="28"/>
  <c r="G414" i="28" s="1"/>
  <c r="E425" i="28"/>
  <c r="F416" i="28"/>
  <c r="G416" i="28" s="1"/>
  <c r="E427" i="28"/>
  <c r="E418" i="28"/>
  <c r="F407" i="28"/>
  <c r="G407" i="28" s="1"/>
  <c r="E424" i="28"/>
  <c r="F413" i="28"/>
  <c r="G413" i="28" s="1"/>
  <c r="E411" i="28"/>
  <c r="F400" i="28"/>
  <c r="G400" i="28" s="1"/>
  <c r="E415" i="28"/>
  <c r="F404" i="28"/>
  <c r="G404" i="28" s="1"/>
  <c r="E453" i="28"/>
  <c r="F442" i="28"/>
  <c r="G442" i="28" s="1"/>
  <c r="F395" i="28"/>
  <c r="G395" i="28" s="1"/>
  <c r="E406" i="28"/>
  <c r="E419" i="28"/>
  <c r="F408" i="28"/>
  <c r="G408" i="28" s="1"/>
  <c r="E445" i="28"/>
  <c r="F434" i="28"/>
  <c r="G434" i="28" s="1"/>
  <c r="D50" i="19" l="1"/>
  <c r="C50" i="19"/>
  <c r="E410" i="28"/>
  <c r="F399" i="28"/>
  <c r="G399" i="28" s="1"/>
  <c r="E438" i="28"/>
  <c r="F427" i="28"/>
  <c r="G427" i="28" s="1"/>
  <c r="E430" i="28"/>
  <c r="F419" i="28"/>
  <c r="G419" i="28" s="1"/>
  <c r="E426" i="28"/>
  <c r="F415" i="28"/>
  <c r="G415" i="28" s="1"/>
  <c r="E435" i="28"/>
  <c r="F424" i="28"/>
  <c r="G424" i="28" s="1"/>
  <c r="F406" i="28"/>
  <c r="G406" i="28" s="1"/>
  <c r="E417" i="28"/>
  <c r="E436" i="28"/>
  <c r="F425" i="28"/>
  <c r="G425" i="28" s="1"/>
  <c r="F445" i="28"/>
  <c r="G445" i="28" s="1"/>
  <c r="E456" i="28"/>
  <c r="F453" i="28"/>
  <c r="G453" i="28" s="1"/>
  <c r="E464" i="28"/>
  <c r="F411" i="28"/>
  <c r="G411" i="28" s="1"/>
  <c r="E422" i="28"/>
  <c r="E429" i="28"/>
  <c r="F418" i="28"/>
  <c r="G418" i="28" s="1"/>
  <c r="C51" i="19" l="1"/>
  <c r="D51" i="19"/>
  <c r="E421" i="28"/>
  <c r="F410" i="28"/>
  <c r="G410" i="28" s="1"/>
  <c r="E440" i="28"/>
  <c r="F429" i="28"/>
  <c r="G429" i="28" s="1"/>
  <c r="E433" i="28"/>
  <c r="F422" i="28"/>
  <c r="G422" i="28" s="1"/>
  <c r="E467" i="28"/>
  <c r="F456" i="28"/>
  <c r="G456" i="28" s="1"/>
  <c r="F417" i="28"/>
  <c r="G417" i="28" s="1"/>
  <c r="E428" i="28"/>
  <c r="E437" i="28"/>
  <c r="F426" i="28"/>
  <c r="G426" i="28" s="1"/>
  <c r="E441" i="28"/>
  <c r="F430" i="28"/>
  <c r="G430" i="28" s="1"/>
  <c r="F464" i="28"/>
  <c r="G464" i="28" s="1"/>
  <c r="E475" i="28"/>
  <c r="E447" i="28"/>
  <c r="F436" i="28"/>
  <c r="G436" i="28" s="1"/>
  <c r="E446" i="28"/>
  <c r="F435" i="28"/>
  <c r="G435" i="28" s="1"/>
  <c r="E449" i="28"/>
  <c r="F438" i="28"/>
  <c r="G438" i="28" s="1"/>
  <c r="C52" i="19" l="1"/>
  <c r="D52" i="19"/>
  <c r="F421" i="28"/>
  <c r="G421" i="28" s="1"/>
  <c r="E432" i="28"/>
  <c r="E439" i="28"/>
  <c r="F428" i="28"/>
  <c r="G428" i="28" s="1"/>
  <c r="F446" i="28"/>
  <c r="G446" i="28" s="1"/>
  <c r="E457" i="28"/>
  <c r="F441" i="28"/>
  <c r="G441" i="28" s="1"/>
  <c r="E452" i="28"/>
  <c r="E444" i="28"/>
  <c r="F433" i="28"/>
  <c r="G433" i="28" s="1"/>
  <c r="E486" i="28"/>
  <c r="F475" i="28"/>
  <c r="G475" i="28" s="1"/>
  <c r="F449" i="28"/>
  <c r="G449" i="28" s="1"/>
  <c r="E460" i="28"/>
  <c r="F447" i="28"/>
  <c r="G447" i="28" s="1"/>
  <c r="E458" i="28"/>
  <c r="E448" i="28"/>
  <c r="F437" i="28"/>
  <c r="G437" i="28" s="1"/>
  <c r="E478" i="28"/>
  <c r="F467" i="28"/>
  <c r="G467" i="28" s="1"/>
  <c r="E451" i="28"/>
  <c r="F440" i="28"/>
  <c r="G440" i="28" s="1"/>
  <c r="C53" i="19" l="1"/>
  <c r="D53" i="19"/>
  <c r="E443" i="28"/>
  <c r="F432" i="28"/>
  <c r="G432" i="28" s="1"/>
  <c r="F452" i="28"/>
  <c r="G452" i="28" s="1"/>
  <c r="E463" i="28"/>
  <c r="F457" i="28"/>
  <c r="G457" i="28" s="1"/>
  <c r="E468" i="28"/>
  <c r="E489" i="28"/>
  <c r="F478" i="28"/>
  <c r="G478" i="28" s="1"/>
  <c r="F486" i="28"/>
  <c r="G486" i="28" s="1"/>
  <c r="E497" i="28"/>
  <c r="E469" i="28"/>
  <c r="F458" i="28"/>
  <c r="G458" i="28" s="1"/>
  <c r="E471" i="28"/>
  <c r="F460" i="28"/>
  <c r="G460" i="28" s="1"/>
  <c r="F451" i="28"/>
  <c r="G451" i="28" s="1"/>
  <c r="E462" i="28"/>
  <c r="F448" i="28"/>
  <c r="G448" i="28" s="1"/>
  <c r="E459" i="28"/>
  <c r="F444" i="28"/>
  <c r="G444" i="28" s="1"/>
  <c r="E455" i="28"/>
  <c r="E450" i="28"/>
  <c r="F439" i="28"/>
  <c r="G439" i="28" s="1"/>
  <c r="D54" i="19" l="1"/>
  <c r="C54" i="19"/>
  <c r="F443" i="28"/>
  <c r="G443" i="28" s="1"/>
  <c r="E454" i="28"/>
  <c r="E473" i="28"/>
  <c r="F462" i="28"/>
  <c r="G462" i="28" s="1"/>
  <c r="F468" i="28"/>
  <c r="G468" i="28" s="1"/>
  <c r="E479" i="28"/>
  <c r="E470" i="28"/>
  <c r="F459" i="28"/>
  <c r="G459" i="28" s="1"/>
  <c r="E474" i="28"/>
  <c r="F463" i="28"/>
  <c r="G463" i="28" s="1"/>
  <c r="E466" i="28"/>
  <c r="F455" i="28"/>
  <c r="G455" i="28" s="1"/>
  <c r="E508" i="28"/>
  <c r="F497" i="28"/>
  <c r="G497" i="28" s="1"/>
  <c r="F471" i="28"/>
  <c r="G471" i="28" s="1"/>
  <c r="E482" i="28"/>
  <c r="F450" i="28"/>
  <c r="G450" i="28" s="1"/>
  <c r="E461" i="28"/>
  <c r="F469" i="28"/>
  <c r="G469" i="28" s="1"/>
  <c r="E480" i="28"/>
  <c r="F489" i="28"/>
  <c r="G489" i="28" s="1"/>
  <c r="E500" i="28"/>
  <c r="C55" i="19" l="1"/>
  <c r="D55" i="19"/>
  <c r="F454" i="28"/>
  <c r="G454" i="28" s="1"/>
  <c r="E465" i="28"/>
  <c r="F479" i="28"/>
  <c r="G479" i="28" s="1"/>
  <c r="E490" i="28"/>
  <c r="E477" i="28"/>
  <c r="F466" i="28"/>
  <c r="G466" i="28" s="1"/>
  <c r="E511" i="28"/>
  <c r="F500" i="28"/>
  <c r="G500" i="28" s="1"/>
  <c r="E472" i="28"/>
  <c r="F461" i="28"/>
  <c r="G461" i="28" s="1"/>
  <c r="E491" i="28"/>
  <c r="F480" i="28"/>
  <c r="G480" i="28" s="1"/>
  <c r="E493" i="28"/>
  <c r="F482" i="28"/>
  <c r="G482" i="28" s="1"/>
  <c r="E519" i="28"/>
  <c r="F508" i="28"/>
  <c r="G508" i="28" s="1"/>
  <c r="E485" i="28"/>
  <c r="F474" i="28"/>
  <c r="G474" i="28" s="1"/>
  <c r="E481" i="28"/>
  <c r="F470" i="28"/>
  <c r="G470" i="28" s="1"/>
  <c r="E484" i="28"/>
  <c r="F473" i="28"/>
  <c r="G473" i="28" s="1"/>
  <c r="C56" i="19" l="1"/>
  <c r="D56" i="19"/>
  <c r="E476" i="28"/>
  <c r="F465" i="28"/>
  <c r="G465" i="28" s="1"/>
  <c r="E492" i="28"/>
  <c r="F481" i="28"/>
  <c r="G481" i="28" s="1"/>
  <c r="F519" i="28"/>
  <c r="G519" i="28" s="1"/>
  <c r="E530" i="28"/>
  <c r="F491" i="28"/>
  <c r="G491" i="28" s="1"/>
  <c r="E502" i="28"/>
  <c r="E522" i="28"/>
  <c r="F511" i="28"/>
  <c r="G511" i="28" s="1"/>
  <c r="E488" i="28"/>
  <c r="F477" i="28"/>
  <c r="G477" i="28" s="1"/>
  <c r="E501" i="28"/>
  <c r="F490" i="28"/>
  <c r="G490" i="28" s="1"/>
  <c r="E495" i="28"/>
  <c r="F484" i="28"/>
  <c r="G484" i="28" s="1"/>
  <c r="F485" i="28"/>
  <c r="G485" i="28" s="1"/>
  <c r="E496" i="28"/>
  <c r="E504" i="28"/>
  <c r="F493" i="28"/>
  <c r="G493" i="28" s="1"/>
  <c r="E483" i="28"/>
  <c r="F472" i="28"/>
  <c r="G472" i="28" s="1"/>
  <c r="D57" i="19" l="1"/>
  <c r="C57" i="19"/>
  <c r="F476" i="28"/>
  <c r="G476" i="28" s="1"/>
  <c r="E487" i="28"/>
  <c r="E541" i="28"/>
  <c r="F530" i="28"/>
  <c r="G530" i="28" s="1"/>
  <c r="E515" i="28"/>
  <c r="F504" i="28"/>
  <c r="G504" i="28" s="1"/>
  <c r="E506" i="28"/>
  <c r="F495" i="28"/>
  <c r="G495" i="28" s="1"/>
  <c r="E533" i="28"/>
  <c r="F522" i="28"/>
  <c r="G522" i="28" s="1"/>
  <c r="F496" i="28"/>
  <c r="G496" i="28" s="1"/>
  <c r="E507" i="28"/>
  <c r="E513" i="28"/>
  <c r="F502" i="28"/>
  <c r="G502" i="28" s="1"/>
  <c r="E494" i="28"/>
  <c r="F483" i="28"/>
  <c r="G483" i="28" s="1"/>
  <c r="E512" i="28"/>
  <c r="F501" i="28"/>
  <c r="G501" i="28" s="1"/>
  <c r="E499" i="28"/>
  <c r="F488" i="28"/>
  <c r="G488" i="28" s="1"/>
  <c r="F492" i="28"/>
  <c r="G492" i="28" s="1"/>
  <c r="E503" i="28"/>
  <c r="D58" i="19" l="1"/>
  <c r="C58" i="19"/>
  <c r="E498" i="28"/>
  <c r="F487" i="28"/>
  <c r="G487" i="28" s="1"/>
  <c r="F507" i="28"/>
  <c r="G507" i="28" s="1"/>
  <c r="E518" i="28"/>
  <c r="E510" i="28"/>
  <c r="F499" i="28"/>
  <c r="G499" i="28" s="1"/>
  <c r="E505" i="28"/>
  <c r="F494" i="28"/>
  <c r="G494" i="28" s="1"/>
  <c r="F515" i="28"/>
  <c r="G515" i="28" s="1"/>
  <c r="E526" i="28"/>
  <c r="F503" i="28"/>
  <c r="G503" i="28" s="1"/>
  <c r="E514" i="28"/>
  <c r="F512" i="28"/>
  <c r="G512" i="28" s="1"/>
  <c r="E523" i="28"/>
  <c r="F513" i="28"/>
  <c r="G513" i="28" s="1"/>
  <c r="E524" i="28"/>
  <c r="F533" i="28"/>
  <c r="G533" i="28" s="1"/>
  <c r="E544" i="28"/>
  <c r="E517" i="28"/>
  <c r="F506" i="28"/>
  <c r="G506" i="28" s="1"/>
  <c r="F541" i="28"/>
  <c r="G541" i="28" s="1"/>
  <c r="E552" i="28"/>
  <c r="C59" i="19" l="1"/>
  <c r="D59" i="19"/>
  <c r="E509" i="28"/>
  <c r="F498" i="28"/>
  <c r="G498" i="28" s="1"/>
  <c r="F517" i="28"/>
  <c r="G517" i="28" s="1"/>
  <c r="E528" i="28"/>
  <c r="E521" i="28"/>
  <c r="F510" i="28"/>
  <c r="G510" i="28" s="1"/>
  <c r="F524" i="28"/>
  <c r="G524" i="28" s="1"/>
  <c r="E535" i="28"/>
  <c r="E525" i="28"/>
  <c r="F514" i="28"/>
  <c r="G514" i="28" s="1"/>
  <c r="E563" i="28"/>
  <c r="F552" i="28"/>
  <c r="G552" i="28" s="1"/>
  <c r="E555" i="28"/>
  <c r="F544" i="28"/>
  <c r="G544" i="28" s="1"/>
  <c r="E534" i="28"/>
  <c r="F523" i="28"/>
  <c r="G523" i="28" s="1"/>
  <c r="F526" i="28"/>
  <c r="G526" i="28" s="1"/>
  <c r="E537" i="28"/>
  <c r="E529" i="28"/>
  <c r="F518" i="28"/>
  <c r="G518" i="28" s="1"/>
  <c r="F505" i="28"/>
  <c r="G505" i="28" s="1"/>
  <c r="E516" i="28"/>
  <c r="C60" i="19" l="1"/>
  <c r="D60" i="19"/>
  <c r="E520" i="28"/>
  <c r="F509" i="28"/>
  <c r="G509" i="28" s="1"/>
  <c r="F535" i="28"/>
  <c r="G535" i="28" s="1"/>
  <c r="E546" i="28"/>
  <c r="E540" i="28"/>
  <c r="F529" i="28"/>
  <c r="G529" i="28" s="1"/>
  <c r="F534" i="28"/>
  <c r="G534" i="28" s="1"/>
  <c r="E545" i="28"/>
  <c r="E574" i="28"/>
  <c r="F563" i="28"/>
  <c r="G563" i="28" s="1"/>
  <c r="F516" i="28"/>
  <c r="G516" i="28" s="1"/>
  <c r="E527" i="28"/>
  <c r="F537" i="28"/>
  <c r="G537" i="28" s="1"/>
  <c r="E548" i="28"/>
  <c r="F528" i="28"/>
  <c r="G528" i="28" s="1"/>
  <c r="E539" i="28"/>
  <c r="E566" i="28"/>
  <c r="F555" i="28"/>
  <c r="G555" i="28" s="1"/>
  <c r="E536" i="28"/>
  <c r="F525" i="28"/>
  <c r="G525" i="28" s="1"/>
  <c r="F521" i="28"/>
  <c r="G521" i="28" s="1"/>
  <c r="E532" i="28"/>
  <c r="D61" i="19" l="1"/>
  <c r="C61" i="19"/>
  <c r="E531" i="28"/>
  <c r="F520" i="28"/>
  <c r="G520" i="28" s="1"/>
  <c r="F539" i="28"/>
  <c r="G539" i="28" s="1"/>
  <c r="E550" i="28"/>
  <c r="E538" i="28"/>
  <c r="F527" i="28"/>
  <c r="G527" i="28" s="1"/>
  <c r="F536" i="28"/>
  <c r="G536" i="28" s="1"/>
  <c r="E547" i="28"/>
  <c r="E585" i="28"/>
  <c r="F574" i="28"/>
  <c r="G574" i="28" s="1"/>
  <c r="F540" i="28"/>
  <c r="G540" i="28" s="1"/>
  <c r="E551" i="28"/>
  <c r="F532" i="28"/>
  <c r="G532" i="28" s="1"/>
  <c r="E543" i="28"/>
  <c r="E559" i="28"/>
  <c r="F548" i="28"/>
  <c r="G548" i="28" s="1"/>
  <c r="E556" i="28"/>
  <c r="F545" i="28"/>
  <c r="G545" i="28" s="1"/>
  <c r="E557" i="28"/>
  <c r="F546" i="28"/>
  <c r="G546" i="28" s="1"/>
  <c r="E577" i="28"/>
  <c r="F566" i="28"/>
  <c r="G566" i="28" s="1"/>
  <c r="D62" i="19" l="1"/>
  <c r="C62" i="19"/>
  <c r="F531" i="28"/>
  <c r="G531" i="28" s="1"/>
  <c r="E542" i="28"/>
  <c r="E554" i="28"/>
  <c r="F543" i="28"/>
  <c r="G543" i="28" s="1"/>
  <c r="E568" i="28"/>
  <c r="F557" i="28"/>
  <c r="G557" i="28" s="1"/>
  <c r="E596" i="28"/>
  <c r="F585" i="28"/>
  <c r="G585" i="28" s="1"/>
  <c r="F538" i="28"/>
  <c r="G538" i="28" s="1"/>
  <c r="E549" i="28"/>
  <c r="E562" i="28"/>
  <c r="F551" i="28"/>
  <c r="G551" i="28" s="1"/>
  <c r="E558" i="28"/>
  <c r="F547" i="28"/>
  <c r="G547" i="28" s="1"/>
  <c r="E561" i="28"/>
  <c r="F550" i="28"/>
  <c r="G550" i="28" s="1"/>
  <c r="F577" i="28"/>
  <c r="G577" i="28" s="1"/>
  <c r="E588" i="28"/>
  <c r="F556" i="28"/>
  <c r="G556" i="28" s="1"/>
  <c r="E567" i="28"/>
  <c r="E570" i="28"/>
  <c r="F559" i="28"/>
  <c r="G559" i="28" s="1"/>
  <c r="C63" i="19" l="1"/>
  <c r="D63" i="19"/>
  <c r="E553" i="28"/>
  <c r="F542" i="28"/>
  <c r="G542" i="28" s="1"/>
  <c r="E578" i="28"/>
  <c r="F567" i="28"/>
  <c r="G567" i="28" s="1"/>
  <c r="E572" i="28"/>
  <c r="F561" i="28"/>
  <c r="G561" i="28" s="1"/>
  <c r="E573" i="28"/>
  <c r="F562" i="28"/>
  <c r="G562" i="28" s="1"/>
  <c r="E607" i="28"/>
  <c r="F596" i="28"/>
  <c r="G596" i="28" s="1"/>
  <c r="E579" i="28"/>
  <c r="F568" i="28"/>
  <c r="G568" i="28" s="1"/>
  <c r="E599" i="28"/>
  <c r="F588" i="28"/>
  <c r="G588" i="28" s="1"/>
  <c r="E560" i="28"/>
  <c r="F549" i="28"/>
  <c r="G549" i="28" s="1"/>
  <c r="F570" i="28"/>
  <c r="G570" i="28" s="1"/>
  <c r="E581" i="28"/>
  <c r="F558" i="28"/>
  <c r="G558" i="28" s="1"/>
  <c r="E569" i="28"/>
  <c r="E565" i="28"/>
  <c r="F554" i="28"/>
  <c r="G554" i="28" s="1"/>
  <c r="C64" i="19" l="1"/>
  <c r="D64" i="19"/>
  <c r="F553" i="28"/>
  <c r="G553" i="28" s="1"/>
  <c r="E564" i="28"/>
  <c r="E610" i="28"/>
  <c r="F599" i="28"/>
  <c r="G599" i="28" s="1"/>
  <c r="E618" i="28"/>
  <c r="F607" i="28"/>
  <c r="G607" i="28" s="1"/>
  <c r="E583" i="28"/>
  <c r="F572" i="28"/>
  <c r="G572" i="28" s="1"/>
  <c r="F569" i="28"/>
  <c r="G569" i="28" s="1"/>
  <c r="E580" i="28"/>
  <c r="F581" i="28"/>
  <c r="G581" i="28" s="1"/>
  <c r="E592" i="28"/>
  <c r="F565" i="28"/>
  <c r="G565" i="28" s="1"/>
  <c r="E576" i="28"/>
  <c r="F560" i="28"/>
  <c r="G560" i="28" s="1"/>
  <c r="E571" i="28"/>
  <c r="E590" i="28"/>
  <c r="F579" i="28"/>
  <c r="G579" i="28" s="1"/>
  <c r="F573" i="28"/>
  <c r="G573" i="28" s="1"/>
  <c r="E584" i="28"/>
  <c r="F578" i="28"/>
  <c r="G578" i="28" s="1"/>
  <c r="E589" i="28"/>
  <c r="C65" i="19" l="1"/>
  <c r="D65" i="19"/>
  <c r="E575" i="28"/>
  <c r="F564" i="28"/>
  <c r="G564" i="28" s="1"/>
  <c r="E594" i="28"/>
  <c r="F583" i="28"/>
  <c r="G583" i="28" s="1"/>
  <c r="F610" i="28"/>
  <c r="G610" i="28" s="1"/>
  <c r="E621" i="28"/>
  <c r="F584" i="28"/>
  <c r="G584" i="28" s="1"/>
  <c r="E595" i="28"/>
  <c r="F571" i="28"/>
  <c r="G571" i="28" s="1"/>
  <c r="E582" i="28"/>
  <c r="E603" i="28"/>
  <c r="F592" i="28"/>
  <c r="G592" i="28" s="1"/>
  <c r="F589" i="28"/>
  <c r="G589" i="28" s="1"/>
  <c r="E600" i="28"/>
  <c r="E587" i="28"/>
  <c r="F576" i="28"/>
  <c r="G576" i="28" s="1"/>
  <c r="E591" i="28"/>
  <c r="F580" i="28"/>
  <c r="G580" i="28" s="1"/>
  <c r="F590" i="28"/>
  <c r="G590" i="28" s="1"/>
  <c r="E601" i="28"/>
  <c r="E629" i="28"/>
  <c r="F618" i="28"/>
  <c r="G618" i="28" s="1"/>
  <c r="D66" i="19" l="1"/>
  <c r="C66" i="19"/>
  <c r="E586" i="28"/>
  <c r="F575" i="28"/>
  <c r="G575" i="28" s="1"/>
  <c r="F600" i="28"/>
  <c r="G600" i="28" s="1"/>
  <c r="E611" i="28"/>
  <c r="E593" i="28"/>
  <c r="F582" i="28"/>
  <c r="G582" i="28" s="1"/>
  <c r="F621" i="28"/>
  <c r="G621" i="28" s="1"/>
  <c r="E632" i="28"/>
  <c r="F629" i="28"/>
  <c r="G629" i="28" s="1"/>
  <c r="E640" i="28"/>
  <c r="E602" i="28"/>
  <c r="F591" i="28"/>
  <c r="G591" i="28" s="1"/>
  <c r="E606" i="28"/>
  <c r="F595" i="28"/>
  <c r="G595" i="28" s="1"/>
  <c r="E612" i="28"/>
  <c r="F601" i="28"/>
  <c r="G601" i="28" s="1"/>
  <c r="E598" i="28"/>
  <c r="F587" i="28"/>
  <c r="G587" i="28" s="1"/>
  <c r="E614" i="28"/>
  <c r="F603" i="28"/>
  <c r="G603" i="28" s="1"/>
  <c r="E605" i="28"/>
  <c r="F594" i="28"/>
  <c r="G594" i="28" s="1"/>
  <c r="D67" i="19" l="1"/>
  <c r="C67" i="19"/>
  <c r="F586" i="28"/>
  <c r="G586" i="28" s="1"/>
  <c r="E597" i="28"/>
  <c r="E643" i="28"/>
  <c r="F632" i="28"/>
  <c r="G632" i="28" s="1"/>
  <c r="F611" i="28"/>
  <c r="G611" i="28" s="1"/>
  <c r="E622" i="28"/>
  <c r="E651" i="28"/>
  <c r="F640" i="28"/>
  <c r="G640" i="28" s="1"/>
  <c r="E625" i="28"/>
  <c r="F614" i="28"/>
  <c r="G614" i="28" s="1"/>
  <c r="E623" i="28"/>
  <c r="F612" i="28"/>
  <c r="G612" i="28" s="1"/>
  <c r="E617" i="28"/>
  <c r="F606" i="28"/>
  <c r="G606" i="28" s="1"/>
  <c r="E604" i="28"/>
  <c r="F593" i="28"/>
  <c r="G593" i="28" s="1"/>
  <c r="F605" i="28"/>
  <c r="G605" i="28" s="1"/>
  <c r="E616" i="28"/>
  <c r="E609" i="28"/>
  <c r="F598" i="28"/>
  <c r="G598" i="28" s="1"/>
  <c r="E613" i="28"/>
  <c r="F602" i="28"/>
  <c r="G602" i="28" s="1"/>
  <c r="D68" i="19" l="1"/>
  <c r="C68" i="19"/>
  <c r="E608" i="28"/>
  <c r="F597" i="28"/>
  <c r="G597" i="28" s="1"/>
  <c r="F622" i="28"/>
  <c r="G622" i="28" s="1"/>
  <c r="E633" i="28"/>
  <c r="E628" i="28"/>
  <c r="F617" i="28"/>
  <c r="G617" i="28" s="1"/>
  <c r="F625" i="28"/>
  <c r="G625" i="28" s="1"/>
  <c r="E636" i="28"/>
  <c r="E627" i="28"/>
  <c r="F616" i="28"/>
  <c r="G616" i="28" s="1"/>
  <c r="E624" i="28"/>
  <c r="F613" i="28"/>
  <c r="G613" i="28" s="1"/>
  <c r="F609" i="28"/>
  <c r="G609" i="28" s="1"/>
  <c r="E620" i="28"/>
  <c r="F604" i="28"/>
  <c r="G604" i="28" s="1"/>
  <c r="E615" i="28"/>
  <c r="F623" i="28"/>
  <c r="G623" i="28" s="1"/>
  <c r="E634" i="28"/>
  <c r="E662" i="28"/>
  <c r="F651" i="28"/>
  <c r="G651" i="28" s="1"/>
  <c r="E654" i="28"/>
  <c r="F643" i="28"/>
  <c r="G643" i="28" s="1"/>
  <c r="C69" i="19" l="1"/>
  <c r="D69" i="19"/>
  <c r="E619" i="28"/>
  <c r="F608" i="28"/>
  <c r="G608" i="28" s="1"/>
  <c r="E673" i="28"/>
  <c r="F662" i="28"/>
  <c r="G662" i="28" s="1"/>
  <c r="F624" i="28"/>
  <c r="G624" i="28" s="1"/>
  <c r="E635" i="28"/>
  <c r="F634" i="28"/>
  <c r="G634" i="28" s="1"/>
  <c r="E645" i="28"/>
  <c r="F620" i="28"/>
  <c r="G620" i="28" s="1"/>
  <c r="E631" i="28"/>
  <c r="E644" i="28"/>
  <c r="F633" i="28"/>
  <c r="G633" i="28" s="1"/>
  <c r="E626" i="28"/>
  <c r="F615" i="28"/>
  <c r="G615" i="28" s="1"/>
  <c r="F636" i="28"/>
  <c r="G636" i="28" s="1"/>
  <c r="E647" i="28"/>
  <c r="E665" i="28"/>
  <c r="F654" i="28"/>
  <c r="G654" i="28" s="1"/>
  <c r="F627" i="28"/>
  <c r="G627" i="28" s="1"/>
  <c r="E638" i="28"/>
  <c r="F628" i="28"/>
  <c r="G628" i="28" s="1"/>
  <c r="E639" i="28"/>
  <c r="C71" i="19" l="1"/>
  <c r="D71" i="19"/>
  <c r="C70" i="19"/>
  <c r="D70" i="19"/>
  <c r="F619" i="28"/>
  <c r="G619" i="28" s="1"/>
  <c r="E630" i="28"/>
  <c r="E655" i="28"/>
  <c r="F644" i="28"/>
  <c r="G644" i="28" s="1"/>
  <c r="E684" i="28"/>
  <c r="F673" i="28"/>
  <c r="G673" i="28" s="1"/>
  <c r="E649" i="28"/>
  <c r="F638" i="28"/>
  <c r="G638" i="28" s="1"/>
  <c r="E658" i="28"/>
  <c r="F647" i="28"/>
  <c r="G647" i="28" s="1"/>
  <c r="E642" i="28"/>
  <c r="F631" i="28"/>
  <c r="G631" i="28" s="1"/>
  <c r="E646" i="28"/>
  <c r="F635" i="28"/>
  <c r="G635" i="28" s="1"/>
  <c r="F645" i="28"/>
  <c r="G645" i="28" s="1"/>
  <c r="E656" i="28"/>
  <c r="E650" i="28"/>
  <c r="F639" i="28"/>
  <c r="G639" i="28" s="1"/>
  <c r="F665" i="28"/>
  <c r="G665" i="28" s="1"/>
  <c r="E676" i="28"/>
  <c r="F626" i="28"/>
  <c r="G626" i="28" s="1"/>
  <c r="E637" i="28"/>
  <c r="C72" i="19" l="1"/>
  <c r="D72" i="19"/>
  <c r="E641" i="28"/>
  <c r="F630" i="28"/>
  <c r="G630" i="28" s="1"/>
  <c r="E661" i="28"/>
  <c r="F650" i="28"/>
  <c r="G650" i="28" s="1"/>
  <c r="F646" i="28"/>
  <c r="G646" i="28" s="1"/>
  <c r="E657" i="28"/>
  <c r="F658" i="28"/>
  <c r="G658" i="28" s="1"/>
  <c r="E669" i="28"/>
  <c r="F684" i="28"/>
  <c r="G684" i="28" s="1"/>
  <c r="E695" i="28"/>
  <c r="E648" i="28"/>
  <c r="F637" i="28"/>
  <c r="G637" i="28" s="1"/>
  <c r="E687" i="28"/>
  <c r="F676" i="28"/>
  <c r="G676" i="28" s="1"/>
  <c r="F656" i="28"/>
  <c r="G656" i="28" s="1"/>
  <c r="E667" i="28"/>
  <c r="F642" i="28"/>
  <c r="G642" i="28" s="1"/>
  <c r="E653" i="28"/>
  <c r="F649" i="28"/>
  <c r="G649" i="28" s="1"/>
  <c r="E660" i="28"/>
  <c r="F655" i="28"/>
  <c r="G655" i="28" s="1"/>
  <c r="E666" i="28"/>
  <c r="D73" i="19" l="1"/>
  <c r="C73" i="19"/>
  <c r="F641" i="28"/>
  <c r="G641" i="28" s="1"/>
  <c r="E652" i="28"/>
  <c r="E668" i="28"/>
  <c r="F657" i="28"/>
  <c r="G657" i="28" s="1"/>
  <c r="E698" i="28"/>
  <c r="F687" i="28"/>
  <c r="G687" i="28" s="1"/>
  <c r="E677" i="28"/>
  <c r="F666" i="28"/>
  <c r="G666" i="28" s="1"/>
  <c r="E664" i="28"/>
  <c r="F653" i="28"/>
  <c r="G653" i="28" s="1"/>
  <c r="F667" i="28"/>
  <c r="G667" i="28" s="1"/>
  <c r="E678" i="28"/>
  <c r="F669" i="28"/>
  <c r="G669" i="28" s="1"/>
  <c r="E680" i="28"/>
  <c r="F660" i="28"/>
  <c r="G660" i="28" s="1"/>
  <c r="E671" i="28"/>
  <c r="E706" i="28"/>
  <c r="F695" i="28"/>
  <c r="G695" i="28" s="1"/>
  <c r="E659" i="28"/>
  <c r="F648" i="28"/>
  <c r="G648" i="28" s="1"/>
  <c r="E672" i="28"/>
  <c r="F661" i="28"/>
  <c r="G661" i="28" s="1"/>
  <c r="C74" i="19" l="1"/>
  <c r="D74" i="19"/>
  <c r="F652" i="28"/>
  <c r="G652" i="28" s="1"/>
  <c r="E663" i="28"/>
  <c r="F659" i="28"/>
  <c r="G659" i="28" s="1"/>
  <c r="E670" i="28"/>
  <c r="E688" i="28"/>
  <c r="F677" i="28"/>
  <c r="G677" i="28" s="1"/>
  <c r="F668" i="28"/>
  <c r="G668" i="28" s="1"/>
  <c r="E679" i="28"/>
  <c r="F680" i="28"/>
  <c r="G680" i="28" s="1"/>
  <c r="E691" i="28"/>
  <c r="E682" i="28"/>
  <c r="F671" i="28"/>
  <c r="G671" i="28" s="1"/>
  <c r="F678" i="28"/>
  <c r="G678" i="28" s="1"/>
  <c r="E689" i="28"/>
  <c r="E683" i="28"/>
  <c r="F672" i="28"/>
  <c r="G672" i="28" s="1"/>
  <c r="E717" i="28"/>
  <c r="F706" i="28"/>
  <c r="G706" i="28" s="1"/>
  <c r="E675" i="28"/>
  <c r="F664" i="28"/>
  <c r="G664" i="28" s="1"/>
  <c r="E709" i="28"/>
  <c r="F698" i="28"/>
  <c r="G698" i="28" s="1"/>
  <c r="C75" i="19" l="1"/>
  <c r="D75" i="19"/>
  <c r="E674" i="28"/>
  <c r="F663" i="28"/>
  <c r="G663" i="28" s="1"/>
  <c r="F709" i="28"/>
  <c r="G709" i="28" s="1"/>
  <c r="E720" i="28"/>
  <c r="F717" i="28"/>
  <c r="G717" i="28" s="1"/>
  <c r="E728" i="28"/>
  <c r="F688" i="28"/>
  <c r="G688" i="28" s="1"/>
  <c r="E699" i="28"/>
  <c r="E690" i="28"/>
  <c r="F679" i="28"/>
  <c r="G679" i="28" s="1"/>
  <c r="F670" i="28"/>
  <c r="G670" i="28" s="1"/>
  <c r="E681" i="28"/>
  <c r="E700" i="28"/>
  <c r="F689" i="28"/>
  <c r="G689" i="28" s="1"/>
  <c r="E702" i="28"/>
  <c r="F691" i="28"/>
  <c r="G691" i="28" s="1"/>
  <c r="E686" i="28"/>
  <c r="F675" i="28"/>
  <c r="G675" i="28" s="1"/>
  <c r="F683" i="28"/>
  <c r="G683" i="28" s="1"/>
  <c r="E694" i="28"/>
  <c r="E693" i="28"/>
  <c r="F682" i="28"/>
  <c r="G682" i="28" s="1"/>
  <c r="C76" i="19" l="1"/>
  <c r="D76" i="19"/>
  <c r="F674" i="28"/>
  <c r="G674" i="28" s="1"/>
  <c r="E685" i="28"/>
  <c r="F728" i="28"/>
  <c r="G728" i="28" s="1"/>
  <c r="E739" i="28"/>
  <c r="E711" i="28"/>
  <c r="F700" i="28"/>
  <c r="G700" i="28" s="1"/>
  <c r="F690" i="28"/>
  <c r="G690" i="28" s="1"/>
  <c r="E701" i="28"/>
  <c r="E692" i="28"/>
  <c r="F681" i="28"/>
  <c r="G681" i="28" s="1"/>
  <c r="E710" i="28"/>
  <c r="F699" i="28"/>
  <c r="G699" i="28" s="1"/>
  <c r="E731" i="28"/>
  <c r="F720" i="28"/>
  <c r="G720" i="28" s="1"/>
  <c r="F694" i="28"/>
  <c r="G694" i="28" s="1"/>
  <c r="E705" i="28"/>
  <c r="E704" i="28"/>
  <c r="F693" i="28"/>
  <c r="G693" i="28" s="1"/>
  <c r="F686" i="28"/>
  <c r="G686" i="28" s="1"/>
  <c r="E697" i="28"/>
  <c r="F702" i="28"/>
  <c r="G702" i="28" s="1"/>
  <c r="E713" i="28"/>
  <c r="C77" i="19" l="1"/>
  <c r="D77" i="19"/>
  <c r="F685" i="28"/>
  <c r="G685" i="28" s="1"/>
  <c r="E696" i="28"/>
  <c r="E708" i="28"/>
  <c r="F697" i="28"/>
  <c r="G697" i="28" s="1"/>
  <c r="E742" i="28"/>
  <c r="F731" i="28"/>
  <c r="G731" i="28" s="1"/>
  <c r="F692" i="28"/>
  <c r="G692" i="28" s="1"/>
  <c r="E703" i="28"/>
  <c r="F711" i="28"/>
  <c r="G711" i="28" s="1"/>
  <c r="E722" i="28"/>
  <c r="F713" i="28"/>
  <c r="G713" i="28" s="1"/>
  <c r="E724" i="28"/>
  <c r="E716" i="28"/>
  <c r="F705" i="28"/>
  <c r="G705" i="28" s="1"/>
  <c r="F701" i="28"/>
  <c r="G701" i="28" s="1"/>
  <c r="E712" i="28"/>
  <c r="E750" i="28"/>
  <c r="F739" i="28"/>
  <c r="G739" i="28" s="1"/>
  <c r="E715" i="28"/>
  <c r="F704" i="28"/>
  <c r="G704" i="28" s="1"/>
  <c r="F710" i="28"/>
  <c r="G710" i="28" s="1"/>
  <c r="E721" i="28"/>
  <c r="C78" i="19" l="1"/>
  <c r="D78" i="19"/>
  <c r="F696" i="28"/>
  <c r="G696" i="28" s="1"/>
  <c r="E707" i="28"/>
  <c r="F715" i="28"/>
  <c r="G715" i="28" s="1"/>
  <c r="E726" i="28"/>
  <c r="E732" i="28"/>
  <c r="F721" i="28"/>
  <c r="G721" i="28" s="1"/>
  <c r="F716" i="28"/>
  <c r="G716" i="28" s="1"/>
  <c r="E727" i="28"/>
  <c r="F712" i="28"/>
  <c r="G712" i="28" s="1"/>
  <c r="E723" i="28"/>
  <c r="E735" i="28"/>
  <c r="F724" i="28"/>
  <c r="G724" i="28" s="1"/>
  <c r="E714" i="28"/>
  <c r="F703" i="28"/>
  <c r="G703" i="28" s="1"/>
  <c r="E733" i="28"/>
  <c r="F722" i="28"/>
  <c r="G722" i="28" s="1"/>
  <c r="E761" i="28"/>
  <c r="F750" i="28"/>
  <c r="G750" i="28" s="1"/>
  <c r="E753" i="28"/>
  <c r="F742" i="28"/>
  <c r="G742" i="28" s="1"/>
  <c r="F708" i="28"/>
  <c r="G708" i="28" s="1"/>
  <c r="E719" i="28"/>
  <c r="C79" i="19" l="1"/>
  <c r="D79" i="19"/>
  <c r="F707" i="28"/>
  <c r="G707" i="28" s="1"/>
  <c r="E718" i="28"/>
  <c r="E734" i="28"/>
  <c r="F723" i="28"/>
  <c r="G723" i="28" s="1"/>
  <c r="F753" i="28"/>
  <c r="G753" i="28" s="1"/>
  <c r="E764" i="28"/>
  <c r="F733" i="28"/>
  <c r="G733" i="28" s="1"/>
  <c r="E744" i="28"/>
  <c r="F714" i="28"/>
  <c r="G714" i="28" s="1"/>
  <c r="E725" i="28"/>
  <c r="F732" i="28"/>
  <c r="G732" i="28" s="1"/>
  <c r="E743" i="28"/>
  <c r="E730" i="28"/>
  <c r="F719" i="28"/>
  <c r="G719" i="28" s="1"/>
  <c r="E738" i="28"/>
  <c r="F727" i="28"/>
  <c r="G727" i="28" s="1"/>
  <c r="E737" i="28"/>
  <c r="F726" i="28"/>
  <c r="G726" i="28" s="1"/>
  <c r="E772" i="28"/>
  <c r="F761" i="28"/>
  <c r="G761" i="28" s="1"/>
  <c r="E746" i="28"/>
  <c r="F735" i="28"/>
  <c r="G735" i="28" s="1"/>
  <c r="C80" i="19" l="1"/>
  <c r="D80" i="19"/>
  <c r="E729" i="28"/>
  <c r="F718" i="28"/>
  <c r="G718" i="28" s="1"/>
  <c r="E736" i="28"/>
  <c r="F725" i="28"/>
  <c r="G725" i="28" s="1"/>
  <c r="E775" i="28"/>
  <c r="F764" i="28"/>
  <c r="G764" i="28" s="1"/>
  <c r="E748" i="28"/>
  <c r="F737" i="28"/>
  <c r="G737" i="28" s="1"/>
  <c r="F730" i="28"/>
  <c r="G730" i="28" s="1"/>
  <c r="E741" i="28"/>
  <c r="F743" i="28"/>
  <c r="G743" i="28" s="1"/>
  <c r="E754" i="28"/>
  <c r="F744" i="28"/>
  <c r="G744" i="28" s="1"/>
  <c r="E755" i="28"/>
  <c r="E757" i="28"/>
  <c r="F746" i="28"/>
  <c r="G746" i="28" s="1"/>
  <c r="F772" i="28"/>
  <c r="G772" i="28" s="1"/>
  <c r="E783" i="28"/>
  <c r="E749" i="28"/>
  <c r="F738" i="28"/>
  <c r="G738" i="28" s="1"/>
  <c r="E745" i="28"/>
  <c r="F734" i="28"/>
  <c r="G734" i="28" s="1"/>
  <c r="C81" i="19" l="1"/>
  <c r="D81" i="19"/>
  <c r="E740" i="28"/>
  <c r="F729" i="28"/>
  <c r="G729" i="28" s="1"/>
  <c r="F749" i="28"/>
  <c r="G749" i="28" s="1"/>
  <c r="E760" i="28"/>
  <c r="E768" i="28"/>
  <c r="F757" i="28"/>
  <c r="G757" i="28" s="1"/>
  <c r="F748" i="28"/>
  <c r="G748" i="28" s="1"/>
  <c r="E759" i="28"/>
  <c r="E786" i="28"/>
  <c r="F775" i="28"/>
  <c r="G775" i="28" s="1"/>
  <c r="E794" i="28"/>
  <c r="F783" i="28"/>
  <c r="G783" i="28" s="1"/>
  <c r="E766" i="28"/>
  <c r="F755" i="28"/>
  <c r="G755" i="28" s="1"/>
  <c r="E752" i="28"/>
  <c r="F741" i="28"/>
  <c r="G741" i="28" s="1"/>
  <c r="E765" i="28"/>
  <c r="F754" i="28"/>
  <c r="G754" i="28" s="1"/>
  <c r="F745" i="28"/>
  <c r="G745" i="28" s="1"/>
  <c r="E756" i="28"/>
  <c r="E747" i="28"/>
  <c r="F736" i="28"/>
  <c r="G736" i="28" s="1"/>
  <c r="C82" i="19" l="1"/>
  <c r="D82" i="19"/>
  <c r="F740" i="28"/>
  <c r="G740" i="28" s="1"/>
  <c r="E751" i="28"/>
  <c r="E777" i="28"/>
  <c r="F766" i="28"/>
  <c r="G766" i="28" s="1"/>
  <c r="F786" i="28"/>
  <c r="G786" i="28" s="1"/>
  <c r="E797" i="28"/>
  <c r="E779" i="28"/>
  <c r="F768" i="28"/>
  <c r="G768" i="28" s="1"/>
  <c r="E767" i="28"/>
  <c r="F756" i="28"/>
  <c r="G756" i="28" s="1"/>
  <c r="F759" i="28"/>
  <c r="G759" i="28" s="1"/>
  <c r="E770" i="28"/>
  <c r="E771" i="28"/>
  <c r="F760" i="28"/>
  <c r="G760" i="28" s="1"/>
  <c r="F747" i="28"/>
  <c r="G747" i="28" s="1"/>
  <c r="E758" i="28"/>
  <c r="F765" i="28"/>
  <c r="G765" i="28" s="1"/>
  <c r="E776" i="28"/>
  <c r="E763" i="28"/>
  <c r="F752" i="28"/>
  <c r="G752" i="28" s="1"/>
  <c r="F794" i="28"/>
  <c r="G794" i="28" s="1"/>
  <c r="E805" i="28"/>
  <c r="C83" i="19" l="1"/>
  <c r="D83" i="19"/>
  <c r="F751" i="28"/>
  <c r="G751" i="28" s="1"/>
  <c r="E762" i="28"/>
  <c r="F797" i="28"/>
  <c r="G797" i="28" s="1"/>
  <c r="E808" i="28"/>
  <c r="E774" i="28"/>
  <c r="F763" i="28"/>
  <c r="G763" i="28" s="1"/>
  <c r="F767" i="28"/>
  <c r="G767" i="28" s="1"/>
  <c r="E778" i="28"/>
  <c r="E769" i="28"/>
  <c r="F758" i="28"/>
  <c r="G758" i="28" s="1"/>
  <c r="E781" i="28"/>
  <c r="F770" i="28"/>
  <c r="G770" i="28" s="1"/>
  <c r="F805" i="28"/>
  <c r="G805" i="28" s="1"/>
  <c r="E816" i="28"/>
  <c r="E787" i="28"/>
  <c r="F776" i="28"/>
  <c r="G776" i="28" s="1"/>
  <c r="E782" i="28"/>
  <c r="F771" i="28"/>
  <c r="G771" i="28" s="1"/>
  <c r="E790" i="28"/>
  <c r="F779" i="28"/>
  <c r="G779" i="28" s="1"/>
  <c r="E788" i="28"/>
  <c r="F777" i="28"/>
  <c r="G777" i="28" s="1"/>
  <c r="C84" i="19" l="1"/>
  <c r="D84" i="19"/>
  <c r="E773" i="28"/>
  <c r="F762" i="28"/>
  <c r="G762" i="28" s="1"/>
  <c r="E827" i="28"/>
  <c r="F816" i="28"/>
  <c r="G816" i="28" s="1"/>
  <c r="E801" i="28"/>
  <c r="F790" i="28"/>
  <c r="G790" i="28" s="1"/>
  <c r="E793" i="28"/>
  <c r="F782" i="28"/>
  <c r="G782" i="28" s="1"/>
  <c r="E780" i="28"/>
  <c r="F769" i="28"/>
  <c r="G769" i="28" s="1"/>
  <c r="E785" i="28"/>
  <c r="F774" i="28"/>
  <c r="G774" i="28" s="1"/>
  <c r="E789" i="28"/>
  <c r="F778" i="28"/>
  <c r="G778" i="28" s="1"/>
  <c r="F808" i="28"/>
  <c r="G808" i="28" s="1"/>
  <c r="E819" i="28"/>
  <c r="E799" i="28"/>
  <c r="F788" i="28"/>
  <c r="G788" i="28" s="1"/>
  <c r="E798" i="28"/>
  <c r="F787" i="28"/>
  <c r="G787" i="28" s="1"/>
  <c r="F781" i="28"/>
  <c r="G781" i="28" s="1"/>
  <c r="E792" i="28"/>
  <c r="C85" i="19" l="1"/>
  <c r="D85" i="19"/>
  <c r="E784" i="28"/>
  <c r="F773" i="28"/>
  <c r="G773" i="28" s="1"/>
  <c r="E796" i="28"/>
  <c r="F785" i="28"/>
  <c r="G785" i="28" s="1"/>
  <c r="F798" i="28"/>
  <c r="G798" i="28" s="1"/>
  <c r="E809" i="28"/>
  <c r="F799" i="28"/>
  <c r="G799" i="28" s="1"/>
  <c r="E810" i="28"/>
  <c r="E800" i="28"/>
  <c r="F789" i="28"/>
  <c r="G789" i="28" s="1"/>
  <c r="E791" i="28"/>
  <c r="F780" i="28"/>
  <c r="G780" i="28" s="1"/>
  <c r="F801" i="28"/>
  <c r="G801" i="28" s="1"/>
  <c r="E812" i="28"/>
  <c r="F792" i="28"/>
  <c r="G792" i="28" s="1"/>
  <c r="E803" i="28"/>
  <c r="E830" i="28"/>
  <c r="F819" i="28"/>
  <c r="G819" i="28" s="1"/>
  <c r="E804" i="28"/>
  <c r="F793" i="28"/>
  <c r="G793" i="28" s="1"/>
  <c r="F827" i="28"/>
  <c r="G827" i="28" s="1"/>
  <c r="E838" i="28"/>
  <c r="C86" i="19" l="1"/>
  <c r="D86" i="19"/>
  <c r="F784" i="28"/>
  <c r="G784" i="28" s="1"/>
  <c r="E795" i="28"/>
  <c r="E821" i="28"/>
  <c r="F810" i="28"/>
  <c r="G810" i="28" s="1"/>
  <c r="F804" i="28"/>
  <c r="G804" i="28" s="1"/>
  <c r="E815" i="28"/>
  <c r="E802" i="28"/>
  <c r="F791" i="28"/>
  <c r="G791" i="28" s="1"/>
  <c r="F796" i="28"/>
  <c r="G796" i="28" s="1"/>
  <c r="E807" i="28"/>
  <c r="F803" i="28"/>
  <c r="G803" i="28" s="1"/>
  <c r="E814" i="28"/>
  <c r="F838" i="28"/>
  <c r="G838" i="28" s="1"/>
  <c r="E849" i="28"/>
  <c r="E823" i="28"/>
  <c r="F812" i="28"/>
  <c r="G812" i="28" s="1"/>
  <c r="E820" i="28"/>
  <c r="F809" i="28"/>
  <c r="G809" i="28" s="1"/>
  <c r="E841" i="28"/>
  <c r="F830" i="28"/>
  <c r="G830" i="28" s="1"/>
  <c r="F800" i="28"/>
  <c r="G800" i="28" s="1"/>
  <c r="E811" i="28"/>
  <c r="C87" i="19" l="1"/>
  <c r="D87" i="19"/>
  <c r="F795" i="28"/>
  <c r="G795" i="28" s="1"/>
  <c r="E806" i="28"/>
  <c r="F849" i="28"/>
  <c r="G849" i="28" s="1"/>
  <c r="E860" i="28"/>
  <c r="E818" i="28"/>
  <c r="F807" i="28"/>
  <c r="G807" i="28" s="1"/>
  <c r="E826" i="28"/>
  <c r="F815" i="28"/>
  <c r="G815" i="28" s="1"/>
  <c r="F841" i="28"/>
  <c r="G841" i="28" s="1"/>
  <c r="E852" i="28"/>
  <c r="F820" i="28"/>
  <c r="G820" i="28" s="1"/>
  <c r="E831" i="28"/>
  <c r="E825" i="28"/>
  <c r="F814" i="28"/>
  <c r="G814" i="28" s="1"/>
  <c r="E822" i="28"/>
  <c r="F811" i="28"/>
  <c r="G811" i="28" s="1"/>
  <c r="F823" i="28"/>
  <c r="G823" i="28" s="1"/>
  <c r="E834" i="28"/>
  <c r="F802" i="28"/>
  <c r="G802" i="28" s="1"/>
  <c r="E813" i="28"/>
  <c r="F821" i="28"/>
  <c r="G821" i="28" s="1"/>
  <c r="E832" i="28"/>
  <c r="C88" i="19" l="1"/>
  <c r="D88" i="19"/>
  <c r="E817" i="28"/>
  <c r="F806" i="28"/>
  <c r="G806" i="28" s="1"/>
  <c r="E829" i="28"/>
  <c r="F818" i="28"/>
  <c r="G818" i="28" s="1"/>
  <c r="F852" i="28"/>
  <c r="G852" i="28" s="1"/>
  <c r="E863" i="28"/>
  <c r="E836" i="28"/>
  <c r="F825" i="28"/>
  <c r="G825" i="28" s="1"/>
  <c r="E843" i="28"/>
  <c r="F832" i="28"/>
  <c r="G832" i="28" s="1"/>
  <c r="F834" i="28"/>
  <c r="G834" i="28" s="1"/>
  <c r="E845" i="28"/>
  <c r="E842" i="28"/>
  <c r="F831" i="28"/>
  <c r="G831" i="28" s="1"/>
  <c r="F860" i="28"/>
  <c r="G860" i="28" s="1"/>
  <c r="E871" i="28"/>
  <c r="E824" i="28"/>
  <c r="F813" i="28"/>
  <c r="G813" i="28" s="1"/>
  <c r="E833" i="28"/>
  <c r="F822" i="28"/>
  <c r="G822" i="28" s="1"/>
  <c r="F826" i="28"/>
  <c r="G826" i="28" s="1"/>
  <c r="E837" i="28"/>
  <c r="C89" i="19" l="1"/>
  <c r="D89" i="19"/>
  <c r="F817" i="28"/>
  <c r="G817" i="28" s="1"/>
  <c r="E828" i="28"/>
  <c r="E874" i="28"/>
  <c r="F863" i="28"/>
  <c r="G863" i="28" s="1"/>
  <c r="E844" i="28"/>
  <c r="F833" i="28"/>
  <c r="G833" i="28" s="1"/>
  <c r="E835" i="28"/>
  <c r="F824" i="28"/>
  <c r="G824" i="28" s="1"/>
  <c r="E853" i="28"/>
  <c r="F842" i="28"/>
  <c r="G842" i="28" s="1"/>
  <c r="F843" i="28"/>
  <c r="G843" i="28" s="1"/>
  <c r="E854" i="28"/>
  <c r="F837" i="28"/>
  <c r="G837" i="28" s="1"/>
  <c r="E848" i="28"/>
  <c r="F871" i="28"/>
  <c r="G871" i="28" s="1"/>
  <c r="E882" i="28"/>
  <c r="E856" i="28"/>
  <c r="F845" i="28"/>
  <c r="G845" i="28" s="1"/>
  <c r="F836" i="28"/>
  <c r="G836" i="28" s="1"/>
  <c r="E847" i="28"/>
  <c r="F829" i="28"/>
  <c r="G829" i="28" s="1"/>
  <c r="E840" i="28"/>
  <c r="C90" i="19" l="1"/>
  <c r="D90" i="19"/>
  <c r="E839" i="28"/>
  <c r="F828" i="28"/>
  <c r="G828" i="28" s="1"/>
  <c r="F847" i="28"/>
  <c r="G847" i="28" s="1"/>
  <c r="E858" i="28"/>
  <c r="E859" i="28"/>
  <c r="F848" i="28"/>
  <c r="G848" i="28" s="1"/>
  <c r="E864" i="28"/>
  <c r="F853" i="28"/>
  <c r="G853" i="28" s="1"/>
  <c r="E855" i="28"/>
  <c r="F844" i="28"/>
  <c r="G844" i="28" s="1"/>
  <c r="E867" i="28"/>
  <c r="F856" i="28"/>
  <c r="G856" i="28" s="1"/>
  <c r="F840" i="28"/>
  <c r="G840" i="28" s="1"/>
  <c r="E851" i="28"/>
  <c r="F882" i="28"/>
  <c r="G882" i="28" s="1"/>
  <c r="E893" i="28"/>
  <c r="E865" i="28"/>
  <c r="F854" i="28"/>
  <c r="G854" i="28" s="1"/>
  <c r="E846" i="28"/>
  <c r="F835" i="28"/>
  <c r="G835" i="28" s="1"/>
  <c r="E885" i="28"/>
  <c r="F874" i="28"/>
  <c r="G874" i="28" s="1"/>
  <c r="C91" i="19" l="1"/>
  <c r="D91" i="19"/>
  <c r="E850" i="28"/>
  <c r="F839" i="28"/>
  <c r="G839" i="28" s="1"/>
  <c r="F858" i="28"/>
  <c r="G858" i="28" s="1"/>
  <c r="E869" i="28"/>
  <c r="E857" i="28"/>
  <c r="F846" i="28"/>
  <c r="G846" i="28" s="1"/>
  <c r="E878" i="28"/>
  <c r="F867" i="28"/>
  <c r="G867" i="28" s="1"/>
  <c r="E875" i="28"/>
  <c r="F864" i="28"/>
  <c r="G864" i="28" s="1"/>
  <c r="E862" i="28"/>
  <c r="F851" i="28"/>
  <c r="G851" i="28" s="1"/>
  <c r="F893" i="28"/>
  <c r="G893" i="28" s="1"/>
  <c r="E904" i="28"/>
  <c r="E896" i="28"/>
  <c r="F885" i="28"/>
  <c r="G885" i="28" s="1"/>
  <c r="F865" i="28"/>
  <c r="G865" i="28" s="1"/>
  <c r="E876" i="28"/>
  <c r="F855" i="28"/>
  <c r="G855" i="28" s="1"/>
  <c r="E866" i="28"/>
  <c r="E870" i="28"/>
  <c r="F859" i="28"/>
  <c r="G859" i="28" s="1"/>
  <c r="C92" i="19" l="1"/>
  <c r="D92" i="19"/>
  <c r="F850" i="28"/>
  <c r="G850" i="28" s="1"/>
  <c r="E861" i="28"/>
  <c r="F896" i="28"/>
  <c r="G896" i="28" s="1"/>
  <c r="E907" i="28"/>
  <c r="E886" i="28"/>
  <c r="F875" i="28"/>
  <c r="G875" i="28" s="1"/>
  <c r="E868" i="28"/>
  <c r="F857" i="28"/>
  <c r="G857" i="28" s="1"/>
  <c r="F904" i="28"/>
  <c r="G904" i="28" s="1"/>
  <c r="E915" i="28"/>
  <c r="E880" i="28"/>
  <c r="F869" i="28"/>
  <c r="G869" i="28" s="1"/>
  <c r="E877" i="28"/>
  <c r="F866" i="28"/>
  <c r="G866" i="28" s="1"/>
  <c r="F876" i="28"/>
  <c r="G876" i="28" s="1"/>
  <c r="E887" i="28"/>
  <c r="F870" i="28"/>
  <c r="G870" i="28" s="1"/>
  <c r="E881" i="28"/>
  <c r="E873" i="28"/>
  <c r="F862" i="28"/>
  <c r="G862" i="28" s="1"/>
  <c r="E889" i="28"/>
  <c r="F878" i="28"/>
  <c r="G878" i="28" s="1"/>
  <c r="C93" i="19" l="1"/>
  <c r="D93" i="19"/>
  <c r="E872" i="28"/>
  <c r="F861" i="28"/>
  <c r="G861" i="28" s="1"/>
  <c r="E898" i="28"/>
  <c r="F887" i="28"/>
  <c r="G887" i="28" s="1"/>
  <c r="E884" i="28"/>
  <c r="F873" i="28"/>
  <c r="G873" i="28" s="1"/>
  <c r="E891" i="28"/>
  <c r="F880" i="28"/>
  <c r="G880" i="28" s="1"/>
  <c r="E879" i="28"/>
  <c r="F868" i="28"/>
  <c r="G868" i="28" s="1"/>
  <c r="E892" i="28"/>
  <c r="F881" i="28"/>
  <c r="G881" i="28" s="1"/>
  <c r="F915" i="28"/>
  <c r="G915" i="28" s="1"/>
  <c r="E926" i="28"/>
  <c r="E918" i="28"/>
  <c r="F907" i="28"/>
  <c r="G907" i="28" s="1"/>
  <c r="E900" i="28"/>
  <c r="F889" i="28"/>
  <c r="G889" i="28" s="1"/>
  <c r="E888" i="28"/>
  <c r="F877" i="28"/>
  <c r="G877" i="28" s="1"/>
  <c r="E897" i="28"/>
  <c r="F886" i="28"/>
  <c r="G886" i="28" s="1"/>
  <c r="C94" i="19" l="1"/>
  <c r="D94" i="19"/>
  <c r="E883" i="28"/>
  <c r="F872" i="28"/>
  <c r="G872" i="28" s="1"/>
  <c r="E899" i="28"/>
  <c r="F888" i="28"/>
  <c r="G888" i="28" s="1"/>
  <c r="E929" i="28"/>
  <c r="F918" i="28"/>
  <c r="G918" i="28" s="1"/>
  <c r="E903" i="28"/>
  <c r="F892" i="28"/>
  <c r="G892" i="28" s="1"/>
  <c r="E890" i="28"/>
  <c r="F879" i="28"/>
  <c r="G879" i="28" s="1"/>
  <c r="F884" i="28"/>
  <c r="G884" i="28" s="1"/>
  <c r="E895" i="28"/>
  <c r="E937" i="28"/>
  <c r="F926" i="28"/>
  <c r="G926" i="28" s="1"/>
  <c r="E908" i="28"/>
  <c r="F897" i="28"/>
  <c r="G897" i="28" s="1"/>
  <c r="F900" i="28"/>
  <c r="G900" i="28" s="1"/>
  <c r="E911" i="28"/>
  <c r="E902" i="28"/>
  <c r="F891" i="28"/>
  <c r="G891" i="28" s="1"/>
  <c r="E909" i="28"/>
  <c r="F898" i="28"/>
  <c r="G898" i="28" s="1"/>
  <c r="C95" i="19" l="1"/>
  <c r="D95" i="19"/>
  <c r="F883" i="28"/>
  <c r="G883" i="28" s="1"/>
  <c r="E894" i="28"/>
  <c r="E913" i="28"/>
  <c r="F902" i="28"/>
  <c r="G902" i="28" s="1"/>
  <c r="E919" i="28"/>
  <c r="F908" i="28"/>
  <c r="G908" i="28" s="1"/>
  <c r="E948" i="28"/>
  <c r="F937" i="28"/>
  <c r="G937" i="28" s="1"/>
  <c r="F890" i="28"/>
  <c r="G890" i="28" s="1"/>
  <c r="E901" i="28"/>
  <c r="E940" i="28"/>
  <c r="F929" i="28"/>
  <c r="G929" i="28" s="1"/>
  <c r="F895" i="28"/>
  <c r="G895" i="28" s="1"/>
  <c r="E906" i="28"/>
  <c r="F911" i="28"/>
  <c r="G911" i="28" s="1"/>
  <c r="E922" i="28"/>
  <c r="F909" i="28"/>
  <c r="G909" i="28" s="1"/>
  <c r="E920" i="28"/>
  <c r="E914" i="28"/>
  <c r="F903" i="28"/>
  <c r="G903" i="28" s="1"/>
  <c r="E910" i="28"/>
  <c r="F899" i="28"/>
  <c r="G899" i="28" s="1"/>
  <c r="D96" i="19" l="1"/>
  <c r="C96" i="19"/>
  <c r="E905" i="28"/>
  <c r="F894" i="28"/>
  <c r="G894" i="28" s="1"/>
  <c r="E930" i="28"/>
  <c r="F919" i="28"/>
  <c r="G919" i="28" s="1"/>
  <c r="E931" i="28"/>
  <c r="F920" i="28"/>
  <c r="G920" i="28" s="1"/>
  <c r="F906" i="28"/>
  <c r="G906" i="28" s="1"/>
  <c r="E917" i="28"/>
  <c r="E912" i="28"/>
  <c r="F901" i="28"/>
  <c r="G901" i="28" s="1"/>
  <c r="E925" i="28"/>
  <c r="F914" i="28"/>
  <c r="G914" i="28" s="1"/>
  <c r="F922" i="28"/>
  <c r="G922" i="28" s="1"/>
  <c r="E933" i="28"/>
  <c r="F910" i="28"/>
  <c r="G910" i="28" s="1"/>
  <c r="E921" i="28"/>
  <c r="E951" i="28"/>
  <c r="F940" i="28"/>
  <c r="G940" i="28" s="1"/>
  <c r="E959" i="28"/>
  <c r="F948" i="28"/>
  <c r="G948" i="28" s="1"/>
  <c r="E924" i="28"/>
  <c r="F913" i="28"/>
  <c r="G913" i="28" s="1"/>
  <c r="D97" i="19" l="1"/>
  <c r="C97" i="19"/>
  <c r="E916" i="28"/>
  <c r="F905" i="28"/>
  <c r="G905" i="28" s="1"/>
  <c r="E970" i="28"/>
  <c r="F959" i="28"/>
  <c r="G959" i="28" s="1"/>
  <c r="F924" i="28"/>
  <c r="G924" i="28" s="1"/>
  <c r="E935" i="28"/>
  <c r="F951" i="28"/>
  <c r="G951" i="28" s="1"/>
  <c r="E962" i="28"/>
  <c r="F925" i="28"/>
  <c r="G925" i="28" s="1"/>
  <c r="E936" i="28"/>
  <c r="E944" i="28"/>
  <c r="F933" i="28"/>
  <c r="G933" i="28" s="1"/>
  <c r="F912" i="28"/>
  <c r="G912" i="28" s="1"/>
  <c r="E923" i="28"/>
  <c r="E942" i="28"/>
  <c r="F931" i="28"/>
  <c r="G931" i="28" s="1"/>
  <c r="E932" i="28"/>
  <c r="F921" i="28"/>
  <c r="G921" i="28" s="1"/>
  <c r="E928" i="28"/>
  <c r="F917" i="28"/>
  <c r="G917" i="28" s="1"/>
  <c r="E941" i="28"/>
  <c r="F930" i="28"/>
  <c r="G930" i="28" s="1"/>
  <c r="D98" i="19" l="1"/>
  <c r="C98" i="19"/>
  <c r="F916" i="28"/>
  <c r="G916" i="28" s="1"/>
  <c r="E927" i="28"/>
  <c r="E981" i="28"/>
  <c r="F970" i="28"/>
  <c r="G970" i="28" s="1"/>
  <c r="E947" i="28"/>
  <c r="F936" i="28"/>
  <c r="G936" i="28" s="1"/>
  <c r="E946" i="28"/>
  <c r="F935" i="28"/>
  <c r="G935" i="28" s="1"/>
  <c r="E952" i="28"/>
  <c r="F941" i="28"/>
  <c r="G941" i="28" s="1"/>
  <c r="F932" i="28"/>
  <c r="G932" i="28" s="1"/>
  <c r="E943" i="28"/>
  <c r="F928" i="28"/>
  <c r="G928" i="28" s="1"/>
  <c r="E939" i="28"/>
  <c r="F942" i="28"/>
  <c r="G942" i="28" s="1"/>
  <c r="E953" i="28"/>
  <c r="E955" i="28"/>
  <c r="F944" i="28"/>
  <c r="G944" i="28" s="1"/>
  <c r="E934" i="28"/>
  <c r="F923" i="28"/>
  <c r="G923" i="28" s="1"/>
  <c r="F962" i="28"/>
  <c r="G962" i="28" s="1"/>
  <c r="E973" i="28"/>
  <c r="D99" i="19" l="1"/>
  <c r="C99" i="19"/>
  <c r="E938" i="28"/>
  <c r="F927" i="28"/>
  <c r="G927" i="28" s="1"/>
  <c r="E945" i="28"/>
  <c r="F934" i="28"/>
  <c r="G934" i="28" s="1"/>
  <c r="E957" i="28"/>
  <c r="F946" i="28"/>
  <c r="G946" i="28" s="1"/>
  <c r="E992" i="28"/>
  <c r="F981" i="28"/>
  <c r="G981" i="28" s="1"/>
  <c r="E964" i="28"/>
  <c r="F953" i="28"/>
  <c r="G953" i="28" s="1"/>
  <c r="E954" i="28"/>
  <c r="F943" i="28"/>
  <c r="G943" i="28" s="1"/>
  <c r="E984" i="28"/>
  <c r="F973" i="28"/>
  <c r="G973" i="28" s="1"/>
  <c r="F939" i="28"/>
  <c r="G939" i="28" s="1"/>
  <c r="E950" i="28"/>
  <c r="F955" i="28"/>
  <c r="G955" i="28" s="1"/>
  <c r="E966" i="28"/>
  <c r="E963" i="28"/>
  <c r="F952" i="28"/>
  <c r="G952" i="28" s="1"/>
  <c r="F947" i="28"/>
  <c r="G947" i="28" s="1"/>
  <c r="E958" i="28"/>
  <c r="C100" i="19" l="1"/>
  <c r="D100" i="19"/>
  <c r="E949" i="28"/>
  <c r="F938" i="28"/>
  <c r="G938" i="28" s="1"/>
  <c r="E995" i="28"/>
  <c r="F984" i="28"/>
  <c r="G984" i="28" s="1"/>
  <c r="E975" i="28"/>
  <c r="F964" i="28"/>
  <c r="G964" i="28" s="1"/>
  <c r="E968" i="28"/>
  <c r="F957" i="28"/>
  <c r="G957" i="28" s="1"/>
  <c r="E969" i="28"/>
  <c r="F958" i="28"/>
  <c r="G958" i="28" s="1"/>
  <c r="E977" i="28"/>
  <c r="F966" i="28"/>
  <c r="G966" i="28" s="1"/>
  <c r="E961" i="28"/>
  <c r="F950" i="28"/>
  <c r="G950" i="28" s="1"/>
  <c r="E974" i="28"/>
  <c r="F963" i="28"/>
  <c r="G963" i="28" s="1"/>
  <c r="E965" i="28"/>
  <c r="F954" i="28"/>
  <c r="G954" i="28" s="1"/>
  <c r="F992" i="28"/>
  <c r="G992" i="28" s="1"/>
  <c r="E1003" i="28"/>
  <c r="F945" i="28"/>
  <c r="G945" i="28" s="1"/>
  <c r="E956" i="28"/>
  <c r="D101" i="19" l="1"/>
  <c r="C101" i="19"/>
  <c r="F949" i="28"/>
  <c r="G949" i="28" s="1"/>
  <c r="E960" i="28"/>
  <c r="E985" i="28"/>
  <c r="F974" i="28"/>
  <c r="G974" i="28" s="1"/>
  <c r="E972" i="28"/>
  <c r="F961" i="28"/>
  <c r="G961" i="28" s="1"/>
  <c r="F969" i="28"/>
  <c r="G969" i="28" s="1"/>
  <c r="E980" i="28"/>
  <c r="E986" i="28"/>
  <c r="F975" i="28"/>
  <c r="G975" i="28" s="1"/>
  <c r="E1014" i="28"/>
  <c r="F1003" i="28"/>
  <c r="G1003" i="28" s="1"/>
  <c r="E967" i="28"/>
  <c r="F956" i="28"/>
  <c r="G956" i="28" s="1"/>
  <c r="E976" i="28"/>
  <c r="F965" i="28"/>
  <c r="G965" i="28" s="1"/>
  <c r="F977" i="28"/>
  <c r="G977" i="28" s="1"/>
  <c r="E988" i="28"/>
  <c r="E979" i="28"/>
  <c r="F968" i="28"/>
  <c r="G968" i="28" s="1"/>
  <c r="E1006" i="28"/>
  <c r="F995" i="28"/>
  <c r="G995" i="28" s="1"/>
  <c r="D102" i="19" l="1"/>
  <c r="C102" i="19"/>
  <c r="F960" i="28"/>
  <c r="G960" i="28" s="1"/>
  <c r="E971" i="28"/>
  <c r="E990" i="28"/>
  <c r="F979" i="28"/>
  <c r="G979" i="28" s="1"/>
  <c r="E987" i="28"/>
  <c r="F976" i="28"/>
  <c r="G976" i="28" s="1"/>
  <c r="E997" i="28"/>
  <c r="F986" i="28"/>
  <c r="G986" i="28" s="1"/>
  <c r="E983" i="28"/>
  <c r="F972" i="28"/>
  <c r="G972" i="28" s="1"/>
  <c r="F988" i="28"/>
  <c r="G988" i="28" s="1"/>
  <c r="E999" i="28"/>
  <c r="F980" i="28"/>
  <c r="G980" i="28" s="1"/>
  <c r="E991" i="28"/>
  <c r="E1017" i="28"/>
  <c r="F1006" i="28"/>
  <c r="G1006" i="28" s="1"/>
  <c r="F967" i="28"/>
  <c r="G967" i="28" s="1"/>
  <c r="E978" i="28"/>
  <c r="E1025" i="28"/>
  <c r="F1014" i="28"/>
  <c r="G1014" i="28" s="1"/>
  <c r="F985" i="28"/>
  <c r="G985" i="28" s="1"/>
  <c r="E996" i="28"/>
  <c r="D103" i="19" l="1"/>
  <c r="C103" i="19"/>
  <c r="F971" i="28"/>
  <c r="G971" i="28" s="1"/>
  <c r="E982" i="28"/>
  <c r="F1025" i="28"/>
  <c r="G1025" i="28" s="1"/>
  <c r="E1036" i="28"/>
  <c r="E998" i="28"/>
  <c r="F987" i="28"/>
  <c r="G987" i="28" s="1"/>
  <c r="E1002" i="28"/>
  <c r="F991" i="28"/>
  <c r="G991" i="28" s="1"/>
  <c r="E994" i="28"/>
  <c r="F983" i="28"/>
  <c r="G983" i="28" s="1"/>
  <c r="E1007" i="28"/>
  <c r="F996" i="28"/>
  <c r="G996" i="28" s="1"/>
  <c r="E989" i="28"/>
  <c r="F978" i="28"/>
  <c r="G978" i="28" s="1"/>
  <c r="E1010" i="28"/>
  <c r="F999" i="28"/>
  <c r="G999" i="28" s="1"/>
  <c r="F1017" i="28"/>
  <c r="G1017" i="28" s="1"/>
  <c r="E1028" i="28"/>
  <c r="F997" i="28"/>
  <c r="G997" i="28" s="1"/>
  <c r="E1008" i="28"/>
  <c r="F990" i="28"/>
  <c r="G990" i="28" s="1"/>
  <c r="E1001" i="28"/>
  <c r="C104" i="19" l="1"/>
  <c r="D104" i="19"/>
  <c r="K12" i="15" s="1"/>
  <c r="E993" i="28"/>
  <c r="F982" i="28"/>
  <c r="G982" i="28" s="1"/>
  <c r="E1019" i="28"/>
  <c r="F1008" i="28"/>
  <c r="G1008" i="28" s="1"/>
  <c r="E1039" i="28"/>
  <c r="F1028" i="28"/>
  <c r="G1028" i="28" s="1"/>
  <c r="E1000" i="28"/>
  <c r="F989" i="28"/>
  <c r="G989" i="28" s="1"/>
  <c r="E1005" i="28"/>
  <c r="F994" i="28"/>
  <c r="G994" i="28" s="1"/>
  <c r="F998" i="28"/>
  <c r="G998" i="28" s="1"/>
  <c r="E1009" i="28"/>
  <c r="F1036" i="28"/>
  <c r="G1036" i="28" s="1"/>
  <c r="E1047" i="28"/>
  <c r="F1001" i="28"/>
  <c r="G1001" i="28" s="1"/>
  <c r="E1012" i="28"/>
  <c r="E1021" i="28"/>
  <c r="F1010" i="28"/>
  <c r="G1010" i="28" s="1"/>
  <c r="F1007" i="28"/>
  <c r="G1007" i="28" s="1"/>
  <c r="E1018" i="28"/>
  <c r="E1013" i="28"/>
  <c r="F1002" i="28"/>
  <c r="G1002" i="28" s="1"/>
  <c r="Q14" i="15" l="1"/>
  <c r="M14" i="15"/>
  <c r="K14" i="15"/>
  <c r="Y14" i="15"/>
  <c r="W14" i="15"/>
  <c r="O14" i="15"/>
  <c r="I14" i="15"/>
  <c r="G17" i="15"/>
  <c r="K17" i="15"/>
  <c r="O17" i="15"/>
  <c r="U17" i="15"/>
  <c r="Y17" i="15"/>
  <c r="M17" i="15"/>
  <c r="K18" i="15"/>
  <c r="U18" i="15"/>
  <c r="O18" i="15"/>
  <c r="Y18" i="15"/>
  <c r="M18" i="15"/>
  <c r="S18" i="15"/>
  <c r="G18" i="15"/>
  <c r="Q18" i="15"/>
  <c r="S22" i="15"/>
  <c r="G22" i="15"/>
  <c r="Q22" i="15"/>
  <c r="U24" i="15"/>
  <c r="M22" i="15"/>
  <c r="Y22" i="15"/>
  <c r="K24" i="15"/>
  <c r="U22" i="15"/>
  <c r="O24" i="15"/>
  <c r="O22" i="15"/>
  <c r="M24" i="15"/>
  <c r="K22" i="15"/>
  <c r="G25" i="15"/>
  <c r="H25" i="15" s="1"/>
  <c r="M25" i="15"/>
  <c r="N25" i="15" s="1"/>
  <c r="K25" i="15"/>
  <c r="L25" i="15" s="1"/>
  <c r="S25" i="15"/>
  <c r="T25" i="15" s="1"/>
  <c r="Q25" i="15"/>
  <c r="R25" i="15" s="1"/>
  <c r="Y25" i="15"/>
  <c r="Z25" i="15" s="1"/>
  <c r="I25" i="15"/>
  <c r="J25" i="15" s="1"/>
  <c r="O25" i="15"/>
  <c r="P25" i="15" s="1"/>
  <c r="U25" i="15"/>
  <c r="V25" i="15" s="1"/>
  <c r="W21" i="15"/>
  <c r="S19" i="15"/>
  <c r="G21" i="15"/>
  <c r="O19" i="15"/>
  <c r="O20" i="15"/>
  <c r="I19" i="15"/>
  <c r="O21" i="15"/>
  <c r="Y19" i="15"/>
  <c r="M19" i="15"/>
  <c r="Q19" i="15"/>
  <c r="Q20" i="15"/>
  <c r="G20" i="15"/>
  <c r="Q21" i="15"/>
  <c r="I13" i="15"/>
  <c r="M13" i="15"/>
  <c r="Y13" i="15"/>
  <c r="S13" i="15"/>
  <c r="G13" i="15"/>
  <c r="Q13" i="15"/>
  <c r="S12" i="15"/>
  <c r="Y12" i="15"/>
  <c r="M12" i="15"/>
  <c r="Q12" i="15"/>
  <c r="I12" i="15"/>
  <c r="G12" i="15"/>
  <c r="I11" i="15"/>
  <c r="K11" i="15"/>
  <c r="M11" i="15"/>
  <c r="Q11" i="15"/>
  <c r="U11" i="15"/>
  <c r="G11" i="15"/>
  <c r="S11" i="15"/>
  <c r="O11" i="15"/>
  <c r="O23" i="15"/>
  <c r="P23" i="15" s="1"/>
  <c r="S23" i="15"/>
  <c r="T23" i="15" s="1"/>
  <c r="K23" i="15"/>
  <c r="L23" i="15" s="1"/>
  <c r="Y23" i="15"/>
  <c r="Z23" i="15" s="1"/>
  <c r="G23" i="15"/>
  <c r="H23" i="15" s="1"/>
  <c r="M23" i="15"/>
  <c r="N23" i="15" s="1"/>
  <c r="Q23" i="15"/>
  <c r="R23" i="15" s="1"/>
  <c r="E1004" i="28"/>
  <c r="F993" i="28"/>
  <c r="G993" i="28" s="1"/>
  <c r="E1050" i="28"/>
  <c r="F1039" i="28"/>
  <c r="G1039" i="28" s="1"/>
  <c r="E1023" i="28"/>
  <c r="F1012" i="28"/>
  <c r="G1012" i="28" s="1"/>
  <c r="F1009" i="28"/>
  <c r="G1009" i="28" s="1"/>
  <c r="E1020" i="28"/>
  <c r="F1018" i="28"/>
  <c r="G1018" i="28" s="1"/>
  <c r="E1029" i="28"/>
  <c r="F1047" i="28"/>
  <c r="G1047" i="28" s="1"/>
  <c r="E1058" i="28"/>
  <c r="E1016" i="28"/>
  <c r="F1005" i="28"/>
  <c r="G1005" i="28" s="1"/>
  <c r="E1024" i="28"/>
  <c r="F1013" i="28"/>
  <c r="G1013" i="28" s="1"/>
  <c r="F1021" i="28"/>
  <c r="G1021" i="28" s="1"/>
  <c r="E1032" i="28"/>
  <c r="F1000" i="28"/>
  <c r="G1000" i="28" s="1"/>
  <c r="E1011" i="28"/>
  <c r="E1030" i="28"/>
  <c r="F1019" i="28"/>
  <c r="G1019" i="28" s="1"/>
  <c r="E1015" i="28" l="1"/>
  <c r="F1004" i="28"/>
  <c r="G1004" i="28" s="1"/>
  <c r="F1011" i="28"/>
  <c r="G1011" i="28" s="1"/>
  <c r="E1022" i="28"/>
  <c r="F1029" i="28"/>
  <c r="G1029" i="28" s="1"/>
  <c r="E1040" i="28"/>
  <c r="E1035" i="28"/>
  <c r="F1024" i="28"/>
  <c r="G1024" i="28" s="1"/>
  <c r="F1023" i="28"/>
  <c r="G1023" i="28" s="1"/>
  <c r="E1034" i="28"/>
  <c r="E1043" i="28"/>
  <c r="F1032" i="28"/>
  <c r="G1032" i="28" s="1"/>
  <c r="F1058" i="28"/>
  <c r="G1058" i="28" s="1"/>
  <c r="E1069" i="28"/>
  <c r="E1031" i="28"/>
  <c r="F1020" i="28"/>
  <c r="G1020" i="28" s="1"/>
  <c r="E1041" i="28"/>
  <c r="F1030" i="28"/>
  <c r="G1030" i="28" s="1"/>
  <c r="E1027" i="28"/>
  <c r="F1016" i="28"/>
  <c r="G1016" i="28" s="1"/>
  <c r="F1050" i="28"/>
  <c r="G1050" i="28" s="1"/>
  <c r="E1061" i="28"/>
  <c r="F1015" i="28" l="1"/>
  <c r="G1015" i="28" s="1"/>
  <c r="E1026" i="28"/>
  <c r="F1061" i="28"/>
  <c r="G1061" i="28" s="1"/>
  <c r="E1072" i="28"/>
  <c r="E1080" i="28"/>
  <c r="F1069" i="28"/>
  <c r="G1069" i="28" s="1"/>
  <c r="F1034" i="28"/>
  <c r="G1034" i="28" s="1"/>
  <c r="E1045" i="28"/>
  <c r="F1022" i="28"/>
  <c r="G1022" i="28" s="1"/>
  <c r="E1033" i="28"/>
  <c r="E1051" i="28"/>
  <c r="F1040" i="28"/>
  <c r="G1040" i="28" s="1"/>
  <c r="E1038" i="28"/>
  <c r="F1027" i="28"/>
  <c r="G1027" i="28" s="1"/>
  <c r="E1042" i="28"/>
  <c r="F1031" i="28"/>
  <c r="G1031" i="28" s="1"/>
  <c r="F1043" i="28"/>
  <c r="G1043" i="28" s="1"/>
  <c r="E1054" i="28"/>
  <c r="F1041" i="28"/>
  <c r="G1041" i="28" s="1"/>
  <c r="E1052" i="28"/>
  <c r="E1046" i="28"/>
  <c r="F1035" i="28"/>
  <c r="G1035" i="28" s="1"/>
  <c r="E1037" i="28" l="1"/>
  <c r="F1026" i="28"/>
  <c r="G1026" i="28" s="1"/>
  <c r="E1063" i="28"/>
  <c r="F1052" i="28"/>
  <c r="G1052" i="28" s="1"/>
  <c r="E1044" i="28"/>
  <c r="F1033" i="28"/>
  <c r="G1033" i="28" s="1"/>
  <c r="E1065" i="28"/>
  <c r="F1054" i="28"/>
  <c r="G1054" i="28" s="1"/>
  <c r="E1049" i="28"/>
  <c r="F1038" i="28"/>
  <c r="G1038" i="28" s="1"/>
  <c r="E1091" i="28"/>
  <c r="F1080" i="28"/>
  <c r="G1080" i="28" s="1"/>
  <c r="F1045" i="28"/>
  <c r="G1045" i="28" s="1"/>
  <c r="E1056" i="28"/>
  <c r="E1083" i="28"/>
  <c r="F1072" i="28"/>
  <c r="G1072" i="28" s="1"/>
  <c r="F1046" i="28"/>
  <c r="G1046" i="28" s="1"/>
  <c r="E1057" i="28"/>
  <c r="F1042" i="28"/>
  <c r="G1042" i="28" s="1"/>
  <c r="E1053" i="28"/>
  <c r="F1051" i="28"/>
  <c r="G1051" i="28" s="1"/>
  <c r="E1062" i="28"/>
  <c r="E1048" i="28" l="1"/>
  <c r="F1037" i="28"/>
  <c r="G1037" i="28" s="1"/>
  <c r="E1094" i="28"/>
  <c r="F1094" i="28" s="1"/>
  <c r="G1094" i="28" s="1"/>
  <c r="F1083" i="28"/>
  <c r="G1083" i="28" s="1"/>
  <c r="E1060" i="28"/>
  <c r="F1049" i="28"/>
  <c r="G1049" i="28" s="1"/>
  <c r="E1055" i="28"/>
  <c r="F1044" i="28"/>
  <c r="G1044" i="28" s="1"/>
  <c r="E1064" i="28"/>
  <c r="F1053" i="28"/>
  <c r="G1053" i="28" s="1"/>
  <c r="E1073" i="28"/>
  <c r="F1062" i="28"/>
  <c r="G1062" i="28" s="1"/>
  <c r="E1068" i="28"/>
  <c r="F1057" i="28"/>
  <c r="G1057" i="28" s="1"/>
  <c r="E1067" i="28"/>
  <c r="F1056" i="28"/>
  <c r="G1056" i="28" s="1"/>
  <c r="F1091" i="28"/>
  <c r="G1091" i="28" s="1"/>
  <c r="E1102" i="28"/>
  <c r="F1102" i="28" s="1"/>
  <c r="G1102" i="28" s="1"/>
  <c r="E1076" i="28"/>
  <c r="F1065" i="28"/>
  <c r="G1065" i="28" s="1"/>
  <c r="E1074" i="28"/>
  <c r="F1063" i="28"/>
  <c r="G1063" i="28" s="1"/>
  <c r="Q101" i="15" l="1"/>
  <c r="W38" i="15"/>
  <c r="I49" i="15"/>
  <c r="Q85" i="15"/>
  <c r="Q95" i="15"/>
  <c r="Y43" i="15"/>
  <c r="W75" i="15"/>
  <c r="Y56" i="15"/>
  <c r="S58" i="15"/>
  <c r="G49" i="15"/>
  <c r="G97" i="15"/>
  <c r="M47" i="15"/>
  <c r="I48" i="15"/>
  <c r="Q61" i="15"/>
  <c r="S53" i="15"/>
  <c r="M51" i="15"/>
  <c r="Y68" i="15"/>
  <c r="U82" i="15"/>
  <c r="Y102" i="15"/>
  <c r="O71" i="15"/>
  <c r="W88" i="15"/>
  <c r="U51" i="15"/>
  <c r="K87" i="15"/>
  <c r="M98" i="15"/>
  <c r="W65" i="15"/>
  <c r="Y86" i="15"/>
  <c r="U44" i="15"/>
  <c r="Y61" i="15"/>
  <c r="I57" i="15"/>
  <c r="I89" i="15"/>
  <c r="G73" i="15"/>
  <c r="S44" i="15"/>
  <c r="W89" i="15"/>
  <c r="U94" i="15"/>
  <c r="G40" i="15"/>
  <c r="O92" i="15"/>
  <c r="W87" i="15"/>
  <c r="W53" i="15"/>
  <c r="S48" i="15"/>
  <c r="G96" i="15"/>
  <c r="Q68" i="15"/>
  <c r="U92" i="15"/>
  <c r="G71" i="15"/>
  <c r="W83" i="15"/>
  <c r="K84" i="15"/>
  <c r="Q64" i="15"/>
  <c r="O51" i="15"/>
  <c r="M37" i="15"/>
  <c r="N37" i="15" s="1"/>
  <c r="U86" i="15"/>
  <c r="K71" i="15"/>
  <c r="Q99" i="15"/>
  <c r="O37" i="15"/>
  <c r="P37" i="15" s="1"/>
  <c r="Q98" i="15"/>
  <c r="I73" i="15"/>
  <c r="I53" i="15"/>
  <c r="Q87" i="15"/>
  <c r="G80" i="15"/>
  <c r="G84" i="15"/>
  <c r="Y39" i="15"/>
  <c r="S92" i="15"/>
  <c r="M97" i="15"/>
  <c r="K90" i="15"/>
  <c r="Y97" i="15"/>
  <c r="I81" i="15"/>
  <c r="Q56" i="15"/>
  <c r="Q60" i="15"/>
  <c r="M67" i="15"/>
  <c r="G64" i="15"/>
  <c r="O70" i="15"/>
  <c r="I93" i="15"/>
  <c r="K86" i="15"/>
  <c r="S81" i="15"/>
  <c r="Q76" i="15"/>
  <c r="G72" i="15"/>
  <c r="G101" i="15"/>
  <c r="K101" i="15"/>
  <c r="O50" i="15"/>
  <c r="G61" i="15"/>
  <c r="S77" i="15"/>
  <c r="W86" i="15"/>
  <c r="O64" i="15"/>
  <c r="S55" i="15"/>
  <c r="U91" i="15"/>
  <c r="G86" i="15"/>
  <c r="S65" i="15"/>
  <c r="O52" i="15"/>
  <c r="G76" i="15"/>
  <c r="I46" i="15"/>
  <c r="O83" i="15"/>
  <c r="Y49" i="15"/>
  <c r="M64" i="15"/>
  <c r="M46" i="15"/>
  <c r="I74" i="15"/>
  <c r="G88" i="15"/>
  <c r="M45" i="15"/>
  <c r="Y98" i="15"/>
  <c r="K102" i="15"/>
  <c r="Q84" i="15"/>
  <c r="M74" i="15"/>
  <c r="M65" i="15"/>
  <c r="U90" i="15"/>
  <c r="M87" i="15"/>
  <c r="S73" i="15"/>
  <c r="I37" i="15"/>
  <c r="Q40" i="15"/>
  <c r="O101" i="15"/>
  <c r="O65" i="15"/>
  <c r="O49" i="15"/>
  <c r="W48" i="15"/>
  <c r="I41" i="15"/>
  <c r="Q88" i="15"/>
  <c r="Q72" i="15"/>
  <c r="U67" i="15"/>
  <c r="I95" i="15"/>
  <c r="I60" i="15"/>
  <c r="G42" i="15"/>
  <c r="M48" i="15"/>
  <c r="G95" i="15"/>
  <c r="K61" i="15"/>
  <c r="Q42" i="15"/>
  <c r="O85" i="15"/>
  <c r="I79" i="15"/>
  <c r="S72" i="15"/>
  <c r="W64" i="15"/>
  <c r="Q80" i="15"/>
  <c r="K59" i="15"/>
  <c r="W101" i="15"/>
  <c r="S83" i="15"/>
  <c r="M85" i="15"/>
  <c r="U68" i="15"/>
  <c r="S43" i="15"/>
  <c r="Y83" i="15"/>
  <c r="Y66" i="15"/>
  <c r="U43" i="15"/>
  <c r="W42" i="15"/>
  <c r="Y62" i="15"/>
  <c r="M49" i="15"/>
  <c r="U89" i="15"/>
  <c r="O66" i="15"/>
  <c r="I44" i="15"/>
  <c r="Q66" i="15"/>
  <c r="M54" i="15"/>
  <c r="O81" i="15"/>
  <c r="Q82" i="15"/>
  <c r="G54" i="15"/>
  <c r="K67" i="15"/>
  <c r="U48" i="15"/>
  <c r="I96" i="15"/>
  <c r="K93" i="15"/>
  <c r="S47" i="15"/>
  <c r="Y80" i="15"/>
  <c r="W68" i="15"/>
  <c r="M101" i="15"/>
  <c r="Y50" i="15"/>
  <c r="M55" i="15"/>
  <c r="G59" i="15"/>
  <c r="O90" i="15"/>
  <c r="O75" i="15"/>
  <c r="Y53" i="15"/>
  <c r="M86" i="15"/>
  <c r="K94" i="15"/>
  <c r="O57" i="15"/>
  <c r="K51" i="15"/>
  <c r="G43" i="15"/>
  <c r="M96" i="15"/>
  <c r="K54" i="15"/>
  <c r="G68" i="15"/>
  <c r="U47" i="15"/>
  <c r="I67" i="15"/>
  <c r="Q53" i="15"/>
  <c r="R53" i="15" s="1"/>
  <c r="K97" i="15"/>
  <c r="S68" i="15"/>
  <c r="G44" i="15"/>
  <c r="Y54" i="15"/>
  <c r="Z54" i="15" s="1"/>
  <c r="G102" i="15"/>
  <c r="M76" i="15"/>
  <c r="U57" i="15"/>
  <c r="I91" i="15"/>
  <c r="J91" i="15" s="1"/>
  <c r="S50" i="15"/>
  <c r="O95" i="15"/>
  <c r="M99" i="15"/>
  <c r="O69" i="15"/>
  <c r="P69" i="15" s="1"/>
  <c r="K68" i="15"/>
  <c r="I83" i="15"/>
  <c r="O53" i="15"/>
  <c r="I80" i="15"/>
  <c r="J80" i="15" s="1"/>
  <c r="Y51" i="15"/>
  <c r="M39" i="15"/>
  <c r="I62" i="15"/>
  <c r="S101" i="15"/>
  <c r="T101" i="15" s="1"/>
  <c r="M58" i="15"/>
  <c r="K50" i="15"/>
  <c r="G51" i="15"/>
  <c r="Y52" i="15"/>
  <c r="M43" i="15"/>
  <c r="I101" i="15"/>
  <c r="Q46" i="15"/>
  <c r="O72" i="15"/>
  <c r="U41" i="15"/>
  <c r="W56" i="15"/>
  <c r="M92" i="15"/>
  <c r="Y65" i="15"/>
  <c r="Z65" i="15" s="1"/>
  <c r="S46" i="15"/>
  <c r="Y75" i="15"/>
  <c r="Q69" i="15"/>
  <c r="U70" i="15"/>
  <c r="V70" i="15" s="1"/>
  <c r="G85" i="15"/>
  <c r="O56" i="15"/>
  <c r="S51" i="15"/>
  <c r="Y37" i="15"/>
  <c r="Z37" i="15" s="1"/>
  <c r="I65" i="15"/>
  <c r="S59" i="15"/>
  <c r="S49" i="15"/>
  <c r="Q96" i="15"/>
  <c r="R96" i="15" s="1"/>
  <c r="S41" i="15"/>
  <c r="S102" i="15"/>
  <c r="U52" i="15"/>
  <c r="Q79" i="15"/>
  <c r="R79" i="15" s="1"/>
  <c r="Q41" i="15"/>
  <c r="K40" i="15"/>
  <c r="W51" i="15"/>
  <c r="O59" i="15"/>
  <c r="W74" i="15"/>
  <c r="S94" i="15"/>
  <c r="Q44" i="15"/>
  <c r="M57" i="15"/>
  <c r="N57" i="15" s="1"/>
  <c r="W52" i="15"/>
  <c r="M41" i="15"/>
  <c r="W58" i="15"/>
  <c r="Y88" i="15"/>
  <c r="Z88" i="15" s="1"/>
  <c r="Y93" i="15"/>
  <c r="G67" i="15"/>
  <c r="S96" i="15"/>
  <c r="W98" i="15"/>
  <c r="X98" i="15" s="1"/>
  <c r="I59" i="15"/>
  <c r="W66" i="15"/>
  <c r="W37" i="15"/>
  <c r="O73" i="15"/>
  <c r="U50" i="15"/>
  <c r="U39" i="15"/>
  <c r="Y40" i="15"/>
  <c r="O74" i="15"/>
  <c r="P74" i="15" s="1"/>
  <c r="Y69" i="15"/>
  <c r="U55" i="15"/>
  <c r="I50" i="15"/>
  <c r="K73" i="15"/>
  <c r="L73" i="15" s="1"/>
  <c r="S85" i="15"/>
  <c r="O46" i="15"/>
  <c r="Y74" i="15"/>
  <c r="I92" i="15"/>
  <c r="Q51" i="15"/>
  <c r="Y85" i="15"/>
  <c r="U102" i="15"/>
  <c r="Q62" i="15"/>
  <c r="M63" i="15"/>
  <c r="O41" i="15"/>
  <c r="K38" i="15"/>
  <c r="K39" i="15"/>
  <c r="I102" i="15"/>
  <c r="U95" i="15"/>
  <c r="O76" i="15"/>
  <c r="K91" i="15"/>
  <c r="I97" i="15"/>
  <c r="W90" i="15"/>
  <c r="I66" i="15"/>
  <c r="U63" i="15"/>
  <c r="V63" i="15" s="1"/>
  <c r="Q77" i="15"/>
  <c r="W79" i="15"/>
  <c r="S71" i="15"/>
  <c r="S78" i="15"/>
  <c r="T78" i="15" s="1"/>
  <c r="G92" i="15"/>
  <c r="K45" i="15"/>
  <c r="Y38" i="15"/>
  <c r="O43" i="15"/>
  <c r="P43" i="15" s="1"/>
  <c r="K79" i="15"/>
  <c r="K75" i="15"/>
  <c r="G70" i="15"/>
  <c r="I88" i="15"/>
  <c r="J88" i="15" s="1"/>
  <c r="Y77" i="15"/>
  <c r="G93" i="15"/>
  <c r="O86" i="15"/>
  <c r="W70" i="15"/>
  <c r="X70" i="15" s="1"/>
  <c r="O96" i="15"/>
  <c r="M53" i="15"/>
  <c r="I55" i="15"/>
  <c r="S45" i="15"/>
  <c r="K47" i="15"/>
  <c r="S69" i="15"/>
  <c r="S61" i="15"/>
  <c r="Y82" i="15"/>
  <c r="Z82" i="15" s="1"/>
  <c r="G47" i="15"/>
  <c r="G66" i="15"/>
  <c r="U85" i="15"/>
  <c r="W60" i="15"/>
  <c r="X60" i="15" s="1"/>
  <c r="W97" i="15"/>
  <c r="S75" i="15"/>
  <c r="I42" i="15"/>
  <c r="M60" i="15"/>
  <c r="N60" i="15" s="1"/>
  <c r="Y78" i="15"/>
  <c r="K89" i="15"/>
  <c r="S87" i="15"/>
  <c r="W82" i="15"/>
  <c r="X82" i="15" s="1"/>
  <c r="U83" i="15"/>
  <c r="G57" i="15"/>
  <c r="I63" i="15"/>
  <c r="O99" i="15"/>
  <c r="S54" i="15"/>
  <c r="M88" i="15"/>
  <c r="O94" i="15"/>
  <c r="Y45" i="15"/>
  <c r="U99" i="15"/>
  <c r="W45" i="15"/>
  <c r="Y41" i="15"/>
  <c r="S82" i="15"/>
  <c r="T82" i="15" s="1"/>
  <c r="U75" i="15"/>
  <c r="K49" i="15"/>
  <c r="Q43" i="15"/>
  <c r="I47" i="15"/>
  <c r="J47" i="15" s="1"/>
  <c r="K58" i="15"/>
  <c r="Y48" i="15"/>
  <c r="S63" i="15"/>
  <c r="G90" i="15"/>
  <c r="H90" i="15" s="1"/>
  <c r="Q54" i="15"/>
  <c r="S67" i="15"/>
  <c r="W54" i="15"/>
  <c r="Q58" i="15"/>
  <c r="R58" i="15" s="1"/>
  <c r="I69" i="15"/>
  <c r="K95" i="15"/>
  <c r="K88" i="15"/>
  <c r="M38" i="15"/>
  <c r="N38" i="15" s="1"/>
  <c r="W94" i="15"/>
  <c r="Q73" i="15"/>
  <c r="M94" i="15"/>
  <c r="K80" i="15"/>
  <c r="L80" i="15" s="1"/>
  <c r="U61" i="15"/>
  <c r="O55" i="15"/>
  <c r="U60" i="15"/>
  <c r="K69" i="15"/>
  <c r="L69" i="15" s="1"/>
  <c r="I85" i="15"/>
  <c r="M102" i="15"/>
  <c r="O45" i="15"/>
  <c r="M44" i="15"/>
  <c r="N44" i="15" s="1"/>
  <c r="G50" i="15"/>
  <c r="M75" i="15"/>
  <c r="S97" i="15"/>
  <c r="Y81" i="15"/>
  <c r="Z81" i="15" s="1"/>
  <c r="W92" i="15"/>
  <c r="W50" i="15"/>
  <c r="U46" i="15"/>
  <c r="K53" i="15"/>
  <c r="L53" i="15" s="1"/>
  <c r="W40" i="15"/>
  <c r="Y79" i="15"/>
  <c r="O91" i="15"/>
  <c r="W44" i="15"/>
  <c r="Q81" i="15"/>
  <c r="O63" i="15"/>
  <c r="M82" i="15"/>
  <c r="Y59" i="15"/>
  <c r="Z59" i="15" s="1"/>
  <c r="O42" i="15"/>
  <c r="K82" i="15"/>
  <c r="W62" i="15"/>
  <c r="O97" i="15"/>
  <c r="P97" i="15" s="1"/>
  <c r="W91" i="15"/>
  <c r="K57" i="15"/>
  <c r="I86" i="15"/>
  <c r="G87" i="15"/>
  <c r="H87" i="15" s="1"/>
  <c r="I40" i="15"/>
  <c r="Y64" i="15"/>
  <c r="M93" i="15"/>
  <c r="M89" i="15"/>
  <c r="N89" i="15" s="1"/>
  <c r="K41" i="15"/>
  <c r="U37" i="15"/>
  <c r="G52" i="15"/>
  <c r="U78" i="15"/>
  <c r="V78" i="15" s="1"/>
  <c r="M80" i="15"/>
  <c r="W55" i="15"/>
  <c r="M52" i="15"/>
  <c r="M56" i="15"/>
  <c r="I75" i="15"/>
  <c r="M68" i="15"/>
  <c r="Q55" i="15"/>
  <c r="O61" i="15"/>
  <c r="P61" i="15" s="1"/>
  <c r="S39" i="15"/>
  <c r="O87" i="15"/>
  <c r="K56" i="15"/>
  <c r="S40" i="15"/>
  <c r="T40" i="15" s="1"/>
  <c r="O47" i="15"/>
  <c r="U101" i="15"/>
  <c r="U45" i="15"/>
  <c r="Q90" i="15"/>
  <c r="R90" i="15" s="1"/>
  <c r="Q86" i="15"/>
  <c r="U42" i="15"/>
  <c r="I77" i="15"/>
  <c r="Y95" i="15"/>
  <c r="Z95" i="15" s="1"/>
  <c r="O40" i="15"/>
  <c r="W61" i="15"/>
  <c r="G91" i="15"/>
  <c r="S88" i="15"/>
  <c r="I38" i="15"/>
  <c r="I87" i="15"/>
  <c r="O62" i="15"/>
  <c r="K48" i="15"/>
  <c r="L48" i="15" s="1"/>
  <c r="G45" i="15"/>
  <c r="W78" i="15"/>
  <c r="Q67" i="15"/>
  <c r="G100" i="15"/>
  <c r="H100" i="15" s="1"/>
  <c r="W67" i="15"/>
  <c r="U62" i="15"/>
  <c r="S98" i="15"/>
  <c r="T98" i="15" s="1"/>
  <c r="W81" i="15"/>
  <c r="O93" i="15"/>
  <c r="Y96" i="15"/>
  <c r="Y46" i="15"/>
  <c r="I100" i="15"/>
  <c r="J100" i="15" s="1"/>
  <c r="U64" i="15"/>
  <c r="Y90" i="15"/>
  <c r="Q65" i="15"/>
  <c r="O58" i="15"/>
  <c r="P58" i="15" s="1"/>
  <c r="I99" i="15"/>
  <c r="O48" i="15"/>
  <c r="K72" i="15"/>
  <c r="L72" i="15" s="1"/>
  <c r="U74" i="15"/>
  <c r="S76" i="15"/>
  <c r="G89" i="15"/>
  <c r="Q93" i="15"/>
  <c r="W80" i="15"/>
  <c r="X80" i="15" s="1"/>
  <c r="O100" i="15"/>
  <c r="Q83" i="15"/>
  <c r="S79" i="15"/>
  <c r="T79" i="15" s="1"/>
  <c r="U93" i="15"/>
  <c r="O98" i="15"/>
  <c r="G48" i="15"/>
  <c r="S93" i="15"/>
  <c r="M42" i="15"/>
  <c r="N42" i="15" s="1"/>
  <c r="G37" i="15"/>
  <c r="O88" i="15"/>
  <c r="K52" i="15"/>
  <c r="I45" i="15"/>
  <c r="J45" i="15" s="1"/>
  <c r="Y60" i="15"/>
  <c r="Y84" i="15"/>
  <c r="M91" i="15"/>
  <c r="I52" i="15"/>
  <c r="J52" i="15" s="1"/>
  <c r="W47" i="15"/>
  <c r="G83" i="15"/>
  <c r="Q48" i="15"/>
  <c r="K81" i="15"/>
  <c r="U71" i="15"/>
  <c r="M59" i="15"/>
  <c r="Y73" i="15"/>
  <c r="Z73" i="15" s="1"/>
  <c r="U69" i="15"/>
  <c r="V69" i="15" s="1"/>
  <c r="G41" i="15"/>
  <c r="K100" i="15"/>
  <c r="W77" i="15"/>
  <c r="X77" i="15" s="1"/>
  <c r="K66" i="15"/>
  <c r="G82" i="15"/>
  <c r="I54" i="15"/>
  <c r="K98" i="15"/>
  <c r="Q50" i="15"/>
  <c r="R50" i="15" s="1"/>
  <c r="Y42" i="15"/>
  <c r="G78" i="15"/>
  <c r="G65" i="15"/>
  <c r="H65" i="15" s="1"/>
  <c r="U97" i="15"/>
  <c r="V97" i="15" s="1"/>
  <c r="K77" i="15"/>
  <c r="Q45" i="15"/>
  <c r="O54" i="15"/>
  <c r="Q49" i="15"/>
  <c r="R49" i="15" s="1"/>
  <c r="U58" i="15"/>
  <c r="K83" i="15"/>
  <c r="I98" i="15"/>
  <c r="U54" i="15"/>
  <c r="Q70" i="15"/>
  <c r="U84" i="15"/>
  <c r="Y57" i="15"/>
  <c r="W41" i="15"/>
  <c r="I82" i="15"/>
  <c r="Q89" i="15"/>
  <c r="U96" i="15"/>
  <c r="K60" i="15"/>
  <c r="L60" i="15" s="1"/>
  <c r="O89" i="15"/>
  <c r="W85" i="15"/>
  <c r="K44" i="15"/>
  <c r="G55" i="15"/>
  <c r="H55" i="15" s="1"/>
  <c r="W73" i="15"/>
  <c r="M83" i="15"/>
  <c r="K65" i="15"/>
  <c r="M61" i="15"/>
  <c r="N61" i="15" s="1"/>
  <c r="Q63" i="15"/>
  <c r="U87" i="15"/>
  <c r="M69" i="15"/>
  <c r="N69" i="15" s="1"/>
  <c r="Y87" i="15"/>
  <c r="Z87" i="15" s="1"/>
  <c r="Y55" i="15"/>
  <c r="I70" i="15"/>
  <c r="Y47" i="15"/>
  <c r="Z47" i="15" s="1"/>
  <c r="U81" i="15"/>
  <c r="V81" i="15" s="1"/>
  <c r="U66" i="15"/>
  <c r="S57" i="15"/>
  <c r="U53" i="15"/>
  <c r="K92" i="15"/>
  <c r="M79" i="15"/>
  <c r="I90" i="15"/>
  <c r="K76" i="15"/>
  <c r="L76" i="15" s="1"/>
  <c r="Y67" i="15"/>
  <c r="Z67" i="15" s="1"/>
  <c r="K99" i="15"/>
  <c r="I71" i="15"/>
  <c r="U73" i="15"/>
  <c r="V73" i="15" s="1"/>
  <c r="G39" i="15"/>
  <c r="H39" i="15" s="1"/>
  <c r="W63" i="15"/>
  <c r="Y71" i="15"/>
  <c r="W46" i="15"/>
  <c r="X46" i="15" s="1"/>
  <c r="G69" i="15"/>
  <c r="H69" i="15" s="1"/>
  <c r="Q91" i="15"/>
  <c r="W69" i="15"/>
  <c r="U80" i="15"/>
  <c r="K42" i="15"/>
  <c r="O82" i="15"/>
  <c r="M71" i="15"/>
  <c r="G77" i="15"/>
  <c r="H77" i="15" s="1"/>
  <c r="K62" i="15"/>
  <c r="L62" i="15" s="1"/>
  <c r="S80" i="15"/>
  <c r="Q47" i="15"/>
  <c r="Q92" i="15"/>
  <c r="Q100" i="15"/>
  <c r="R100" i="15" s="1"/>
  <c r="S42" i="15"/>
  <c r="I68" i="15"/>
  <c r="W99" i="15"/>
  <c r="I43" i="15"/>
  <c r="W96" i="15"/>
  <c r="U79" i="15"/>
  <c r="M81" i="15"/>
  <c r="N81" i="15" s="1"/>
  <c r="K46" i="15"/>
  <c r="L46" i="15" s="1"/>
  <c r="U88" i="15"/>
  <c r="Q57" i="15"/>
  <c r="M72" i="15"/>
  <c r="S62" i="15"/>
  <c r="T62" i="15" s="1"/>
  <c r="G38" i="15"/>
  <c r="M100" i="15"/>
  <c r="W43" i="15"/>
  <c r="Q37" i="15"/>
  <c r="R37" i="15" s="1"/>
  <c r="K64" i="15"/>
  <c r="M77" i="15"/>
  <c r="M50" i="15"/>
  <c r="N50" i="15" s="1"/>
  <c r="G81" i="15"/>
  <c r="H81" i="15" s="1"/>
  <c r="K78" i="15"/>
  <c r="G56" i="15"/>
  <c r="S64" i="15"/>
  <c r="U100" i="15"/>
  <c r="V100" i="15" s="1"/>
  <c r="S86" i="15"/>
  <c r="G60" i="15"/>
  <c r="W59" i="15"/>
  <c r="S74" i="15"/>
  <c r="T74" i="15" s="1"/>
  <c r="K55" i="15"/>
  <c r="K74" i="15"/>
  <c r="Q71" i="15"/>
  <c r="R71" i="15" s="1"/>
  <c r="W93" i="15"/>
  <c r="X93" i="15" s="1"/>
  <c r="M95" i="15"/>
  <c r="U56" i="15"/>
  <c r="M62" i="15"/>
  <c r="U98" i="15"/>
  <c r="V98" i="15" s="1"/>
  <c r="O39" i="15"/>
  <c r="O79" i="15"/>
  <c r="Q94" i="15"/>
  <c r="R94" i="15" s="1"/>
  <c r="U49" i="15"/>
  <c r="V49" i="15" s="1"/>
  <c r="W57" i="15"/>
  <c r="S89" i="15"/>
  <c r="Q52" i="15"/>
  <c r="R52" i="15" s="1"/>
  <c r="W49" i="15"/>
  <c r="X49" i="15" s="1"/>
  <c r="G74" i="15"/>
  <c r="M70" i="15"/>
  <c r="S95" i="15"/>
  <c r="T95" i="15" s="1"/>
  <c r="O38" i="15"/>
  <c r="P38" i="15" s="1"/>
  <c r="Y91" i="15"/>
  <c r="G63" i="15"/>
  <c r="Y89" i="15"/>
  <c r="O44" i="15"/>
  <c r="P44" i="15" s="1"/>
  <c r="O60" i="15"/>
  <c r="G98" i="15"/>
  <c r="S38" i="15"/>
  <c r="T38" i="15" s="1"/>
  <c r="Y99" i="15"/>
  <c r="U77" i="15"/>
  <c r="I39" i="15"/>
  <c r="S52" i="15"/>
  <c r="T52" i="15" s="1"/>
  <c r="U76" i="15"/>
  <c r="K63" i="15"/>
  <c r="O67" i="15"/>
  <c r="Y76" i="15"/>
  <c r="Z76" i="15" s="1"/>
  <c r="I61" i="15"/>
  <c r="J61" i="15" s="1"/>
  <c r="U59" i="15"/>
  <c r="I72" i="15"/>
  <c r="G58" i="15"/>
  <c r="S84" i="15"/>
  <c r="T84" i="15" s="1"/>
  <c r="M73" i="15"/>
  <c r="O102" i="15"/>
  <c r="Y70" i="15"/>
  <c r="O78" i="15"/>
  <c r="K96" i="15"/>
  <c r="Q38" i="15"/>
  <c r="S70" i="15"/>
  <c r="T70" i="15" s="1"/>
  <c r="Y58" i="15"/>
  <c r="Z58" i="15" s="1"/>
  <c r="I64" i="15"/>
  <c r="Y94" i="15"/>
  <c r="K37" i="15"/>
  <c r="M40" i="15"/>
  <c r="N40" i="15" s="1"/>
  <c r="I56" i="15"/>
  <c r="W102" i="15"/>
  <c r="O84" i="15"/>
  <c r="P84" i="15" s="1"/>
  <c r="S99" i="15"/>
  <c r="T99" i="15" s="1"/>
  <c r="I78" i="15"/>
  <c r="W71" i="15"/>
  <c r="G99" i="15"/>
  <c r="H99" i="15" s="1"/>
  <c r="K85" i="15"/>
  <c r="S91" i="15"/>
  <c r="K43" i="15"/>
  <c r="W95" i="15"/>
  <c r="M66" i="15"/>
  <c r="U72" i="15"/>
  <c r="W72" i="15"/>
  <c r="Q74" i="15"/>
  <c r="R74" i="15" s="1"/>
  <c r="W39" i="15"/>
  <c r="X39" i="15" s="1"/>
  <c r="M90" i="15"/>
  <c r="Y63" i="15"/>
  <c r="U38" i="15"/>
  <c r="G46" i="15"/>
  <c r="H46" i="15" s="1"/>
  <c r="G75" i="15"/>
  <c r="Q97" i="15"/>
  <c r="O68" i="15"/>
  <c r="Q102" i="15"/>
  <c r="R102" i="15" s="1"/>
  <c r="G62" i="15"/>
  <c r="U65" i="15"/>
  <c r="G79" i="15"/>
  <c r="H79" i="15" s="1"/>
  <c r="Q39" i="15"/>
  <c r="R39" i="15" s="1"/>
  <c r="I76" i="15"/>
  <c r="W100" i="15"/>
  <c r="Q75" i="15"/>
  <c r="G53" i="15"/>
  <c r="H53" i="15" s="1"/>
  <c r="S66" i="15"/>
  <c r="I51" i="15"/>
  <c r="S60" i="15"/>
  <c r="T60" i="15" s="1"/>
  <c r="Y72" i="15"/>
  <c r="U40" i="15"/>
  <c r="S90" i="15"/>
  <c r="O80" i="15"/>
  <c r="P80" i="15" s="1"/>
  <c r="S37" i="15"/>
  <c r="T37" i="15" s="1"/>
  <c r="S100" i="15"/>
  <c r="Y92" i="15"/>
  <c r="K70" i="15"/>
  <c r="M84" i="15"/>
  <c r="N84" i="15" s="1"/>
  <c r="I84" i="15"/>
  <c r="W76" i="15"/>
  <c r="Y100" i="15"/>
  <c r="I94" i="15"/>
  <c r="J94" i="15" s="1"/>
  <c r="O77" i="15"/>
  <c r="M78" i="15"/>
  <c r="I58" i="15"/>
  <c r="J58" i="15" s="1"/>
  <c r="G94" i="15"/>
  <c r="H94" i="15" s="1"/>
  <c r="Y101" i="15"/>
  <c r="Y44" i="15"/>
  <c r="S56" i="15"/>
  <c r="Q59" i="15"/>
  <c r="R59" i="15" s="1"/>
  <c r="W84" i="15"/>
  <c r="Q78" i="15"/>
  <c r="R55" i="15"/>
  <c r="R88" i="15"/>
  <c r="J54" i="15"/>
  <c r="V101" i="15"/>
  <c r="X55" i="15"/>
  <c r="V50" i="15"/>
  <c r="J75" i="15"/>
  <c r="V99" i="15"/>
  <c r="N85" i="15"/>
  <c r="N80" i="15"/>
  <c r="L38" i="15"/>
  <c r="H102" i="15"/>
  <c r="R69" i="15"/>
  <c r="V66" i="15"/>
  <c r="V64" i="15"/>
  <c r="L102" i="15"/>
  <c r="T41" i="15"/>
  <c r="P88" i="15"/>
  <c r="F79" i="15"/>
  <c r="X87" i="15"/>
  <c r="Z75" i="15"/>
  <c r="X57" i="15"/>
  <c r="X53" i="15"/>
  <c r="T83" i="15"/>
  <c r="H38" i="15"/>
  <c r="H50" i="15"/>
  <c r="R60" i="15"/>
  <c r="F56" i="15"/>
  <c r="J76" i="15"/>
  <c r="Z78" i="15"/>
  <c r="V58" i="15"/>
  <c r="V91" i="15"/>
  <c r="L77" i="15"/>
  <c r="P70" i="15"/>
  <c r="F89" i="15"/>
  <c r="F91" i="15"/>
  <c r="Z63" i="15"/>
  <c r="X48" i="15"/>
  <c r="V76" i="15"/>
  <c r="P40" i="15"/>
  <c r="F92" i="15"/>
  <c r="L55" i="15"/>
  <c r="L63" i="15"/>
  <c r="L47" i="15"/>
  <c r="P62" i="15"/>
  <c r="P79" i="15"/>
  <c r="P52" i="15"/>
  <c r="V46" i="15"/>
  <c r="H47" i="15"/>
  <c r="L61" i="15"/>
  <c r="J49" i="15"/>
  <c r="H89" i="15"/>
  <c r="N67" i="15"/>
  <c r="T47" i="15"/>
  <c r="P95" i="15"/>
  <c r="H71" i="15"/>
  <c r="Z85" i="15"/>
  <c r="N95" i="15"/>
  <c r="F41" i="15"/>
  <c r="L98" i="15"/>
  <c r="T45" i="15"/>
  <c r="J38" i="15"/>
  <c r="X62" i="15"/>
  <c r="L65" i="15"/>
  <c r="Z41" i="15"/>
  <c r="T55" i="15"/>
  <c r="N59" i="15"/>
  <c r="N98" i="15"/>
  <c r="H45" i="15"/>
  <c r="R70" i="15"/>
  <c r="P71" i="15"/>
  <c r="F98" i="15"/>
  <c r="N71" i="15"/>
  <c r="F37" i="15"/>
  <c r="P98" i="15"/>
  <c r="N91" i="15"/>
  <c r="F65" i="15"/>
  <c r="X68" i="15"/>
  <c r="T76" i="15"/>
  <c r="F80" i="15"/>
  <c r="H96" i="15"/>
  <c r="V54" i="15"/>
  <c r="J73" i="15"/>
  <c r="Z71" i="15"/>
  <c r="H88" i="15"/>
  <c r="X65" i="15"/>
  <c r="N41" i="15"/>
  <c r="X97" i="15"/>
  <c r="N93" i="15"/>
  <c r="V51" i="15"/>
  <c r="T75" i="15"/>
  <c r="F45" i="15"/>
  <c r="R47" i="15"/>
  <c r="L37" i="15"/>
  <c r="H74" i="15"/>
  <c r="X94" i="15"/>
  <c r="T85" i="15"/>
  <c r="V82" i="15"/>
  <c r="V67" i="15"/>
  <c r="N53" i="15"/>
  <c r="R54" i="15"/>
  <c r="J68" i="15"/>
  <c r="H75" i="15"/>
  <c r="J69" i="15"/>
  <c r="J59" i="15"/>
  <c r="H101" i="15"/>
  <c r="H86" i="15"/>
  <c r="Z94" i="15"/>
  <c r="X86" i="15"/>
  <c r="J62" i="15"/>
  <c r="F63" i="15"/>
  <c r="H37" i="15"/>
  <c r="P47" i="15"/>
  <c r="F97" i="15"/>
  <c r="V52" i="15"/>
  <c r="N55" i="15"/>
  <c r="V102" i="15"/>
  <c r="R83" i="15"/>
  <c r="H85" i="15"/>
  <c r="T87" i="15"/>
  <c r="P99" i="15"/>
  <c r="H49" i="15"/>
  <c r="J97" i="15"/>
  <c r="X101" i="15"/>
  <c r="P72" i="15"/>
  <c r="X75" i="15"/>
  <c r="H70" i="15"/>
  <c r="T91" i="15"/>
  <c r="X95" i="15"/>
  <c r="N65" i="15"/>
  <c r="X63" i="15"/>
  <c r="F82" i="15"/>
  <c r="L89" i="15"/>
  <c r="H51" i="15"/>
  <c r="T58" i="15"/>
  <c r="N75" i="15"/>
  <c r="N54" i="15"/>
  <c r="P77" i="15"/>
  <c r="J65" i="15"/>
  <c r="F66" i="15"/>
  <c r="X45" i="15"/>
  <c r="V95" i="15"/>
  <c r="F83" i="15"/>
  <c r="N97" i="15"/>
  <c r="T39" i="15"/>
  <c r="J60" i="15"/>
  <c r="J67" i="15"/>
  <c r="V57" i="15"/>
  <c r="R87" i="15"/>
  <c r="H95" i="15"/>
  <c r="T48" i="15"/>
  <c r="R73" i="15"/>
  <c r="N88" i="15"/>
  <c r="P89" i="15"/>
  <c r="N96" i="15"/>
  <c r="L66" i="15"/>
  <c r="V85" i="15"/>
  <c r="X50" i="15"/>
  <c r="P55" i="15"/>
  <c r="P64" i="15"/>
  <c r="H57" i="15"/>
  <c r="J77" i="15"/>
  <c r="J63" i="15"/>
  <c r="T65" i="15"/>
  <c r="R76" i="15"/>
  <c r="P56" i="15"/>
  <c r="R81" i="15"/>
  <c r="Z97" i="15"/>
  <c r="P46" i="15"/>
  <c r="F94" i="15"/>
  <c r="Z57" i="15"/>
  <c r="R91" i="15"/>
  <c r="H44" i="15"/>
  <c r="X61" i="15"/>
  <c r="Z92" i="15"/>
  <c r="V92" i="15"/>
  <c r="Z74" i="15"/>
  <c r="J64" i="15"/>
  <c r="F75" i="15"/>
  <c r="Z72" i="15"/>
  <c r="T61" i="15"/>
  <c r="X73" i="15"/>
  <c r="T53" i="15"/>
  <c r="V40" i="15"/>
  <c r="L43" i="15"/>
  <c r="Z53" i="15"/>
  <c r="P96" i="15"/>
  <c r="Z39" i="15"/>
  <c r="T44" i="15"/>
  <c r="R92" i="15"/>
  <c r="R42" i="15"/>
  <c r="R86" i="15"/>
  <c r="X96" i="15"/>
  <c r="V38" i="15"/>
  <c r="Z84" i="15"/>
  <c r="F85" i="15"/>
  <c r="P60" i="15"/>
  <c r="N92" i="15"/>
  <c r="L86" i="15"/>
  <c r="H97" i="15"/>
  <c r="R75" i="15"/>
  <c r="P91" i="15"/>
  <c r="F87" i="15"/>
  <c r="F77" i="15"/>
  <c r="X67" i="15"/>
  <c r="N94" i="15"/>
  <c r="X102" i="15"/>
  <c r="J41" i="15"/>
  <c r="H63" i="15"/>
  <c r="X54" i="15"/>
  <c r="J40" i="15"/>
  <c r="V93" i="15"/>
  <c r="X74" i="15"/>
  <c r="J98" i="15"/>
  <c r="X84" i="15"/>
  <c r="Z49" i="15"/>
  <c r="Z68" i="15"/>
  <c r="V80" i="15"/>
  <c r="V48" i="15"/>
  <c r="Z42" i="15"/>
  <c r="X91" i="15"/>
  <c r="P57" i="15"/>
  <c r="X66" i="15"/>
  <c r="F84" i="15"/>
  <c r="H40" i="15"/>
  <c r="L42" i="15"/>
  <c r="J101" i="15"/>
  <c r="N68" i="15"/>
  <c r="P59" i="15"/>
  <c r="P85" i="15"/>
  <c r="H76" i="15"/>
  <c r="L52" i="15"/>
  <c r="L93" i="15"/>
  <c r="N73" i="15"/>
  <c r="P42" i="15"/>
  <c r="J57" i="15"/>
  <c r="J84" i="15"/>
  <c r="X83" i="15"/>
  <c r="X59" i="15"/>
  <c r="L75" i="15"/>
  <c r="Z79" i="15"/>
  <c r="T71" i="15"/>
  <c r="F47" i="15"/>
  <c r="J55" i="15"/>
  <c r="N49" i="15"/>
  <c r="F67" i="15"/>
  <c r="F57" i="15"/>
  <c r="L67" i="15"/>
  <c r="N83" i="15"/>
  <c r="L101" i="15"/>
  <c r="V47" i="15"/>
  <c r="R85" i="15"/>
  <c r="X40" i="15"/>
  <c r="P94" i="15"/>
  <c r="H68" i="15"/>
  <c r="T96" i="15"/>
  <c r="T64" i="15"/>
  <c r="L74" i="15"/>
  <c r="Z50" i="15"/>
  <c r="T54" i="15"/>
  <c r="H43" i="15"/>
  <c r="F93" i="15"/>
  <c r="L41" i="15"/>
  <c r="R48" i="15"/>
  <c r="J53" i="15"/>
  <c r="J74" i="15"/>
  <c r="P54" i="15"/>
  <c r="L39" i="15"/>
  <c r="R98" i="15"/>
  <c r="P49" i="15"/>
  <c r="V74" i="15"/>
  <c r="F49" i="15"/>
  <c r="H61" i="15"/>
  <c r="R38" i="15"/>
  <c r="V89" i="15"/>
  <c r="X85" i="15"/>
  <c r="H59" i="15"/>
  <c r="T100" i="15"/>
  <c r="V42" i="15"/>
  <c r="Z80" i="15"/>
  <c r="Z45" i="15"/>
  <c r="T86" i="15"/>
  <c r="P90" i="15"/>
  <c r="L88" i="15"/>
  <c r="X44" i="15"/>
  <c r="H67" i="15"/>
  <c r="V37" i="15"/>
  <c r="Z38" i="15"/>
  <c r="X42" i="15"/>
  <c r="J82" i="15"/>
  <c r="N100" i="15"/>
  <c r="F59" i="15"/>
  <c r="F50" i="15"/>
  <c r="T67" i="15"/>
  <c r="T42" i="15"/>
  <c r="X90" i="15"/>
  <c r="H48" i="15"/>
  <c r="P76" i="15"/>
  <c r="V62" i="15"/>
  <c r="N90" i="15"/>
  <c r="F64" i="15"/>
  <c r="P66" i="15"/>
  <c r="X51" i="15"/>
  <c r="X64" i="15"/>
  <c r="Z43" i="15"/>
  <c r="P100" i="15"/>
  <c r="F102" i="15"/>
  <c r="Z44" i="15"/>
  <c r="T49" i="15"/>
  <c r="L95" i="15"/>
  <c r="P87" i="15"/>
  <c r="X52" i="15"/>
  <c r="T102" i="15"/>
  <c r="P68" i="15"/>
  <c r="J89" i="15"/>
  <c r="H78" i="15"/>
  <c r="Z69" i="15"/>
  <c r="R64" i="15"/>
  <c r="J90" i="15"/>
  <c r="X37" i="15"/>
  <c r="Z83" i="15"/>
  <c r="R44" i="15"/>
  <c r="L51" i="15"/>
  <c r="N51" i="15"/>
  <c r="L50" i="15"/>
  <c r="H64" i="15"/>
  <c r="L92" i="15"/>
  <c r="L84" i="15"/>
  <c r="N78" i="15"/>
  <c r="N72" i="15"/>
  <c r="T73" i="15"/>
  <c r="L57" i="15"/>
  <c r="J42" i="15"/>
  <c r="L82" i="15"/>
  <c r="P50" i="15"/>
  <c r="V88" i="15"/>
  <c r="J39" i="15"/>
  <c r="N48" i="15"/>
  <c r="Z100" i="15"/>
  <c r="P67" i="15"/>
  <c r="R65" i="15"/>
  <c r="N47" i="15"/>
  <c r="H41" i="15"/>
  <c r="H72" i="15"/>
  <c r="L64" i="15"/>
  <c r="R68" i="15"/>
  <c r="J92" i="15"/>
  <c r="R57" i="15"/>
  <c r="F39" i="15"/>
  <c r="Z64" i="15"/>
  <c r="F46" i="15"/>
  <c r="V77" i="15"/>
  <c r="R61" i="15"/>
  <c r="X81" i="15"/>
  <c r="R80" i="15"/>
  <c r="J37" i="15"/>
  <c r="Z96" i="15"/>
  <c r="Z90" i="15"/>
  <c r="P41" i="15"/>
  <c r="J86" i="15"/>
  <c r="T77" i="15"/>
  <c r="R67" i="15"/>
  <c r="J70" i="15"/>
  <c r="N66" i="15"/>
  <c r="X76" i="15"/>
  <c r="H83" i="15"/>
  <c r="R72" i="15"/>
  <c r="J83" i="15"/>
  <c r="T90" i="15"/>
  <c r="V60" i="15"/>
  <c r="Z77" i="15"/>
  <c r="R43" i="15"/>
  <c r="F54" i="15"/>
  <c r="H91" i="15"/>
  <c r="Z102" i="15"/>
  <c r="N74" i="15"/>
  <c r="R77" i="15"/>
  <c r="Z56" i="15"/>
  <c r="H66" i="15"/>
  <c r="Z52" i="15"/>
  <c r="F100" i="15"/>
  <c r="L96" i="15"/>
  <c r="R93" i="15"/>
  <c r="F68" i="15"/>
  <c r="V72" i="15"/>
  <c r="L83" i="15"/>
  <c r="J87" i="15"/>
  <c r="T88" i="15"/>
  <c r="Z51" i="15"/>
  <c r="H82" i="15"/>
  <c r="L87" i="15"/>
  <c r="F43" i="15"/>
  <c r="X72" i="15"/>
  <c r="T66" i="15"/>
  <c r="V83" i="15"/>
  <c r="X38" i="15"/>
  <c r="R84" i="15"/>
  <c r="X69" i="15"/>
  <c r="J71" i="15"/>
  <c r="J46" i="15"/>
  <c r="P39" i="15"/>
  <c r="L44" i="15"/>
  <c r="J79" i="15"/>
  <c r="X100" i="15"/>
  <c r="T50" i="15"/>
  <c r="V68" i="15"/>
  <c r="F58" i="15"/>
  <c r="T57" i="15"/>
  <c r="N45" i="15"/>
  <c r="N87" i="15"/>
  <c r="V55" i="15"/>
  <c r="N101" i="15"/>
  <c r="F44" i="15"/>
  <c r="P93" i="15"/>
  <c r="Z66" i="15"/>
  <c r="F42" i="15"/>
  <c r="T63" i="15"/>
  <c r="V41" i="15"/>
  <c r="V84" i="15"/>
  <c r="L58" i="15"/>
  <c r="P48" i="15"/>
  <c r="R46" i="15"/>
  <c r="J56" i="15"/>
  <c r="V39" i="15"/>
  <c r="N77" i="15"/>
  <c r="H73" i="15"/>
  <c r="H98" i="15"/>
  <c r="F90" i="15"/>
  <c r="N64" i="15"/>
  <c r="R62" i="15"/>
  <c r="X71" i="15"/>
  <c r="F70" i="15"/>
  <c r="P78" i="15"/>
  <c r="V45" i="15"/>
  <c r="P63" i="15"/>
  <c r="T56" i="15"/>
  <c r="V96" i="15"/>
  <c r="J85" i="15"/>
  <c r="F73" i="15"/>
  <c r="L90" i="15"/>
  <c r="N39" i="15"/>
  <c r="Z40" i="15"/>
  <c r="X99" i="15"/>
  <c r="Z62" i="15"/>
  <c r="X88" i="15"/>
  <c r="Z99" i="15"/>
  <c r="L45" i="15"/>
  <c r="Z101" i="15"/>
  <c r="J78" i="15"/>
  <c r="J95" i="15"/>
  <c r="Z89" i="15"/>
  <c r="N62" i="15"/>
  <c r="V90" i="15"/>
  <c r="T94" i="15"/>
  <c r="V59" i="15"/>
  <c r="F61" i="15"/>
  <c r="V79" i="15"/>
  <c r="V43" i="15"/>
  <c r="L56" i="15"/>
  <c r="T68" i="15"/>
  <c r="F99" i="15"/>
  <c r="N99" i="15"/>
  <c r="H93" i="15"/>
  <c r="T59" i="15"/>
  <c r="T72" i="15"/>
  <c r="X79" i="15"/>
  <c r="N56" i="15"/>
  <c r="P65" i="15"/>
  <c r="Z61" i="15"/>
  <c r="H56" i="15"/>
  <c r="T89" i="15"/>
  <c r="N86" i="15"/>
  <c r="J72" i="15"/>
  <c r="X41" i="15"/>
  <c r="N46" i="15"/>
  <c r="F101" i="15"/>
  <c r="H92" i="15"/>
  <c r="F71" i="15"/>
  <c r="T80" i="15"/>
  <c r="F74" i="15"/>
  <c r="P51" i="15"/>
  <c r="N102" i="15"/>
  <c r="R95" i="15"/>
  <c r="V94" i="15"/>
  <c r="F72" i="15"/>
  <c r="F78" i="15"/>
  <c r="J43" i="15"/>
  <c r="R40" i="15"/>
  <c r="J44" i="15"/>
  <c r="F96" i="15"/>
  <c r="F81" i="15"/>
  <c r="Z91" i="15"/>
  <c r="L40" i="15"/>
  <c r="F86" i="15"/>
  <c r="V86" i="15"/>
  <c r="L68" i="15"/>
  <c r="L81" i="15"/>
  <c r="N79" i="15"/>
  <c r="Z48" i="15"/>
  <c r="T69" i="15"/>
  <c r="L85" i="15"/>
  <c r="N63" i="15"/>
  <c r="F51" i="15"/>
  <c r="V53" i="15"/>
  <c r="P92" i="15"/>
  <c r="N76" i="15"/>
  <c r="X58" i="15"/>
  <c r="F40" i="15"/>
  <c r="N43" i="15"/>
  <c r="F76" i="15"/>
  <c r="F88" i="15"/>
  <c r="J81" i="15"/>
  <c r="P82" i="15"/>
  <c r="L49" i="15"/>
  <c r="P45" i="15"/>
  <c r="L97" i="15"/>
  <c r="V44" i="15"/>
  <c r="R51" i="15"/>
  <c r="N82" i="15"/>
  <c r="P102" i="15"/>
  <c r="X47" i="15"/>
  <c r="J48" i="15"/>
  <c r="R45" i="15"/>
  <c r="X56" i="15"/>
  <c r="H54" i="15"/>
  <c r="R82" i="15"/>
  <c r="Z70" i="15"/>
  <c r="X43" i="15"/>
  <c r="V87" i="15"/>
  <c r="R56" i="15"/>
  <c r="L79" i="15"/>
  <c r="L99" i="15"/>
  <c r="P53" i="15"/>
  <c r="T51" i="15"/>
  <c r="Z55" i="15"/>
  <c r="F48" i="15"/>
  <c r="H58" i="15"/>
  <c r="J102" i="15"/>
  <c r="R78" i="15"/>
  <c r="Z93" i="15"/>
  <c r="L94" i="15"/>
  <c r="H80" i="15"/>
  <c r="L78" i="15"/>
  <c r="Z46" i="15"/>
  <c r="H84" i="15"/>
  <c r="X78" i="15"/>
  <c r="L71" i="15"/>
  <c r="H60" i="15"/>
  <c r="V75" i="15"/>
  <c r="F55" i="15"/>
  <c r="L100" i="15"/>
  <c r="P81" i="15"/>
  <c r="R63" i="15"/>
  <c r="X89" i="15"/>
  <c r="J99" i="15"/>
  <c r="P101" i="15"/>
  <c r="Z60" i="15"/>
  <c r="L70" i="15"/>
  <c r="V65" i="15"/>
  <c r="V71" i="15"/>
  <c r="R66" i="15"/>
  <c r="R97" i="15"/>
  <c r="N52" i="15"/>
  <c r="T92" i="15"/>
  <c r="N70" i="15"/>
  <c r="P86" i="15"/>
  <c r="J51" i="15"/>
  <c r="P75" i="15"/>
  <c r="R89" i="15"/>
  <c r="J96" i="15"/>
  <c r="P73" i="15"/>
  <c r="F69" i="15"/>
  <c r="F95" i="15"/>
  <c r="N58" i="15"/>
  <c r="F38" i="15"/>
  <c r="Z98" i="15"/>
  <c r="T43" i="15"/>
  <c r="H42" i="15"/>
  <c r="J93" i="15"/>
  <c r="J50" i="15"/>
  <c r="H62" i="15"/>
  <c r="F53" i="15"/>
  <c r="T97" i="15"/>
  <c r="L59" i="15"/>
  <c r="R99" i="15"/>
  <c r="T93" i="15"/>
  <c r="L54" i="15"/>
  <c r="Z86" i="15"/>
  <c r="F62" i="15"/>
  <c r="F60" i="15"/>
  <c r="J66" i="15"/>
  <c r="V56" i="15"/>
  <c r="T81" i="15"/>
  <c r="F52" i="15"/>
  <c r="T46" i="15"/>
  <c r="P83" i="15"/>
  <c r="R41" i="15"/>
  <c r="X92" i="15"/>
  <c r="L91" i="15"/>
  <c r="H52" i="15"/>
  <c r="R101" i="15"/>
  <c r="V61" i="15"/>
  <c r="F1048" i="28"/>
  <c r="G1048" i="28" s="1"/>
  <c r="E1059" i="28"/>
  <c r="E1087" i="28"/>
  <c r="F1076" i="28"/>
  <c r="G1076" i="28" s="1"/>
  <c r="F1067" i="28"/>
  <c r="G1067" i="28" s="1"/>
  <c r="E1078" i="28"/>
  <c r="E1084" i="28"/>
  <c r="F1073" i="28"/>
  <c r="G1073" i="28" s="1"/>
  <c r="E1066" i="28"/>
  <c r="F1055" i="28"/>
  <c r="G1055" i="28" s="1"/>
  <c r="E1085" i="28"/>
  <c r="F1074" i="28"/>
  <c r="G1074" i="28" s="1"/>
  <c r="F1068" i="28"/>
  <c r="G1068" i="28" s="1"/>
  <c r="E1079" i="28"/>
  <c r="E1075" i="28"/>
  <c r="F1064" i="28"/>
  <c r="G1064" i="28" s="1"/>
  <c r="E1071" i="28"/>
  <c r="F1060" i="28"/>
  <c r="G1060" i="28" s="1"/>
  <c r="W103" i="15" l="1"/>
  <c r="X103" i="15" s="1"/>
  <c r="Y103" i="15"/>
  <c r="U103" i="15"/>
  <c r="Q103" i="15"/>
  <c r="G103" i="15"/>
  <c r="H103" i="15" s="1"/>
  <c r="M103" i="15"/>
  <c r="S103" i="15"/>
  <c r="T103" i="15" s="1"/>
  <c r="K103" i="15"/>
  <c r="O103" i="15"/>
  <c r="P103" i="15" s="1"/>
  <c r="I103" i="15"/>
  <c r="R103" i="15"/>
  <c r="Z103" i="15"/>
  <c r="J103" i="15"/>
  <c r="F103" i="15"/>
  <c r="N103" i="15"/>
  <c r="L103" i="15"/>
  <c r="V103" i="15"/>
  <c r="F1059" i="28"/>
  <c r="G1059" i="28" s="1"/>
  <c r="E1070" i="28"/>
  <c r="E1086" i="28"/>
  <c r="F1075" i="28"/>
  <c r="G1075" i="28" s="1"/>
  <c r="F1079" i="28"/>
  <c r="G1079" i="28" s="1"/>
  <c r="E1090" i="28"/>
  <c r="E1089" i="28"/>
  <c r="F1078" i="28"/>
  <c r="G1078" i="28" s="1"/>
  <c r="E1096" i="28"/>
  <c r="F1096" i="28" s="1"/>
  <c r="G1096" i="28" s="1"/>
  <c r="F1085" i="28"/>
  <c r="G1085" i="28" s="1"/>
  <c r="E1077" i="28"/>
  <c r="F1066" i="28"/>
  <c r="G1066" i="28" s="1"/>
  <c r="E1082" i="28"/>
  <c r="F1071" i="28"/>
  <c r="G1071" i="28" s="1"/>
  <c r="E1095" i="28"/>
  <c r="F1095" i="28" s="1"/>
  <c r="G1095" i="28" s="1"/>
  <c r="F1084" i="28"/>
  <c r="G1084" i="28" s="1"/>
  <c r="E1098" i="28"/>
  <c r="F1098" i="28" s="1"/>
  <c r="G1098" i="28" s="1"/>
  <c r="F1087" i="28"/>
  <c r="G1087" i="28" s="1"/>
  <c r="U104" i="15" l="1"/>
  <c r="K104" i="15"/>
  <c r="W104" i="15"/>
  <c r="X104" i="15" s="1"/>
  <c r="Q104" i="15"/>
  <c r="M104" i="15"/>
  <c r="Y104" i="15"/>
  <c r="O104" i="15"/>
  <c r="P104" i="15" s="1"/>
  <c r="I104" i="15"/>
  <c r="J104" i="15" s="1"/>
  <c r="S104" i="15"/>
  <c r="G104" i="15"/>
  <c r="Z104" i="15"/>
  <c r="N104" i="15"/>
  <c r="T104" i="15"/>
  <c r="V104" i="15"/>
  <c r="F104" i="15"/>
  <c r="R104" i="15"/>
  <c r="L104" i="15"/>
  <c r="H104" i="15"/>
  <c r="F1070" i="28"/>
  <c r="G1070" i="28" s="1"/>
  <c r="E1081" i="28"/>
  <c r="E1101" i="28"/>
  <c r="F1101" i="28" s="1"/>
  <c r="G1101" i="28" s="1"/>
  <c r="F1090" i="28"/>
  <c r="G1090" i="28" s="1"/>
  <c r="F1077" i="28"/>
  <c r="G1077" i="28" s="1"/>
  <c r="E1088" i="28"/>
  <c r="E1100" i="28"/>
  <c r="F1100" i="28" s="1"/>
  <c r="G1100" i="28" s="1"/>
  <c r="F1089" i="28"/>
  <c r="G1089" i="28" s="1"/>
  <c r="E1093" i="28"/>
  <c r="F1093" i="28" s="1"/>
  <c r="G1093" i="28" s="1"/>
  <c r="F1082" i="28"/>
  <c r="G1082" i="28" s="1"/>
  <c r="F1086" i="28"/>
  <c r="G1086" i="28" s="1"/>
  <c r="E1097" i="28"/>
  <c r="F1097" i="28" s="1"/>
  <c r="G1097" i="28" s="1"/>
  <c r="I105" i="15" l="1"/>
  <c r="O105" i="15"/>
  <c r="U105" i="15"/>
  <c r="V105" i="15" s="1"/>
  <c r="W105" i="15"/>
  <c r="Y105" i="15"/>
  <c r="Z105" i="15" s="1"/>
  <c r="S105" i="15"/>
  <c r="M105" i="15"/>
  <c r="G105" i="15"/>
  <c r="Q105" i="15"/>
  <c r="K105" i="15"/>
  <c r="L105" i="15" s="1"/>
  <c r="J105" i="15"/>
  <c r="X105" i="15"/>
  <c r="R105" i="15"/>
  <c r="T105" i="15"/>
  <c r="P105" i="15"/>
  <c r="H105" i="15"/>
  <c r="N105" i="15"/>
  <c r="F105" i="15"/>
  <c r="F1081" i="28"/>
  <c r="G1081" i="28" s="1"/>
  <c r="E1092" i="28"/>
  <c r="F1092" i="28" s="1"/>
  <c r="G1092" i="28" s="1"/>
  <c r="E1099" i="28"/>
  <c r="F1099" i="28" s="1"/>
  <c r="G1099" i="28" s="1"/>
  <c r="F1088" i="28"/>
  <c r="G1088" i="28" s="1"/>
  <c r="X32" i="15" l="1"/>
  <c r="Q33" i="15"/>
  <c r="S32" i="15"/>
  <c r="W34" i="15"/>
  <c r="F32" i="15"/>
  <c r="K34" i="15"/>
  <c r="P33" i="15"/>
  <c r="V32" i="15"/>
  <c r="T33" i="15"/>
  <c r="I33" i="15"/>
  <c r="R33" i="15"/>
  <c r="N32" i="15"/>
  <c r="Z32" i="15"/>
  <c r="W32" i="15"/>
  <c r="R32" i="15"/>
  <c r="M32" i="15"/>
  <c r="L34" i="15"/>
  <c r="G32" i="15"/>
  <c r="K33" i="15"/>
  <c r="H34" i="15"/>
  <c r="U33" i="15"/>
  <c r="Z33" i="15"/>
  <c r="W33" i="15"/>
  <c r="J32" i="15"/>
  <c r="X33" i="15"/>
  <c r="V34" i="15"/>
  <c r="N33" i="15"/>
  <c r="O33" i="15"/>
  <c r="Q34" i="15"/>
  <c r="U32" i="15"/>
  <c r="F33" i="15"/>
  <c r="M34" i="15"/>
  <c r="T34" i="15"/>
  <c r="X34" i="15"/>
  <c r="G33" i="15"/>
  <c r="I32" i="15"/>
  <c r="M33" i="15"/>
  <c r="O34" i="15"/>
  <c r="Y34" i="15"/>
  <c r="P32" i="15"/>
  <c r="T32" i="15"/>
  <c r="S34" i="15"/>
  <c r="R34" i="15"/>
  <c r="N34" i="15"/>
  <c r="I34" i="15"/>
  <c r="L33" i="15"/>
  <c r="Q32" i="15"/>
  <c r="O32" i="15"/>
  <c r="L32" i="15"/>
  <c r="U34" i="15"/>
  <c r="K32" i="15"/>
  <c r="H33" i="15"/>
  <c r="H32" i="15"/>
  <c r="J33" i="15"/>
  <c r="Y32" i="15"/>
  <c r="J34" i="15"/>
  <c r="F34" i="15"/>
  <c r="Y33" i="15"/>
  <c r="S33" i="15"/>
  <c r="G34" i="15"/>
  <c r="P34" i="15"/>
  <c r="Z34" i="15"/>
  <c r="V33" i="15"/>
  <c r="K107" i="15"/>
  <c r="Y107" i="15"/>
  <c r="M106" i="15"/>
  <c r="N106" i="15" s="1"/>
  <c r="S107" i="15"/>
  <c r="T107" i="15" s="1"/>
  <c r="U107" i="15"/>
  <c r="O106" i="15"/>
  <c r="I106" i="15"/>
  <c r="J106" i="15" s="1"/>
  <c r="Q106" i="15"/>
  <c r="I107" i="15"/>
  <c r="S106" i="15"/>
  <c r="U106" i="15"/>
  <c r="O107" i="15"/>
  <c r="P107" i="15" s="1"/>
  <c r="Q107" i="15"/>
  <c r="W106" i="15"/>
  <c r="M107" i="15"/>
  <c r="N107" i="15" s="1"/>
  <c r="Y106" i="15"/>
  <c r="Z106" i="15" s="1"/>
  <c r="G107" i="15"/>
  <c r="G106" i="15"/>
  <c r="W107" i="15"/>
  <c r="K106" i="15"/>
  <c r="V107" i="15"/>
  <c r="T106" i="15"/>
  <c r="V106" i="15"/>
  <c r="J107" i="15"/>
  <c r="F106" i="15"/>
  <c r="H106" i="15"/>
  <c r="L107" i="15"/>
  <c r="X106" i="15"/>
  <c r="R106" i="15"/>
  <c r="P106" i="15"/>
  <c r="F107" i="15"/>
  <c r="X107" i="15"/>
  <c r="Z107" i="15"/>
  <c r="H107" i="15"/>
  <c r="L106" i="15"/>
  <c r="R107" i="15"/>
  <c r="J29" i="28" l="1"/>
  <c r="J28" i="28"/>
  <c r="J25" i="28"/>
  <c r="J24" i="28"/>
  <c r="D21" i="28"/>
  <c r="C211" i="28"/>
  <c r="C210" i="28"/>
  <c r="W16" i="15" s="1"/>
  <c r="C209" i="28"/>
  <c r="C208" i="28"/>
  <c r="C207" i="28"/>
  <c r="C206" i="28"/>
  <c r="C205" i="28"/>
  <c r="C204" i="28"/>
  <c r="P204" i="28" s="1"/>
  <c r="C203" i="28"/>
  <c r="C202" i="28"/>
  <c r="W24" i="15" s="1"/>
  <c r="C201" i="28"/>
  <c r="P201" i="28" s="1"/>
  <c r="C200" i="28"/>
  <c r="C199" i="28"/>
  <c r="W19" i="15" s="1"/>
  <c r="C198" i="28"/>
  <c r="P198" i="28" s="1"/>
  <c r="C197" i="28"/>
  <c r="W13" i="15" s="1"/>
  <c r="C196" i="28"/>
  <c r="P196" i="28" s="1"/>
  <c r="C195" i="28"/>
  <c r="W11" i="15" s="1"/>
  <c r="C194" i="28"/>
  <c r="P194" i="28" s="1"/>
  <c r="C193" i="28"/>
  <c r="P193" i="28" s="1"/>
  <c r="C192" i="28"/>
  <c r="L31" i="15" s="1"/>
  <c r="C191" i="28"/>
  <c r="C190" i="28"/>
  <c r="L17" i="15" s="1"/>
  <c r="C189" i="28"/>
  <c r="C188" i="28"/>
  <c r="L29" i="15" s="1"/>
  <c r="C187" i="28"/>
  <c r="L14" i="15" s="1"/>
  <c r="C186" i="28"/>
  <c r="L15" i="15" s="1"/>
  <c r="C185" i="28"/>
  <c r="P185" i="28" s="1"/>
  <c r="C184" i="28"/>
  <c r="L22" i="15" s="1"/>
  <c r="C183" i="28"/>
  <c r="L24" i="15" s="1"/>
  <c r="C182" i="28"/>
  <c r="P182" i="28" s="1"/>
  <c r="C181" i="28"/>
  <c r="C180" i="28"/>
  <c r="C179" i="28"/>
  <c r="P179" i="28" s="1"/>
  <c r="C178" i="28"/>
  <c r="C177" i="28"/>
  <c r="P177" i="28" s="1"/>
  <c r="C176" i="28"/>
  <c r="L11" i="15" s="1"/>
  <c r="C175" i="28"/>
  <c r="P175" i="28" s="1"/>
  <c r="C174" i="28"/>
  <c r="P174" i="28" s="1"/>
  <c r="C173" i="28"/>
  <c r="P173" i="28" s="1"/>
  <c r="C172" i="28"/>
  <c r="C171" i="28"/>
  <c r="C170" i="28"/>
  <c r="C169" i="28"/>
  <c r="P169" i="28" s="1"/>
  <c r="C168" i="28"/>
  <c r="C167" i="28"/>
  <c r="C166" i="28"/>
  <c r="P166" i="28" s="1"/>
  <c r="C165" i="28"/>
  <c r="T22" i="15" s="1"/>
  <c r="C164" i="28"/>
  <c r="C163" i="28"/>
  <c r="P163" i="28" s="1"/>
  <c r="C162" i="28"/>
  <c r="P162" i="28" s="1"/>
  <c r="C161" i="28"/>
  <c r="T19" i="15" s="1"/>
  <c r="C160" i="28"/>
  <c r="P160" i="28" s="1"/>
  <c r="C159" i="28"/>
  <c r="T13" i="15" s="1"/>
  <c r="C158" i="28"/>
  <c r="P158" i="28" s="1"/>
  <c r="C157" i="28"/>
  <c r="T11" i="15" s="1"/>
  <c r="C156" i="28"/>
  <c r="P156" i="28" s="1"/>
  <c r="C155" i="28"/>
  <c r="P155" i="28" s="1"/>
  <c r="C154" i="28"/>
  <c r="P154" i="28" s="1"/>
  <c r="C153" i="28"/>
  <c r="C152" i="28"/>
  <c r="N17" i="15" s="1"/>
  <c r="C151" i="28"/>
  <c r="C150" i="28"/>
  <c r="P150" i="28" s="1"/>
  <c r="C149" i="28"/>
  <c r="N14" i="15" s="1"/>
  <c r="C148" i="28"/>
  <c r="C147" i="28"/>
  <c r="P147" i="28" s="1"/>
  <c r="C146" i="28"/>
  <c r="N22" i="15" s="1"/>
  <c r="C145" i="28"/>
  <c r="N24" i="15" s="1"/>
  <c r="C144" i="28"/>
  <c r="C143" i="28"/>
  <c r="P143" i="28" s="1"/>
  <c r="C142" i="28"/>
  <c r="N19" i="15" s="1"/>
  <c r="C141" i="28"/>
  <c r="P141" i="28" s="1"/>
  <c r="C140" i="28"/>
  <c r="N13" i="15" s="1"/>
  <c r="C139" i="28"/>
  <c r="P139" i="28" s="1"/>
  <c r="C138" i="28"/>
  <c r="N11" i="15" s="1"/>
  <c r="C137" i="28"/>
  <c r="N9" i="15" s="1"/>
  <c r="C136" i="28"/>
  <c r="P136" i="28" s="1"/>
  <c r="C135" i="28"/>
  <c r="R31" i="15" s="1"/>
  <c r="C134" i="28"/>
  <c r="R16" i="15" s="1"/>
  <c r="C133" i="28"/>
  <c r="C132" i="28"/>
  <c r="C131" i="28"/>
  <c r="R29" i="15" s="1"/>
  <c r="C130" i="28"/>
  <c r="R14" i="15" s="1"/>
  <c r="C129" i="28"/>
  <c r="R15" i="15" s="1"/>
  <c r="C128" i="28"/>
  <c r="R28" i="15" s="1"/>
  <c r="C127" i="28"/>
  <c r="R22" i="15" s="1"/>
  <c r="C126" i="28"/>
  <c r="C125" i="28"/>
  <c r="R21" i="15" s="1"/>
  <c r="C124" i="28"/>
  <c r="P124" i="28" s="1"/>
  <c r="C123" i="28"/>
  <c r="R19" i="15" s="1"/>
  <c r="C122" i="28"/>
  <c r="P122" i="28" s="1"/>
  <c r="C121" i="28"/>
  <c r="R13" i="15" s="1"/>
  <c r="C120" i="28"/>
  <c r="P120" i="28" s="1"/>
  <c r="C119" i="28"/>
  <c r="R11" i="15" s="1"/>
  <c r="C118" i="28"/>
  <c r="P118" i="28" s="1"/>
  <c r="C117" i="28"/>
  <c r="P117" i="28" s="1"/>
  <c r="C116" i="28"/>
  <c r="C115" i="28"/>
  <c r="V16" i="15" s="1"/>
  <c r="C114" i="28"/>
  <c r="V17" i="15" s="1"/>
  <c r="C113" i="28"/>
  <c r="C112" i="28"/>
  <c r="C111" i="28"/>
  <c r="C110" i="28"/>
  <c r="C109" i="28"/>
  <c r="C108" i="28"/>
  <c r="V22" i="15" s="1"/>
  <c r="C107" i="28"/>
  <c r="V24" i="15" s="1"/>
  <c r="C106" i="28"/>
  <c r="C105" i="28"/>
  <c r="P105" i="28" s="1"/>
  <c r="C104" i="28"/>
  <c r="C103" i="28"/>
  <c r="P103" i="28" s="1"/>
  <c r="C102" i="28"/>
  <c r="C101" i="28"/>
  <c r="P101" i="28" s="1"/>
  <c r="C100" i="28"/>
  <c r="V11" i="15" s="1"/>
  <c r="C99" i="28"/>
  <c r="P99" i="28" s="1"/>
  <c r="C98" i="28"/>
  <c r="P98" i="28" s="1"/>
  <c r="C97" i="28"/>
  <c r="Z31" i="15" s="1"/>
  <c r="C96" i="28"/>
  <c r="C95" i="28"/>
  <c r="Z17" i="15" s="1"/>
  <c r="C94" i="28"/>
  <c r="C93" i="28"/>
  <c r="Z29" i="15" s="1"/>
  <c r="C92" i="28"/>
  <c r="Z14" i="15" s="1"/>
  <c r="C91" i="28"/>
  <c r="Z15" i="15" s="1"/>
  <c r="C90" i="28"/>
  <c r="P90" i="28" s="1"/>
  <c r="C89" i="28"/>
  <c r="Z22" i="15" s="1"/>
  <c r="C88" i="28"/>
  <c r="C87" i="28"/>
  <c r="C86" i="28"/>
  <c r="P86" i="28" s="1"/>
  <c r="C85" i="28"/>
  <c r="Z19" i="15" s="1"/>
  <c r="C84" i="28"/>
  <c r="P84" i="28" s="1"/>
  <c r="C83" i="28"/>
  <c r="Z13" i="15" s="1"/>
  <c r="C82" i="28"/>
  <c r="P82" i="28" s="1"/>
  <c r="C81" i="28"/>
  <c r="Z11" i="15" s="1"/>
  <c r="C80" i="28"/>
  <c r="P80" i="28" s="1"/>
  <c r="C79" i="28"/>
  <c r="P79" i="28" s="1"/>
  <c r="C78" i="28"/>
  <c r="P31" i="15" s="1"/>
  <c r="C77" i="28"/>
  <c r="P16" i="15" s="1"/>
  <c r="C76" i="28"/>
  <c r="P17" i="15" s="1"/>
  <c r="C75" i="28"/>
  <c r="C74" i="28"/>
  <c r="P29" i="15" s="1"/>
  <c r="C73" i="28"/>
  <c r="P14" i="15" s="1"/>
  <c r="C72" i="28"/>
  <c r="P15" i="15" s="1"/>
  <c r="C71" i="28"/>
  <c r="P71" i="28" s="1"/>
  <c r="C70" i="28"/>
  <c r="P22" i="15" s="1"/>
  <c r="C69" i="28"/>
  <c r="P24" i="15" s="1"/>
  <c r="C68" i="28"/>
  <c r="P68" i="28" s="1"/>
  <c r="C67" i="28"/>
  <c r="P67" i="28" s="1"/>
  <c r="C66" i="28"/>
  <c r="P19" i="15" s="1"/>
  <c r="C65" i="28"/>
  <c r="P65" i="28" s="1"/>
  <c r="C64" i="28"/>
  <c r="C63" i="28"/>
  <c r="P63" i="28" s="1"/>
  <c r="C62" i="28"/>
  <c r="P11" i="15" s="1"/>
  <c r="C61" i="28"/>
  <c r="P61" i="28" s="1"/>
  <c r="C60" i="28"/>
  <c r="P60" i="28" s="1"/>
  <c r="C59" i="28"/>
  <c r="H31" i="15" s="1"/>
  <c r="C58" i="28"/>
  <c r="C57" i="28"/>
  <c r="P57" i="28" s="1"/>
  <c r="C56" i="28"/>
  <c r="C55" i="28"/>
  <c r="H29" i="15" s="1"/>
  <c r="C54" i="28"/>
  <c r="C53" i="28"/>
  <c r="H15" i="15" s="1"/>
  <c r="C52" i="28"/>
  <c r="H28" i="15" s="1"/>
  <c r="C51" i="28"/>
  <c r="P51" i="28" s="1"/>
  <c r="C50" i="28"/>
  <c r="C49" i="28"/>
  <c r="P49" i="28" s="1"/>
  <c r="C48" i="28"/>
  <c r="P48" i="28" s="1"/>
  <c r="C47" i="28"/>
  <c r="C46" i="28"/>
  <c r="P46" i="28" s="1"/>
  <c r="C45" i="28"/>
  <c r="P45" i="28" s="1"/>
  <c r="C44" i="28"/>
  <c r="H12" i="15" s="1"/>
  <c r="C43" i="28"/>
  <c r="P43" i="28" s="1"/>
  <c r="C42" i="28"/>
  <c r="P42" i="28" s="1"/>
  <c r="C41" i="28"/>
  <c r="C40" i="28"/>
  <c r="C39" i="28"/>
  <c r="C38" i="28"/>
  <c r="P38" i="28" s="1"/>
  <c r="C37" i="28"/>
  <c r="C36" i="28"/>
  <c r="C35" i="28"/>
  <c r="J14" i="15" s="1"/>
  <c r="C34" i="28"/>
  <c r="C33" i="28"/>
  <c r="P33" i="28" s="1"/>
  <c r="C32" i="28"/>
  <c r="C31" i="28"/>
  <c r="C30" i="28"/>
  <c r="C29" i="28"/>
  <c r="C28" i="28"/>
  <c r="P28" i="28" s="1"/>
  <c r="C27" i="28"/>
  <c r="P27" i="28" s="1"/>
  <c r="C26" i="28"/>
  <c r="P26" i="28" s="1"/>
  <c r="C25" i="28"/>
  <c r="P25" i="28" s="1"/>
  <c r="C24" i="28"/>
  <c r="C23" i="28"/>
  <c r="P23" i="28" s="1"/>
  <c r="C22" i="28"/>
  <c r="P22" i="28" s="1"/>
  <c r="J8" i="15" s="1"/>
  <c r="P20" i="28"/>
  <c r="P19" i="28"/>
  <c r="P18" i="28"/>
  <c r="V20" i="24" s="1"/>
  <c r="P14" i="28"/>
  <c r="P13" i="28"/>
  <c r="P10" i="28"/>
  <c r="P9" i="28"/>
  <c r="P8" i="28"/>
  <c r="P6" i="28"/>
  <c r="P5" i="28"/>
  <c r="V7" i="24" s="1"/>
  <c r="P4" i="28"/>
  <c r="V6" i="24" s="1"/>
  <c r="P3" i="28"/>
  <c r="V5" i="24" s="1"/>
  <c r="P29" i="28" l="1"/>
  <c r="X17" i="24" s="1"/>
  <c r="P41" i="28"/>
  <c r="R41" i="28" s="1"/>
  <c r="S41" i="28" s="1"/>
  <c r="P47" i="28"/>
  <c r="W16" i="24" s="1"/>
  <c r="P24" i="28"/>
  <c r="J11" i="15" s="1"/>
  <c r="Z16" i="15"/>
  <c r="H17" i="15"/>
  <c r="W14" i="24"/>
  <c r="Y24" i="15"/>
  <c r="Z24" i="15" s="1"/>
  <c r="V15" i="24"/>
  <c r="V8" i="24"/>
  <c r="V16" i="24"/>
  <c r="V25" i="24"/>
  <c r="H20" i="15"/>
  <c r="W17" i="24"/>
  <c r="G24" i="15"/>
  <c r="H24" i="15" s="1"/>
  <c r="H16" i="15"/>
  <c r="G16" i="15"/>
  <c r="K20" i="15"/>
  <c r="L20" i="15" s="1"/>
  <c r="L19" i="15"/>
  <c r="K19" i="15"/>
  <c r="X24" i="15"/>
  <c r="U15" i="15"/>
  <c r="V15" i="15" s="1"/>
  <c r="R24" i="15"/>
  <c r="Q24" i="15"/>
  <c r="K13" i="15"/>
  <c r="L13" i="15" s="1"/>
  <c r="J15" i="15"/>
  <c r="I15" i="15"/>
  <c r="I24" i="15"/>
  <c r="J24" i="15" s="1"/>
  <c r="G19" i="15"/>
  <c r="Z21" i="15"/>
  <c r="Y21" i="15"/>
  <c r="V14" i="15"/>
  <c r="U14" i="15"/>
  <c r="T15" i="15"/>
  <c r="S15" i="15"/>
  <c r="W29" i="15"/>
  <c r="X29" i="15" s="1"/>
  <c r="J21" i="15"/>
  <c r="I21" i="15"/>
  <c r="I29" i="15"/>
  <c r="J29" i="15" s="1"/>
  <c r="J31" i="15"/>
  <c r="I31" i="15"/>
  <c r="P13" i="15"/>
  <c r="O13" i="15"/>
  <c r="M21" i="15"/>
  <c r="N21" i="15" s="1"/>
  <c r="T24" i="15"/>
  <c r="S24" i="15"/>
  <c r="S14" i="15"/>
  <c r="T14" i="15" s="1"/>
  <c r="H18" i="15"/>
  <c r="X14" i="15"/>
  <c r="I16" i="15"/>
  <c r="J16" i="15" s="1"/>
  <c r="I20" i="15"/>
  <c r="Q17" i="15"/>
  <c r="R17" i="15" s="1"/>
  <c r="X17" i="15"/>
  <c r="W17" i="15"/>
  <c r="W25" i="15"/>
  <c r="X25" i="15" s="1"/>
  <c r="W11" i="24"/>
  <c r="G14" i="15"/>
  <c r="H14" i="15" s="1"/>
  <c r="Y16" i="15"/>
  <c r="X22" i="15"/>
  <c r="W22" i="15"/>
  <c r="I22" i="15"/>
  <c r="J22" i="15" s="1"/>
  <c r="I26" i="15"/>
  <c r="J26" i="15" s="1"/>
  <c r="M16" i="15"/>
  <c r="N16" i="15" s="1"/>
  <c r="S17" i="15"/>
  <c r="T17" i="15" s="1"/>
  <c r="W12" i="24"/>
  <c r="X7" i="24"/>
  <c r="X12" i="24"/>
  <c r="R30" i="28"/>
  <c r="S30" i="28" s="1"/>
  <c r="R34" i="28"/>
  <c r="S34" i="28" s="1"/>
  <c r="R46" i="28"/>
  <c r="S46" i="28" s="1"/>
  <c r="R50" i="28"/>
  <c r="S50" i="28" s="1"/>
  <c r="R54" i="28"/>
  <c r="S54" i="28" s="1"/>
  <c r="R58" i="28"/>
  <c r="S58" i="28" s="1"/>
  <c r="R62" i="28"/>
  <c r="S62" i="28" s="1"/>
  <c r="R66" i="28"/>
  <c r="S66" i="28" s="1"/>
  <c r="R70" i="28"/>
  <c r="S70" i="28" s="1"/>
  <c r="R74" i="28"/>
  <c r="S74" i="28" s="1"/>
  <c r="R78" i="28"/>
  <c r="S78" i="28" s="1"/>
  <c r="R110" i="28"/>
  <c r="S110" i="28" s="1"/>
  <c r="R114" i="28"/>
  <c r="S114" i="28" s="1"/>
  <c r="R126" i="28"/>
  <c r="S126" i="28" s="1"/>
  <c r="R130" i="28"/>
  <c r="S130" i="28" s="1"/>
  <c r="R134" i="28"/>
  <c r="S134" i="28" s="1"/>
  <c r="R138" i="28"/>
  <c r="S138" i="28" s="1"/>
  <c r="R142" i="28"/>
  <c r="S142" i="28" s="1"/>
  <c r="R146" i="28"/>
  <c r="S146" i="28" s="1"/>
  <c r="R178" i="28"/>
  <c r="S178" i="28" s="1"/>
  <c r="R186" i="28"/>
  <c r="S186" i="28" s="1"/>
  <c r="R190" i="28"/>
  <c r="S190" i="28" s="1"/>
  <c r="R31" i="28"/>
  <c r="S31" i="28" s="1"/>
  <c r="R35" i="28"/>
  <c r="S35" i="28" s="1"/>
  <c r="R39" i="28"/>
  <c r="S39" i="28" s="1"/>
  <c r="R55" i="28"/>
  <c r="S55" i="28" s="1"/>
  <c r="R59" i="28"/>
  <c r="S59" i="28" s="1"/>
  <c r="R83" i="28"/>
  <c r="S83" i="28" s="1"/>
  <c r="R87" i="28"/>
  <c r="S87" i="28" s="1"/>
  <c r="R91" i="28"/>
  <c r="S91" i="28" s="1"/>
  <c r="R95" i="28"/>
  <c r="S95" i="28" s="1"/>
  <c r="R107" i="28"/>
  <c r="S107" i="28" s="1"/>
  <c r="R111" i="28"/>
  <c r="S111" i="28" s="1"/>
  <c r="R115" i="28"/>
  <c r="S115" i="28" s="1"/>
  <c r="R119" i="28"/>
  <c r="S119" i="28" s="1"/>
  <c r="R123" i="28"/>
  <c r="S123" i="28" s="1"/>
  <c r="R127" i="28"/>
  <c r="S127" i="28" s="1"/>
  <c r="R131" i="28"/>
  <c r="S131" i="28" s="1"/>
  <c r="R135" i="28"/>
  <c r="S135" i="28" s="1"/>
  <c r="R159" i="28"/>
  <c r="S159" i="28" s="1"/>
  <c r="R167" i="28"/>
  <c r="S167" i="28" s="1"/>
  <c r="R171" i="28"/>
  <c r="S171" i="28" s="1"/>
  <c r="R183" i="28"/>
  <c r="S183" i="28" s="1"/>
  <c r="R187" i="28"/>
  <c r="S187" i="28" s="1"/>
  <c r="R191" i="28"/>
  <c r="S191" i="28" s="1"/>
  <c r="R24" i="28"/>
  <c r="S24" i="28" s="1"/>
  <c r="R32" i="28"/>
  <c r="S32" i="28" s="1"/>
  <c r="R36" i="28"/>
  <c r="S36" i="28" s="1"/>
  <c r="R40" i="28"/>
  <c r="S40" i="28" s="1"/>
  <c r="R48" i="28"/>
  <c r="S48" i="28" s="1"/>
  <c r="R52" i="28"/>
  <c r="S52" i="28" s="1"/>
  <c r="R64" i="28"/>
  <c r="S64" i="28" s="1"/>
  <c r="R72" i="28"/>
  <c r="S72" i="28" s="1"/>
  <c r="R76" i="28"/>
  <c r="S76" i="28" s="1"/>
  <c r="R88" i="28"/>
  <c r="S88" i="28" s="1"/>
  <c r="R92" i="28"/>
  <c r="S92" i="28" s="1"/>
  <c r="R96" i="28"/>
  <c r="S96" i="28" s="1"/>
  <c r="R100" i="28"/>
  <c r="S100" i="28" s="1"/>
  <c r="R104" i="28"/>
  <c r="S104" i="28" s="1"/>
  <c r="R108" i="28"/>
  <c r="S108" i="28" s="1"/>
  <c r="R128" i="28"/>
  <c r="S128" i="28" s="1"/>
  <c r="R140" i="28"/>
  <c r="S140" i="28" s="1"/>
  <c r="R144" i="28"/>
  <c r="S144" i="28" s="1"/>
  <c r="R148" i="28"/>
  <c r="S148" i="28" s="1"/>
  <c r="R152" i="28"/>
  <c r="S152" i="28" s="1"/>
  <c r="R164" i="28"/>
  <c r="S164" i="28" s="1"/>
  <c r="R168" i="28"/>
  <c r="S168" i="28" s="1"/>
  <c r="R172" i="28"/>
  <c r="S172" i="28" s="1"/>
  <c r="R176" i="28"/>
  <c r="S176" i="28" s="1"/>
  <c r="R180" i="28"/>
  <c r="S180" i="28" s="1"/>
  <c r="R184" i="28"/>
  <c r="S184" i="28" s="1"/>
  <c r="R188" i="28"/>
  <c r="S188" i="28" s="1"/>
  <c r="R192" i="28"/>
  <c r="S192" i="28" s="1"/>
  <c r="R29" i="28"/>
  <c r="S29" i="28" s="1"/>
  <c r="R53" i="28"/>
  <c r="S53" i="28" s="1"/>
  <c r="R57" i="28"/>
  <c r="S57" i="28" s="1"/>
  <c r="R69" i="28"/>
  <c r="S69" i="28" s="1"/>
  <c r="R73" i="28"/>
  <c r="S73" i="28" s="1"/>
  <c r="R77" i="28"/>
  <c r="S77" i="28" s="1"/>
  <c r="R81" i="28"/>
  <c r="S81" i="28" s="1"/>
  <c r="R85" i="28"/>
  <c r="S85" i="28" s="1"/>
  <c r="R89" i="28"/>
  <c r="S89" i="28" s="1"/>
  <c r="R93" i="28"/>
  <c r="S93" i="28" s="1"/>
  <c r="R97" i="28"/>
  <c r="S97" i="28" s="1"/>
  <c r="R121" i="28"/>
  <c r="S121" i="28" s="1"/>
  <c r="R125" i="28"/>
  <c r="S125" i="28" s="1"/>
  <c r="R129" i="28"/>
  <c r="S129" i="28" s="1"/>
  <c r="R133" i="28"/>
  <c r="S133" i="28" s="1"/>
  <c r="R137" i="28"/>
  <c r="S137" i="28" s="1"/>
  <c r="R145" i="28"/>
  <c r="S145" i="28" s="1"/>
  <c r="R149" i="28"/>
  <c r="S149" i="28" s="1"/>
  <c r="R153" i="28"/>
  <c r="S153" i="28" s="1"/>
  <c r="R157" i="28"/>
  <c r="S157" i="28" s="1"/>
  <c r="R161" i="28"/>
  <c r="S161" i="28" s="1"/>
  <c r="R165" i="28"/>
  <c r="S165" i="28" s="1"/>
  <c r="R181" i="28"/>
  <c r="S181" i="28" s="1"/>
  <c r="R206" i="28"/>
  <c r="S206" i="28" s="1"/>
  <c r="R203" i="28"/>
  <c r="S203" i="28" s="1"/>
  <c r="R202" i="28"/>
  <c r="S202" i="28" s="1"/>
  <c r="R210" i="28"/>
  <c r="S210" i="28" s="1"/>
  <c r="R195" i="28"/>
  <c r="S195" i="28" s="1"/>
  <c r="R199" i="28"/>
  <c r="S199" i="28" s="1"/>
  <c r="R207" i="28"/>
  <c r="S207" i="28" s="1"/>
  <c r="R197" i="28"/>
  <c r="S197" i="28" s="1"/>
  <c r="R205" i="28"/>
  <c r="S205" i="28" s="1"/>
  <c r="R209" i="28"/>
  <c r="S209" i="28" s="1"/>
  <c r="P21" i="28"/>
  <c r="R44" i="28"/>
  <c r="S44" i="28" s="1"/>
  <c r="R13" i="28"/>
  <c r="S13" i="28" s="1"/>
  <c r="R10" i="28"/>
  <c r="S10" i="28" s="1"/>
  <c r="R6" i="28"/>
  <c r="S6" i="28" s="1"/>
  <c r="R14" i="28"/>
  <c r="S14" i="28" s="1"/>
  <c r="R4" i="28"/>
  <c r="S4" i="28" s="1"/>
  <c r="R8" i="28"/>
  <c r="S8" i="28" s="1"/>
  <c r="R20" i="28"/>
  <c r="S20" i="28" s="1"/>
  <c r="R18" i="28"/>
  <c r="S18" i="28" s="1"/>
  <c r="R3" i="28"/>
  <c r="S3" i="28" s="1"/>
  <c r="R19" i="28"/>
  <c r="S19" i="28" s="1"/>
  <c r="R5" i="28"/>
  <c r="S5" i="28" s="1"/>
  <c r="R9" i="28"/>
  <c r="S9" i="28" s="1"/>
  <c r="AF9" i="24"/>
  <c r="S10" i="15"/>
  <c r="P16" i="28"/>
  <c r="W20" i="15"/>
  <c r="AE25" i="24"/>
  <c r="W10" i="15"/>
  <c r="X10" i="15" s="1"/>
  <c r="J13" i="15"/>
  <c r="X14" i="24"/>
  <c r="H9" i="15"/>
  <c r="Y10" i="15"/>
  <c r="AB15" i="24"/>
  <c r="AC9" i="24"/>
  <c r="AC17" i="24"/>
  <c r="AE6" i="24"/>
  <c r="P7" i="28"/>
  <c r="V9" i="24" s="1"/>
  <c r="P11" i="28"/>
  <c r="V13" i="24" s="1"/>
  <c r="P15" i="28"/>
  <c r="V17" i="24" s="1"/>
  <c r="J9" i="15"/>
  <c r="X15" i="24"/>
  <c r="W8" i="24"/>
  <c r="W19" i="24"/>
  <c r="AA9" i="24"/>
  <c r="AA17" i="24"/>
  <c r="O10" i="15"/>
  <c r="AD15" i="24"/>
  <c r="AC18" i="24"/>
  <c r="L9" i="15"/>
  <c r="P12" i="28"/>
  <c r="J19" i="15"/>
  <c r="AA18" i="24"/>
  <c r="AF15" i="24"/>
  <c r="V29" i="15"/>
  <c r="AB9" i="24"/>
  <c r="AB17" i="24"/>
  <c r="Q10" i="15"/>
  <c r="AC15" i="24"/>
  <c r="P17" i="28"/>
  <c r="J12" i="15"/>
  <c r="I10" i="15"/>
  <c r="W10" i="24"/>
  <c r="W18" i="24"/>
  <c r="AA15" i="24"/>
  <c r="AD9" i="24"/>
  <c r="AD17" i="24"/>
  <c r="Y9" i="24"/>
  <c r="AE5" i="24"/>
  <c r="H33" i="17"/>
  <c r="H42" i="17"/>
  <c r="H30" i="17"/>
  <c r="H29" i="17"/>
  <c r="H28" i="17"/>
  <c r="H27" i="17"/>
  <c r="H26" i="17"/>
  <c r="H37" i="17"/>
  <c r="R47" i="28" l="1"/>
  <c r="S47" i="28" s="1"/>
  <c r="H8" i="15"/>
  <c r="V18" i="24"/>
  <c r="V14" i="24"/>
  <c r="V21" i="24"/>
  <c r="V11" i="24"/>
  <c r="T29" i="15"/>
  <c r="AC26" i="24"/>
  <c r="L18" i="15"/>
  <c r="Y15" i="24"/>
  <c r="P28" i="15"/>
  <c r="AA25" i="24"/>
  <c r="K21" i="15"/>
  <c r="L21" i="15" s="1"/>
  <c r="Y18" i="24"/>
  <c r="Z28" i="15"/>
  <c r="AF25" i="24"/>
  <c r="M20" i="15"/>
  <c r="N20" i="15" s="1"/>
  <c r="Z17" i="24"/>
  <c r="T31" i="15"/>
  <c r="AC28" i="24"/>
  <c r="V19" i="24"/>
  <c r="V26" i="24"/>
  <c r="N12" i="15"/>
  <c r="Z9" i="24"/>
  <c r="V23" i="24"/>
  <c r="V28" i="24"/>
  <c r="L28" i="15"/>
  <c r="Y25" i="24"/>
  <c r="N18" i="15"/>
  <c r="Z15" i="24"/>
  <c r="J28" i="15"/>
  <c r="X25" i="24"/>
  <c r="N28" i="15"/>
  <c r="Z25" i="24"/>
  <c r="N31" i="15"/>
  <c r="Z28" i="24"/>
  <c r="Z20" i="15"/>
  <c r="AF17" i="24"/>
  <c r="AE8" i="24"/>
  <c r="AE9" i="24"/>
  <c r="V10" i="24"/>
  <c r="AE13" i="24"/>
  <c r="AE18" i="24"/>
  <c r="AE10" i="24"/>
  <c r="AE15" i="24"/>
  <c r="T28" i="15"/>
  <c r="AC25" i="24"/>
  <c r="N29" i="15"/>
  <c r="Z26" i="24"/>
  <c r="V12" i="24"/>
  <c r="H19" i="15"/>
  <c r="J20" i="15"/>
  <c r="K10" i="15"/>
  <c r="L10" i="15" s="1"/>
  <c r="V28" i="15"/>
  <c r="U28" i="15"/>
  <c r="G10" i="15"/>
  <c r="H10" i="15" s="1"/>
  <c r="M10" i="15"/>
  <c r="N10" i="15" s="1"/>
  <c r="U10" i="15"/>
  <c r="V10" i="15" s="1"/>
  <c r="U31" i="15"/>
  <c r="V31" i="15" s="1"/>
  <c r="U13" i="15"/>
  <c r="V13" i="15" s="1"/>
  <c r="AA13" i="24"/>
  <c r="P21" i="15"/>
  <c r="AA10" i="24"/>
  <c r="P18" i="15"/>
  <c r="R10" i="15"/>
  <c r="W15" i="24"/>
  <c r="H22" i="15"/>
  <c r="AC12" i="24"/>
  <c r="AB10" i="24"/>
  <c r="R18" i="15"/>
  <c r="Z10" i="15"/>
  <c r="I17" i="15"/>
  <c r="T10" i="15"/>
  <c r="AA6" i="24"/>
  <c r="P9" i="15"/>
  <c r="I23" i="15"/>
  <c r="J23" i="15" s="1"/>
  <c r="J10" i="15"/>
  <c r="AC10" i="24"/>
  <c r="T18" i="15"/>
  <c r="AB12" i="24"/>
  <c r="R20" i="15"/>
  <c r="AF10" i="24"/>
  <c r="Z18" i="15"/>
  <c r="AD10" i="24"/>
  <c r="V18" i="15"/>
  <c r="W7" i="24"/>
  <c r="H11" i="15"/>
  <c r="K16" i="15"/>
  <c r="L16" i="15" s="1"/>
  <c r="AC8" i="24"/>
  <c r="T12" i="15"/>
  <c r="AB6" i="24"/>
  <c r="R9" i="15"/>
  <c r="AD5" i="24"/>
  <c r="V8" i="15"/>
  <c r="L12" i="15"/>
  <c r="AB5" i="24"/>
  <c r="R8" i="15"/>
  <c r="AD8" i="24"/>
  <c r="W9" i="24"/>
  <c r="H13" i="15"/>
  <c r="Z5" i="24"/>
  <c r="N8" i="15"/>
  <c r="S21" i="15"/>
  <c r="T21" i="15" s="1"/>
  <c r="M15" i="15"/>
  <c r="N15" i="15" s="1"/>
  <c r="AA8" i="24"/>
  <c r="AA5" i="24"/>
  <c r="P8" i="15"/>
  <c r="AC5" i="24"/>
  <c r="T8" i="15"/>
  <c r="AA20" i="24"/>
  <c r="P10" i="15"/>
  <c r="AD12" i="24"/>
  <c r="W13" i="24"/>
  <c r="H21" i="15"/>
  <c r="AC6" i="24"/>
  <c r="T9" i="15"/>
  <c r="AB8" i="24"/>
  <c r="R12" i="15"/>
  <c r="AF6" i="24"/>
  <c r="Z9" i="15"/>
  <c r="AD6" i="24"/>
  <c r="V9" i="15"/>
  <c r="AA12" i="24"/>
  <c r="P20" i="15"/>
  <c r="I18" i="15"/>
  <c r="Y5" i="24"/>
  <c r="L8" i="15"/>
  <c r="AF8" i="24"/>
  <c r="Z12" i="15"/>
  <c r="W20" i="24"/>
  <c r="AF12" i="24"/>
  <c r="X21" i="15"/>
  <c r="S20" i="15"/>
  <c r="T20" i="15" s="1"/>
  <c r="W6" i="24"/>
  <c r="AF16" i="24"/>
  <c r="U21" i="15"/>
  <c r="V21" i="15" s="1"/>
  <c r="W12" i="15"/>
  <c r="X12" i="15" s="1"/>
  <c r="AC19" i="24"/>
  <c r="AA16" i="24"/>
  <c r="X20" i="15"/>
  <c r="AC16" i="24"/>
  <c r="O12" i="15"/>
  <c r="W18" i="15"/>
  <c r="X18" i="15" s="1"/>
  <c r="AC23" i="24"/>
  <c r="X26" i="15"/>
  <c r="X31" i="15"/>
  <c r="AE16" i="24"/>
  <c r="X28" i="15"/>
  <c r="U20" i="15"/>
  <c r="V20" i="15" s="1"/>
  <c r="W5" i="24"/>
  <c r="U26" i="15"/>
  <c r="V26" i="15" s="1"/>
  <c r="AC13" i="24"/>
  <c r="S16" i="15"/>
  <c r="T16" i="15" s="1"/>
  <c r="AF5" i="24"/>
  <c r="Y8" i="15"/>
  <c r="U12" i="15"/>
  <c r="V12" i="15" s="1"/>
  <c r="W23" i="15"/>
  <c r="U23" i="15"/>
  <c r="V23" i="15" s="1"/>
  <c r="U19" i="15"/>
  <c r="V19" i="15" s="1"/>
  <c r="X15" i="15"/>
  <c r="W15" i="15"/>
  <c r="Z8" i="24"/>
  <c r="Y20" i="24"/>
  <c r="Y10" i="24"/>
  <c r="Z20" i="24"/>
  <c r="Y13" i="24"/>
  <c r="Z10" i="24"/>
  <c r="Y6" i="24"/>
  <c r="Z16" i="24"/>
  <c r="Z23" i="24"/>
  <c r="Y16" i="24"/>
  <c r="Y8" i="24"/>
  <c r="Z12" i="24"/>
  <c r="Z19" i="24"/>
  <c r="X20" i="24"/>
  <c r="X9" i="24"/>
  <c r="X8" i="24"/>
  <c r="X21" i="24"/>
  <c r="X16" i="24"/>
  <c r="X11" i="24"/>
  <c r="X10" i="24"/>
  <c r="X5" i="24"/>
  <c r="X6" i="24"/>
  <c r="E105" i="15"/>
  <c r="E97" i="15"/>
  <c r="E102" i="15"/>
  <c r="E94" i="15"/>
  <c r="E86" i="15"/>
  <c r="E81" i="15"/>
  <c r="E74" i="15"/>
  <c r="E66" i="15"/>
  <c r="E61" i="15"/>
  <c r="E53" i="15"/>
  <c r="E47" i="15"/>
  <c r="E41" i="15"/>
  <c r="E35" i="15"/>
  <c r="E101" i="15"/>
  <c r="E93" i="15"/>
  <c r="E85" i="15"/>
  <c r="E79" i="15"/>
  <c r="E73" i="15"/>
  <c r="E65" i="15"/>
  <c r="E58" i="15"/>
  <c r="E51" i="15"/>
  <c r="E46" i="15"/>
  <c r="E39" i="15"/>
  <c r="E34" i="15"/>
  <c r="E106" i="15"/>
  <c r="E98" i="15"/>
  <c r="E90" i="15"/>
  <c r="E83" i="15"/>
  <c r="E78" i="15"/>
  <c r="E70" i="15"/>
  <c r="E63" i="15"/>
  <c r="E57" i="15"/>
  <c r="E50" i="15"/>
  <c r="E45" i="15"/>
  <c r="E38" i="15"/>
  <c r="E33" i="15"/>
  <c r="E89" i="15"/>
  <c r="E82" i="15"/>
  <c r="E77" i="15"/>
  <c r="E69" i="15"/>
  <c r="E62" i="15"/>
  <c r="E54" i="15"/>
  <c r="E49" i="15"/>
  <c r="E42" i="15"/>
  <c r="E37" i="15"/>
  <c r="E32" i="15"/>
  <c r="E48" i="15"/>
  <c r="E76" i="15"/>
  <c r="E92" i="15"/>
  <c r="E56" i="15"/>
  <c r="E67" i="15"/>
  <c r="E91" i="15"/>
  <c r="E107" i="15"/>
  <c r="E36" i="15"/>
  <c r="E52" i="15"/>
  <c r="E80" i="15"/>
  <c r="E96" i="15"/>
  <c r="E60" i="15"/>
  <c r="E43" i="15"/>
  <c r="E71" i="15"/>
  <c r="E95" i="15"/>
  <c r="E40" i="15"/>
  <c r="E64" i="15"/>
  <c r="E84" i="15"/>
  <c r="E100" i="15"/>
  <c r="E68" i="15"/>
  <c r="E55" i="15"/>
  <c r="E75" i="15"/>
  <c r="E99" i="15"/>
  <c r="E44" i="15"/>
  <c r="E72" i="15"/>
  <c r="E88" i="15"/>
  <c r="E104" i="15"/>
  <c r="E59" i="15"/>
  <c r="E87" i="15"/>
  <c r="E103" i="15"/>
  <c r="R139" i="28"/>
  <c r="S139" i="28" s="1"/>
  <c r="R51" i="28"/>
  <c r="S51" i="28" s="1"/>
  <c r="R141" i="28"/>
  <c r="S141" i="28" s="1"/>
  <c r="R49" i="28"/>
  <c r="S49" i="28" s="1"/>
  <c r="R156" i="28"/>
  <c r="S156" i="28" s="1"/>
  <c r="R80" i="28"/>
  <c r="S80" i="28" s="1"/>
  <c r="R175" i="28"/>
  <c r="S175" i="28" s="1"/>
  <c r="R147" i="28"/>
  <c r="S147" i="28" s="1"/>
  <c r="R99" i="28"/>
  <c r="S99" i="28" s="1"/>
  <c r="R67" i="28"/>
  <c r="S67" i="28" s="1"/>
  <c r="R27" i="28"/>
  <c r="S27" i="28" s="1"/>
  <c r="R75" i="28"/>
  <c r="S75" i="28" s="1"/>
  <c r="R185" i="28"/>
  <c r="S185" i="28" s="1"/>
  <c r="R105" i="28"/>
  <c r="S105" i="28" s="1"/>
  <c r="R33" i="28"/>
  <c r="S33" i="28" s="1"/>
  <c r="R120" i="28"/>
  <c r="S120" i="28" s="1"/>
  <c r="R28" i="28"/>
  <c r="S28" i="28" s="1"/>
  <c r="R174" i="28"/>
  <c r="S174" i="28" s="1"/>
  <c r="R154" i="28"/>
  <c r="S154" i="28" s="1"/>
  <c r="R106" i="28"/>
  <c r="S106" i="28" s="1"/>
  <c r="R86" i="28"/>
  <c r="S86" i="28" s="1"/>
  <c r="R22" i="28"/>
  <c r="S22" i="28" s="1"/>
  <c r="R82" i="28"/>
  <c r="S82" i="28" s="1"/>
  <c r="R177" i="28"/>
  <c r="S177" i="28" s="1"/>
  <c r="R101" i="28"/>
  <c r="S101" i="28" s="1"/>
  <c r="R45" i="28"/>
  <c r="S45" i="28" s="1"/>
  <c r="R25" i="28"/>
  <c r="S25" i="28" s="1"/>
  <c r="R116" i="28"/>
  <c r="S116" i="28" s="1"/>
  <c r="R68" i="28"/>
  <c r="S68" i="28" s="1"/>
  <c r="R163" i="28"/>
  <c r="S163" i="28" s="1"/>
  <c r="R143" i="28"/>
  <c r="S143" i="28" s="1"/>
  <c r="R63" i="28"/>
  <c r="S63" i="28" s="1"/>
  <c r="R23" i="28"/>
  <c r="S23" i="28" s="1"/>
  <c r="R166" i="28"/>
  <c r="S166" i="28" s="1"/>
  <c r="R150" i="28"/>
  <c r="S150" i="28" s="1"/>
  <c r="R102" i="28"/>
  <c r="S102" i="28" s="1"/>
  <c r="R21" i="28"/>
  <c r="S21" i="28" s="1"/>
  <c r="R173" i="28"/>
  <c r="S173" i="28" s="1"/>
  <c r="R113" i="28"/>
  <c r="S113" i="28" s="1"/>
  <c r="R65" i="28"/>
  <c r="S65" i="28" s="1"/>
  <c r="R132" i="28"/>
  <c r="S132" i="28" s="1"/>
  <c r="R112" i="28"/>
  <c r="S112" i="28" s="1"/>
  <c r="R162" i="28"/>
  <c r="S162" i="28" s="1"/>
  <c r="R122" i="28"/>
  <c r="S122" i="28" s="1"/>
  <c r="R94" i="28"/>
  <c r="S94" i="28" s="1"/>
  <c r="R38" i="28"/>
  <c r="S38" i="28" s="1"/>
  <c r="R170" i="28"/>
  <c r="S170" i="28" s="1"/>
  <c r="R189" i="28"/>
  <c r="S189" i="28" s="1"/>
  <c r="R169" i="28"/>
  <c r="S169" i="28" s="1"/>
  <c r="R109" i="28"/>
  <c r="S109" i="28" s="1"/>
  <c r="R61" i="28"/>
  <c r="S61" i="28" s="1"/>
  <c r="R37" i="28"/>
  <c r="S37" i="28" s="1"/>
  <c r="R160" i="28"/>
  <c r="S160" i="28" s="1"/>
  <c r="R124" i="28"/>
  <c r="S124" i="28" s="1"/>
  <c r="R84" i="28"/>
  <c r="S84" i="28" s="1"/>
  <c r="R56" i="28"/>
  <c r="S56" i="28" s="1"/>
  <c r="R179" i="28"/>
  <c r="S179" i="28" s="1"/>
  <c r="R151" i="28"/>
  <c r="S151" i="28" s="1"/>
  <c r="R103" i="28"/>
  <c r="S103" i="28" s="1"/>
  <c r="R71" i="28"/>
  <c r="S71" i="28" s="1"/>
  <c r="R182" i="28"/>
  <c r="S182" i="28" s="1"/>
  <c r="R158" i="28"/>
  <c r="S158" i="28" s="1"/>
  <c r="R118" i="28"/>
  <c r="S118" i="28" s="1"/>
  <c r="R90" i="28"/>
  <c r="S90" i="28" s="1"/>
  <c r="R26" i="28"/>
  <c r="S26" i="28" s="1"/>
  <c r="R208" i="28"/>
  <c r="S208" i="28" s="1"/>
  <c r="R193" i="28"/>
  <c r="S193" i="28" s="1"/>
  <c r="R211" i="28"/>
  <c r="S211" i="28" s="1"/>
  <c r="R204" i="28"/>
  <c r="S204" i="28" s="1"/>
  <c r="R196" i="28"/>
  <c r="S196" i="28" s="1"/>
  <c r="R201" i="28"/>
  <c r="S201" i="28" s="1"/>
  <c r="R198" i="28"/>
  <c r="S198" i="28" s="1"/>
  <c r="R194" i="28"/>
  <c r="S194" i="28" s="1"/>
  <c r="R200" i="28"/>
  <c r="S200" i="28" s="1"/>
  <c r="R42" i="28"/>
  <c r="S42" i="28" s="1"/>
  <c r="R43" i="28"/>
  <c r="S43" i="28" s="1"/>
  <c r="R17" i="28"/>
  <c r="S17" i="28" s="1"/>
  <c r="R60" i="28"/>
  <c r="S60" i="28" s="1"/>
  <c r="R155" i="28"/>
  <c r="S155" i="28" s="1"/>
  <c r="R11" i="28"/>
  <c r="S11" i="28" s="1"/>
  <c r="R98" i="28"/>
  <c r="S98" i="28" s="1"/>
  <c r="R7" i="28"/>
  <c r="S7" i="28" s="1"/>
  <c r="R15" i="28"/>
  <c r="S15" i="28" s="1"/>
  <c r="R117" i="28"/>
  <c r="S117" i="28" s="1"/>
  <c r="R136" i="28"/>
  <c r="S136" i="28" s="1"/>
  <c r="R12" i="28"/>
  <c r="S12" i="28" s="1"/>
  <c r="R79" i="28"/>
  <c r="S79" i="28" s="1"/>
  <c r="R16" i="28"/>
  <c r="S16" i="28" s="1"/>
  <c r="AH27" i="24"/>
  <c r="F27" i="24" s="1"/>
  <c r="AH24" i="24"/>
  <c r="F24" i="24" s="1"/>
  <c r="AH26" i="24" l="1"/>
  <c r="F26" i="24" s="1"/>
  <c r="G26" i="24" s="1"/>
  <c r="AH25" i="24"/>
  <c r="F25" i="24" s="1"/>
  <c r="G25" i="24" s="1"/>
  <c r="AH28" i="24"/>
  <c r="F28" i="24" s="1"/>
  <c r="G28" i="24" s="1"/>
  <c r="Z8" i="15"/>
  <c r="P12" i="15"/>
  <c r="J17" i="15"/>
  <c r="J18" i="15"/>
  <c r="G24" i="24"/>
  <c r="AH11" i="24"/>
  <c r="F11" i="24" s="1"/>
  <c r="G11" i="24" s="1"/>
  <c r="AH12" i="24"/>
  <c r="F12" i="24" s="1"/>
  <c r="AH17" i="24"/>
  <c r="AH22" i="24"/>
  <c r="AJ27" i="24"/>
  <c r="AJ24" i="24"/>
  <c r="G27" i="24"/>
  <c r="AH20" i="24"/>
  <c r="AH13" i="24"/>
  <c r="AH23" i="24"/>
  <c r="AH5" i="24"/>
  <c r="AH6" i="24"/>
  <c r="AH7" i="24"/>
  <c r="AH8" i="24"/>
  <c r="AH9" i="24"/>
  <c r="AH14" i="24"/>
  <c r="AH18" i="24"/>
  <c r="AH10" i="24"/>
  <c r="AH15" i="24"/>
  <c r="AH16" i="24"/>
  <c r="AH19" i="24"/>
  <c r="AH21" i="24"/>
  <c r="AI2" i="24"/>
  <c r="G49" i="17"/>
  <c r="F49" i="17"/>
  <c r="E121" i="15"/>
  <c r="E115" i="15"/>
  <c r="E131" i="15"/>
  <c r="E132" i="15"/>
  <c r="AJ25" i="24" l="1"/>
  <c r="AJ26" i="24"/>
  <c r="AJ28" i="24"/>
  <c r="F132" i="15"/>
  <c r="I24" i="24"/>
  <c r="F131" i="15"/>
  <c r="I23" i="24"/>
  <c r="F115" i="15"/>
  <c r="I7" i="24"/>
  <c r="F121" i="15"/>
  <c r="I13" i="24"/>
  <c r="AJ11" i="24"/>
  <c r="AJ12" i="24"/>
  <c r="E117" i="15"/>
  <c r="AJ10" i="24"/>
  <c r="F10" i="24"/>
  <c r="G10" i="24" s="1"/>
  <c r="AJ22" i="24"/>
  <c r="F22" i="24"/>
  <c r="G22" i="24" s="1"/>
  <c r="AJ19" i="24"/>
  <c r="F19" i="24"/>
  <c r="G19" i="24" s="1"/>
  <c r="AJ18" i="24"/>
  <c r="F18" i="24"/>
  <c r="G18" i="24" s="1"/>
  <c r="AJ7" i="24"/>
  <c r="F7" i="24"/>
  <c r="AJ13" i="24"/>
  <c r="F13" i="24"/>
  <c r="G13" i="24" s="1"/>
  <c r="AJ17" i="24"/>
  <c r="F17" i="24"/>
  <c r="G17" i="24" s="1"/>
  <c r="AJ8" i="24"/>
  <c r="F8" i="24"/>
  <c r="AJ16" i="24"/>
  <c r="F16" i="24"/>
  <c r="AJ14" i="24"/>
  <c r="F14" i="24"/>
  <c r="G14" i="24" s="1"/>
  <c r="AJ6" i="24"/>
  <c r="F6" i="24"/>
  <c r="AJ20" i="24"/>
  <c r="F20" i="24"/>
  <c r="G20" i="24" s="1"/>
  <c r="AJ21" i="24"/>
  <c r="F21" i="24"/>
  <c r="AJ23" i="24"/>
  <c r="F23" i="24"/>
  <c r="G23" i="24" s="1"/>
  <c r="AJ15" i="24"/>
  <c r="F15" i="24"/>
  <c r="G15" i="24" s="1"/>
  <c r="AJ9" i="24"/>
  <c r="F9" i="24"/>
  <c r="AJ5" i="24"/>
  <c r="F5" i="24"/>
  <c r="E130" i="15"/>
  <c r="E122" i="15"/>
  <c r="E128" i="15"/>
  <c r="E124" i="15"/>
  <c r="E125" i="15"/>
  <c r="E127" i="15"/>
  <c r="F130" i="15" l="1"/>
  <c r="I22" i="24"/>
  <c r="F125" i="15"/>
  <c r="I17" i="24"/>
  <c r="F124" i="15"/>
  <c r="I16" i="24"/>
  <c r="F128" i="15"/>
  <c r="I20" i="24"/>
  <c r="F127" i="15"/>
  <c r="I19" i="24"/>
  <c r="F122" i="15"/>
  <c r="I14" i="24"/>
  <c r="F117" i="15"/>
  <c r="I9" i="24"/>
  <c r="E116" i="15"/>
  <c r="E119" i="15"/>
  <c r="E113" i="15"/>
  <c r="E120" i="15"/>
  <c r="E118" i="15"/>
  <c r="H49" i="17"/>
  <c r="E40" i="25"/>
  <c r="E41" i="25"/>
  <c r="E42" i="25"/>
  <c r="E43" i="25"/>
  <c r="E44" i="25"/>
  <c r="J241" i="17"/>
  <c r="J240" i="17"/>
  <c r="J237" i="17"/>
  <c r="J236" i="17"/>
  <c r="J234" i="17"/>
  <c r="J233" i="17"/>
  <c r="J230" i="17"/>
  <c r="J226" i="17"/>
  <c r="J224" i="17"/>
  <c r="J219" i="17"/>
  <c r="J218" i="17"/>
  <c r="J215" i="17"/>
  <c r="J214" i="17"/>
  <c r="J212" i="17"/>
  <c r="J211" i="17"/>
  <c r="J208" i="17"/>
  <c r="J204" i="17"/>
  <c r="J202" i="17"/>
  <c r="J197" i="17"/>
  <c r="J196" i="17"/>
  <c r="J193" i="17"/>
  <c r="J192" i="17"/>
  <c r="J190" i="17"/>
  <c r="J189" i="17"/>
  <c r="J186" i="17"/>
  <c r="J182" i="17"/>
  <c r="J175" i="17"/>
  <c r="J174" i="17"/>
  <c r="J171" i="17"/>
  <c r="J170" i="17"/>
  <c r="J168" i="17"/>
  <c r="J167" i="17"/>
  <c r="J164" i="17"/>
  <c r="J160" i="17"/>
  <c r="J153" i="17"/>
  <c r="J152" i="17"/>
  <c r="J149" i="17"/>
  <c r="J148" i="17"/>
  <c r="J146" i="17"/>
  <c r="J145" i="17"/>
  <c r="J142" i="17"/>
  <c r="J138" i="17"/>
  <c r="J131" i="17"/>
  <c r="J130" i="17"/>
  <c r="J127" i="17"/>
  <c r="J126" i="17"/>
  <c r="J124" i="17"/>
  <c r="J123" i="17"/>
  <c r="J120" i="17"/>
  <c r="J116" i="17"/>
  <c r="J109" i="17"/>
  <c r="J108" i="17"/>
  <c r="J105" i="17"/>
  <c r="J104" i="17"/>
  <c r="J102" i="17"/>
  <c r="J101" i="17"/>
  <c r="J98" i="17"/>
  <c r="J94" i="17"/>
  <c r="J87" i="17"/>
  <c r="J86" i="17"/>
  <c r="J83" i="17"/>
  <c r="J82" i="17"/>
  <c r="J80" i="17"/>
  <c r="J79" i="17"/>
  <c r="J76" i="17"/>
  <c r="J72" i="17"/>
  <c r="J66" i="17"/>
  <c r="J65" i="17"/>
  <c r="J64" i="17"/>
  <c r="J63" i="17"/>
  <c r="J62" i="17"/>
  <c r="J61" i="17"/>
  <c r="J60" i="17"/>
  <c r="J59" i="17"/>
  <c r="J57" i="17"/>
  <c r="J44" i="17"/>
  <c r="J43" i="17"/>
  <c r="J41" i="17"/>
  <c r="J40" i="17"/>
  <c r="J39" i="17"/>
  <c r="J38" i="17"/>
  <c r="J36" i="17"/>
  <c r="J35" i="17"/>
  <c r="J34" i="17"/>
  <c r="J20" i="17"/>
  <c r="J19" i="17"/>
  <c r="J16" i="17"/>
  <c r="J15" i="17"/>
  <c r="J12" i="17"/>
  <c r="J11" i="17"/>
  <c r="H222" i="17"/>
  <c r="H225" i="17" s="1"/>
  <c r="H200" i="17"/>
  <c r="H203" i="17" s="1"/>
  <c r="H178" i="17"/>
  <c r="H181" i="17" s="1"/>
  <c r="G241" i="17"/>
  <c r="F241" i="17"/>
  <c r="E241" i="17"/>
  <c r="G240" i="17"/>
  <c r="F240" i="17"/>
  <c r="E240" i="17"/>
  <c r="G237" i="17"/>
  <c r="F237" i="17"/>
  <c r="E237" i="17"/>
  <c r="G236" i="17"/>
  <c r="F236" i="17"/>
  <c r="E236" i="17"/>
  <c r="G234" i="17"/>
  <c r="F234" i="17"/>
  <c r="E234" i="17"/>
  <c r="G233" i="17"/>
  <c r="F233" i="17"/>
  <c r="E233" i="17"/>
  <c r="G230" i="17"/>
  <c r="F230" i="17"/>
  <c r="E230" i="17"/>
  <c r="G226" i="17"/>
  <c r="F226" i="17"/>
  <c r="E226" i="17"/>
  <c r="G224" i="17"/>
  <c r="G219" i="17"/>
  <c r="F219" i="17"/>
  <c r="E219" i="17"/>
  <c r="G218" i="17"/>
  <c r="F218" i="17"/>
  <c r="E218" i="17"/>
  <c r="G215" i="17"/>
  <c r="F215" i="17"/>
  <c r="E215" i="17"/>
  <c r="G214" i="17"/>
  <c r="F214" i="17"/>
  <c r="E214" i="17"/>
  <c r="G212" i="17"/>
  <c r="F212" i="17"/>
  <c r="E212" i="17"/>
  <c r="G211" i="17"/>
  <c r="F211" i="17"/>
  <c r="E211" i="17"/>
  <c r="G208" i="17"/>
  <c r="F208" i="17"/>
  <c r="E208" i="17"/>
  <c r="G204" i="17"/>
  <c r="F204" i="17"/>
  <c r="E204" i="17"/>
  <c r="G202" i="17"/>
  <c r="H156" i="17"/>
  <c r="H242" i="17" s="1"/>
  <c r="J242" i="17" s="1"/>
  <c r="H134" i="17"/>
  <c r="H137" i="17" s="1"/>
  <c r="H112" i="17"/>
  <c r="H115" i="17" s="1"/>
  <c r="H90" i="17"/>
  <c r="H93" i="17" s="1"/>
  <c r="H68" i="17"/>
  <c r="H71" i="17" s="1"/>
  <c r="H46" i="17"/>
  <c r="H24" i="17"/>
  <c r="E30" i="23"/>
  <c r="D30" i="23"/>
  <c r="C30" i="23"/>
  <c r="H1" i="17"/>
  <c r="H21" i="17" s="1"/>
  <c r="H56" i="17" l="1"/>
  <c r="F113" i="15"/>
  <c r="I5" i="24"/>
  <c r="F119" i="15"/>
  <c r="I11" i="24"/>
  <c r="F120" i="15"/>
  <c r="I12" i="24"/>
  <c r="F118" i="15"/>
  <c r="I10" i="24"/>
  <c r="F116" i="15"/>
  <c r="I8" i="24"/>
  <c r="H3" i="17"/>
  <c r="H70" i="17" s="1"/>
  <c r="H8" i="17"/>
  <c r="H53" i="17" s="1"/>
  <c r="H14" i="17"/>
  <c r="H4" i="17"/>
  <c r="J4" i="17" s="1"/>
  <c r="H9" i="17"/>
  <c r="H54" i="17" s="1"/>
  <c r="H17" i="17"/>
  <c r="H5" i="17"/>
  <c r="H10" i="17"/>
  <c r="H55" i="17" s="1"/>
  <c r="H18" i="17"/>
  <c r="J18" i="17" s="1"/>
  <c r="H159" i="17"/>
  <c r="H6" i="17"/>
  <c r="H13" i="17"/>
  <c r="H58" i="17" s="1"/>
  <c r="H231" i="17"/>
  <c r="E231" i="17" s="1"/>
  <c r="H235" i="17"/>
  <c r="J235" i="17" s="1"/>
  <c r="H216" i="17"/>
  <c r="F216" i="17" s="1"/>
  <c r="H227" i="17"/>
  <c r="J227" i="17" s="1"/>
  <c r="H220" i="17"/>
  <c r="J220" i="17" s="1"/>
  <c r="G242" i="17"/>
  <c r="F242" i="17"/>
  <c r="H238" i="17"/>
  <c r="H217" i="17"/>
  <c r="J217" i="17" s="1"/>
  <c r="F224" i="17"/>
  <c r="E224" i="17"/>
  <c r="E242" i="17"/>
  <c r="E202" i="17"/>
  <c r="E216" i="17"/>
  <c r="F202" i="17"/>
  <c r="E220" i="17" l="1"/>
  <c r="G231" i="17"/>
  <c r="G220" i="17"/>
  <c r="F235" i="17"/>
  <c r="G238" i="17"/>
  <c r="J238" i="17"/>
  <c r="F227" i="17"/>
  <c r="G216" i="17"/>
  <c r="J216" i="17"/>
  <c r="F231" i="17"/>
  <c r="J231" i="17"/>
  <c r="E238" i="17"/>
  <c r="F220" i="17"/>
  <c r="G227" i="17"/>
  <c r="E227" i="17"/>
  <c r="G235" i="17"/>
  <c r="F238" i="17"/>
  <c r="E235" i="17"/>
  <c r="F217" i="17"/>
  <c r="G217" i="17"/>
  <c r="E217" i="17"/>
  <c r="J27" i="17" l="1"/>
  <c r="G6" i="24" s="1"/>
  <c r="H51" i="17" l="1"/>
  <c r="J51" i="17" l="1"/>
  <c r="H206" i="17"/>
  <c r="J206" i="17" l="1"/>
  <c r="F206" i="17"/>
  <c r="G206" i="17"/>
  <c r="E206" i="17"/>
  <c r="X23" i="15" l="1"/>
  <c r="H166" i="17" l="1"/>
  <c r="J166" i="17" s="1"/>
  <c r="E166" i="17" l="1"/>
  <c r="E114" i="15"/>
  <c r="G166" i="17"/>
  <c r="F166" i="17"/>
  <c r="F114" i="15" l="1"/>
  <c r="I6" i="24"/>
  <c r="X19" i="15"/>
  <c r="X16" i="15"/>
  <c r="X13" i="15"/>
  <c r="X11" i="15"/>
  <c r="X9" i="15"/>
  <c r="X8" i="15"/>
  <c r="H32" i="17" l="1"/>
  <c r="H31" i="17"/>
  <c r="J29" i="17" l="1"/>
  <c r="G8" i="24" s="1"/>
  <c r="J33" i="17"/>
  <c r="G12" i="24" s="1"/>
  <c r="J32" i="17"/>
  <c r="J31" i="17"/>
  <c r="J37" i="17"/>
  <c r="G16" i="24" s="1"/>
  <c r="J28" i="17"/>
  <c r="G7" i="24" s="1"/>
  <c r="C9" i="16"/>
  <c r="H50" i="17" l="1"/>
  <c r="J49" i="17" l="1"/>
  <c r="J50" i="17"/>
  <c r="H205" i="17"/>
  <c r="H52" i="17"/>
  <c r="H48" i="17"/>
  <c r="F26" i="17" l="1"/>
  <c r="J26" i="17"/>
  <c r="G5" i="24" s="1"/>
  <c r="J30" i="17"/>
  <c r="G9" i="24" s="1"/>
  <c r="J48" i="17"/>
  <c r="J42" i="17"/>
  <c r="G21" i="24" s="1"/>
  <c r="J52" i="17"/>
  <c r="H207" i="17"/>
  <c r="J205" i="17"/>
  <c r="F205" i="17"/>
  <c r="E205" i="17"/>
  <c r="G205" i="17"/>
  <c r="G26" i="17"/>
  <c r="E26" i="17"/>
  <c r="E207" i="17" l="1"/>
  <c r="G207" i="17"/>
  <c r="J207" i="17"/>
  <c r="F207" i="17"/>
  <c r="J203" i="17"/>
  <c r="G203" i="17"/>
  <c r="E203" i="17"/>
  <c r="F203" i="17"/>
  <c r="G12" i="17"/>
  <c r="F12" i="17" s="1"/>
  <c r="E12" i="17" s="1"/>
  <c r="G189" i="17"/>
  <c r="F189" i="17"/>
  <c r="E189" i="17"/>
  <c r="G186" i="17"/>
  <c r="F186" i="17"/>
  <c r="E186" i="17"/>
  <c r="G190" i="17"/>
  <c r="F190" i="17"/>
  <c r="E190" i="17"/>
  <c r="G197" i="17"/>
  <c r="F197" i="17"/>
  <c r="E197" i="17"/>
  <c r="G196" i="17"/>
  <c r="F196" i="17"/>
  <c r="E196" i="17"/>
  <c r="G193" i="17"/>
  <c r="F193" i="17"/>
  <c r="E193" i="17"/>
  <c r="G192" i="17"/>
  <c r="F192" i="17"/>
  <c r="E192" i="17"/>
  <c r="G182" i="17"/>
  <c r="F182" i="17"/>
  <c r="E182" i="17"/>
  <c r="G167" i="17"/>
  <c r="F167" i="17"/>
  <c r="E167" i="17"/>
  <c r="G164" i="17"/>
  <c r="F164" i="17"/>
  <c r="E164" i="17"/>
  <c r="G168" i="17"/>
  <c r="F168" i="17"/>
  <c r="E168" i="17"/>
  <c r="G175" i="17"/>
  <c r="F175" i="17"/>
  <c r="E175" i="17"/>
  <c r="G174" i="17"/>
  <c r="F174" i="17"/>
  <c r="E174" i="17"/>
  <c r="G171" i="17"/>
  <c r="F171" i="17"/>
  <c r="E171" i="17"/>
  <c r="G170" i="17"/>
  <c r="F170" i="17"/>
  <c r="E170" i="17"/>
  <c r="G160" i="17"/>
  <c r="F160" i="17"/>
  <c r="E160" i="17"/>
  <c r="G145" i="17"/>
  <c r="F145" i="17"/>
  <c r="E145" i="17"/>
  <c r="G142" i="17"/>
  <c r="F142" i="17"/>
  <c r="E142" i="17"/>
  <c r="G146" i="17"/>
  <c r="F146" i="17"/>
  <c r="E146" i="17"/>
  <c r="G153" i="17"/>
  <c r="F153" i="17"/>
  <c r="E153" i="17"/>
  <c r="G152" i="17"/>
  <c r="F152" i="17"/>
  <c r="E152" i="17"/>
  <c r="G149" i="17"/>
  <c r="F149" i="17"/>
  <c r="E149" i="17"/>
  <c r="G148" i="17"/>
  <c r="F148" i="17"/>
  <c r="E148" i="17"/>
  <c r="G138" i="17"/>
  <c r="F138" i="17"/>
  <c r="E138" i="17"/>
  <c r="G123" i="17"/>
  <c r="F123" i="17"/>
  <c r="E123" i="17"/>
  <c r="G120" i="17"/>
  <c r="F120" i="17"/>
  <c r="E120" i="17"/>
  <c r="G124" i="17"/>
  <c r="F124" i="17"/>
  <c r="E124" i="17"/>
  <c r="G131" i="17"/>
  <c r="F131" i="17"/>
  <c r="E131" i="17"/>
  <c r="G130" i="17"/>
  <c r="F130" i="17"/>
  <c r="E130" i="17"/>
  <c r="G127" i="17"/>
  <c r="F127" i="17"/>
  <c r="E127" i="17"/>
  <c r="G126" i="17"/>
  <c r="F126" i="17"/>
  <c r="E126" i="17"/>
  <c r="G116" i="17"/>
  <c r="F116" i="17"/>
  <c r="E116" i="17"/>
  <c r="G101" i="17"/>
  <c r="F101" i="17"/>
  <c r="E101" i="17"/>
  <c r="G98" i="17"/>
  <c r="F98" i="17"/>
  <c r="E98" i="17"/>
  <c r="G102" i="17"/>
  <c r="F102" i="17"/>
  <c r="E102" i="17"/>
  <c r="G109" i="17"/>
  <c r="F109" i="17"/>
  <c r="E109" i="17"/>
  <c r="G108" i="17"/>
  <c r="F108" i="17"/>
  <c r="E108" i="17"/>
  <c r="G105" i="17"/>
  <c r="F105" i="17"/>
  <c r="E105" i="17"/>
  <c r="G104" i="17"/>
  <c r="F104" i="17"/>
  <c r="E104" i="17"/>
  <c r="G94" i="17"/>
  <c r="F94" i="17"/>
  <c r="E94" i="17"/>
  <c r="G76" i="17"/>
  <c r="F76" i="17"/>
  <c r="E76" i="17"/>
  <c r="G80" i="17"/>
  <c r="F80" i="17"/>
  <c r="E80" i="17"/>
  <c r="G79" i="17"/>
  <c r="F79" i="17"/>
  <c r="E79" i="17"/>
  <c r="G87" i="17"/>
  <c r="F87" i="17"/>
  <c r="E87" i="17"/>
  <c r="G86" i="17"/>
  <c r="F86" i="17"/>
  <c r="E86" i="17"/>
  <c r="G83" i="17"/>
  <c r="F83" i="17"/>
  <c r="E83" i="17"/>
  <c r="G82" i="17"/>
  <c r="F82" i="17"/>
  <c r="E82" i="17"/>
  <c r="G72" i="17"/>
  <c r="F72" i="17"/>
  <c r="E72" i="17"/>
  <c r="G61" i="17"/>
  <c r="F61" i="17"/>
  <c r="E61" i="17"/>
  <c r="G60" i="17"/>
  <c r="F60" i="17"/>
  <c r="E60" i="17"/>
  <c r="G51" i="17"/>
  <c r="F51" i="17"/>
  <c r="E51" i="17"/>
  <c r="G57" i="17"/>
  <c r="F57" i="17"/>
  <c r="E57" i="17"/>
  <c r="G65" i="17"/>
  <c r="F65" i="17"/>
  <c r="E65" i="17"/>
  <c r="G64" i="17"/>
  <c r="F64" i="17"/>
  <c r="E64" i="17"/>
  <c r="G43" i="17"/>
  <c r="F43" i="17"/>
  <c r="E43" i="17"/>
  <c r="G42" i="17"/>
  <c r="F42" i="17"/>
  <c r="E42" i="17"/>
  <c r="G35" i="17"/>
  <c r="F35" i="17"/>
  <c r="E35" i="17"/>
  <c r="G39" i="17"/>
  <c r="F39" i="17"/>
  <c r="E39" i="17"/>
  <c r="G38" i="17"/>
  <c r="F38" i="17"/>
  <c r="E38" i="17"/>
  <c r="J9" i="17" l="1"/>
  <c r="J13" i="17"/>
  <c r="H7" i="17"/>
  <c r="J7" i="17" s="1"/>
  <c r="J21" i="17"/>
  <c r="J10" i="17"/>
  <c r="J6" i="17"/>
  <c r="J3" i="17"/>
  <c r="J14" i="17"/>
  <c r="J17" i="17"/>
  <c r="J8" i="17"/>
  <c r="E50" i="17" l="1"/>
  <c r="J5" i="17"/>
  <c r="G9" i="17"/>
  <c r="F9" i="17" s="1"/>
  <c r="E9" i="17" s="1"/>
  <c r="G50" i="17"/>
  <c r="F50" i="17"/>
  <c r="G13" i="17"/>
  <c r="F13" i="17" s="1"/>
  <c r="E13" i="17" s="1"/>
  <c r="H213" i="17" l="1"/>
  <c r="J213" i="17" s="1"/>
  <c r="J58" i="17"/>
  <c r="H209" i="17"/>
  <c r="J209" i="17" s="1"/>
  <c r="J54" i="17"/>
  <c r="G213" i="17"/>
  <c r="E58" i="17"/>
  <c r="G58" i="17"/>
  <c r="F58" i="17"/>
  <c r="G32" i="17"/>
  <c r="F32" i="17"/>
  <c r="E32" i="17"/>
  <c r="F54" i="17"/>
  <c r="E54" i="17"/>
  <c r="G54" i="17"/>
  <c r="H194" i="17"/>
  <c r="J194" i="17" s="1"/>
  <c r="H191" i="17"/>
  <c r="J191" i="17" s="1"/>
  <c r="H180" i="17"/>
  <c r="J180" i="17" s="1"/>
  <c r="J181" i="17"/>
  <c r="H183" i="17"/>
  <c r="J183" i="17" s="1"/>
  <c r="H195" i="17"/>
  <c r="J195" i="17" s="1"/>
  <c r="H188" i="17"/>
  <c r="J188" i="17" s="1"/>
  <c r="H187" i="17"/>
  <c r="J187" i="17" s="1"/>
  <c r="H198" i="17"/>
  <c r="J198" i="17" s="1"/>
  <c r="H184" i="17"/>
  <c r="J184" i="17" s="1"/>
  <c r="H172" i="17"/>
  <c r="J172" i="17" s="1"/>
  <c r="H169" i="17"/>
  <c r="J169" i="17" s="1"/>
  <c r="H158" i="17"/>
  <c r="J158" i="17" s="1"/>
  <c r="J159" i="17"/>
  <c r="H161" i="17"/>
  <c r="J161" i="17" s="1"/>
  <c r="H173" i="17"/>
  <c r="J173" i="17" s="1"/>
  <c r="H165" i="17"/>
  <c r="J165" i="17" s="1"/>
  <c r="H176" i="17"/>
  <c r="J176" i="17" s="1"/>
  <c r="H162" i="17"/>
  <c r="J162" i="17" s="1"/>
  <c r="H150" i="17"/>
  <c r="J150" i="17" s="1"/>
  <c r="H147" i="17"/>
  <c r="J147" i="17" s="1"/>
  <c r="H136" i="17"/>
  <c r="J136" i="17" s="1"/>
  <c r="J137" i="17"/>
  <c r="H139" i="17"/>
  <c r="J139" i="17" s="1"/>
  <c r="H151" i="17"/>
  <c r="J151" i="17" s="1"/>
  <c r="H144" i="17"/>
  <c r="J144" i="17" s="1"/>
  <c r="H143" i="17"/>
  <c r="J143" i="17" s="1"/>
  <c r="H154" i="17"/>
  <c r="J154" i="17" s="1"/>
  <c r="H140" i="17"/>
  <c r="J140" i="17" s="1"/>
  <c r="H128" i="17"/>
  <c r="J128" i="17" s="1"/>
  <c r="H125" i="17"/>
  <c r="J125" i="17" s="1"/>
  <c r="H114" i="17"/>
  <c r="J114" i="17" s="1"/>
  <c r="J115" i="17"/>
  <c r="H117" i="17"/>
  <c r="J117" i="17" s="1"/>
  <c r="H129" i="17"/>
  <c r="J129" i="17" s="1"/>
  <c r="H122" i="17"/>
  <c r="J122" i="17" s="1"/>
  <c r="H121" i="17"/>
  <c r="J121" i="17" s="1"/>
  <c r="H132" i="17"/>
  <c r="J132" i="17" s="1"/>
  <c r="H118" i="17"/>
  <c r="J118" i="17" s="1"/>
  <c r="H106" i="17"/>
  <c r="J106" i="17" s="1"/>
  <c r="H103" i="17"/>
  <c r="J103" i="17" s="1"/>
  <c r="H92" i="17"/>
  <c r="J92" i="17" s="1"/>
  <c r="J93" i="17"/>
  <c r="H95" i="17"/>
  <c r="J95" i="17" s="1"/>
  <c r="H107" i="17"/>
  <c r="J107" i="17" s="1"/>
  <c r="H100" i="17"/>
  <c r="J100" i="17" s="1"/>
  <c r="H99" i="17"/>
  <c r="J99" i="17" s="1"/>
  <c r="H110" i="17"/>
  <c r="J110" i="17" s="1"/>
  <c r="H96" i="17"/>
  <c r="J96" i="17" s="1"/>
  <c r="H84" i="17"/>
  <c r="H81" i="17"/>
  <c r="J81" i="17" s="1"/>
  <c r="J71" i="17"/>
  <c r="H73" i="17"/>
  <c r="H85" i="17"/>
  <c r="J85" i="17" s="1"/>
  <c r="H78" i="17"/>
  <c r="J78" i="17" s="1"/>
  <c r="H77" i="17"/>
  <c r="H88" i="17"/>
  <c r="J88" i="17" s="1"/>
  <c r="H74" i="17"/>
  <c r="E48" i="17"/>
  <c r="E49" i="17"/>
  <c r="J56" i="17"/>
  <c r="E52" i="17"/>
  <c r="E37" i="17"/>
  <c r="E28" i="17"/>
  <c r="E29" i="17"/>
  <c r="E33" i="17"/>
  <c r="E30" i="17"/>
  <c r="E6" i="17"/>
  <c r="F6" i="17"/>
  <c r="G6" i="17"/>
  <c r="E5" i="17"/>
  <c r="F5" i="17"/>
  <c r="G5" i="17"/>
  <c r="F213" i="17" l="1"/>
  <c r="G209" i="17"/>
  <c r="E213" i="17"/>
  <c r="E209" i="17"/>
  <c r="F209" i="17"/>
  <c r="J225" i="17"/>
  <c r="J70" i="17"/>
  <c r="H210" i="17"/>
  <c r="J210" i="17" s="1"/>
  <c r="J55" i="17"/>
  <c r="H229" i="17"/>
  <c r="J229" i="17" s="1"/>
  <c r="J74" i="17"/>
  <c r="H232" i="17"/>
  <c r="J232" i="17" s="1"/>
  <c r="J77" i="17"/>
  <c r="H228" i="17"/>
  <c r="J228" i="17" s="1"/>
  <c r="J73" i="17"/>
  <c r="H239" i="17"/>
  <c r="J239" i="17" s="1"/>
  <c r="J84" i="17"/>
  <c r="F229" i="17"/>
  <c r="F228" i="17"/>
  <c r="E188" i="17"/>
  <c r="G180" i="17"/>
  <c r="G184" i="17"/>
  <c r="G195" i="17"/>
  <c r="E191" i="17"/>
  <c r="E183" i="17"/>
  <c r="G194" i="17"/>
  <c r="E198" i="17"/>
  <c r="G187" i="17"/>
  <c r="E181" i="17"/>
  <c r="E161" i="17"/>
  <c r="F172" i="17"/>
  <c r="E176" i="17"/>
  <c r="E159" i="17"/>
  <c r="F158" i="17"/>
  <c r="F162" i="17"/>
  <c r="F165" i="17"/>
  <c r="F173" i="17"/>
  <c r="E169" i="17"/>
  <c r="E143" i="17"/>
  <c r="F137" i="17"/>
  <c r="F144" i="17"/>
  <c r="E136" i="17"/>
  <c r="E140" i="17"/>
  <c r="E151" i="17"/>
  <c r="G147" i="17"/>
  <c r="F154" i="17"/>
  <c r="F139" i="17"/>
  <c r="E150" i="17"/>
  <c r="F118" i="17"/>
  <c r="E132" i="17"/>
  <c r="E117" i="17"/>
  <c r="F128" i="17"/>
  <c r="F129" i="17"/>
  <c r="F121" i="17"/>
  <c r="E115" i="17"/>
  <c r="E125" i="17"/>
  <c r="E122" i="17"/>
  <c r="F114" i="17"/>
  <c r="E93" i="17"/>
  <c r="E100" i="17"/>
  <c r="E96" i="17"/>
  <c r="E107" i="17"/>
  <c r="E103" i="17"/>
  <c r="E99" i="17"/>
  <c r="E92" i="17"/>
  <c r="E110" i="17"/>
  <c r="E95" i="17"/>
  <c r="E106" i="17"/>
  <c r="G74" i="17"/>
  <c r="G85" i="17"/>
  <c r="E88" i="17"/>
  <c r="F73" i="17"/>
  <c r="G84" i="17"/>
  <c r="E81" i="17"/>
  <c r="G77" i="17"/>
  <c r="E71" i="17"/>
  <c r="E78" i="17"/>
  <c r="G70" i="17"/>
  <c r="E56" i="17"/>
  <c r="E27" i="17"/>
  <c r="E55" i="17"/>
  <c r="F85" i="17"/>
  <c r="G162" i="17"/>
  <c r="E162" i="17"/>
  <c r="G173" i="17"/>
  <c r="F195" i="17"/>
  <c r="E195" i="17"/>
  <c r="E194" i="17"/>
  <c r="F74" i="17"/>
  <c r="E118" i="17"/>
  <c r="E184" i="17"/>
  <c r="F184" i="17"/>
  <c r="E74" i="17"/>
  <c r="E129" i="17"/>
  <c r="E173" i="17"/>
  <c r="E85" i="17"/>
  <c r="F70" i="17"/>
  <c r="G158" i="17"/>
  <c r="E158" i="17"/>
  <c r="E172" i="17"/>
  <c r="G172" i="17"/>
  <c r="E128" i="17"/>
  <c r="E84" i="17"/>
  <c r="F84" i="17"/>
  <c r="F194" i="17"/>
  <c r="F180" i="17"/>
  <c r="E180" i="17"/>
  <c r="E70" i="17"/>
  <c r="E114" i="17"/>
  <c r="E121" i="17"/>
  <c r="F77" i="17"/>
  <c r="G165" i="17"/>
  <c r="E165" i="17"/>
  <c r="E77" i="17"/>
  <c r="F187" i="17"/>
  <c r="E187" i="17"/>
  <c r="G198" i="17"/>
  <c r="G188" i="17"/>
  <c r="G183" i="17"/>
  <c r="G181" i="17"/>
  <c r="G191" i="17"/>
  <c r="F198" i="17"/>
  <c r="F188" i="17"/>
  <c r="F183" i="17"/>
  <c r="F181" i="17"/>
  <c r="F191" i="17"/>
  <c r="G176" i="17"/>
  <c r="G161" i="17"/>
  <c r="G159" i="17"/>
  <c r="G169" i="17"/>
  <c r="F176" i="17"/>
  <c r="F161" i="17"/>
  <c r="F159" i="17"/>
  <c r="F169" i="17"/>
  <c r="G144" i="17"/>
  <c r="F147" i="17"/>
  <c r="E154" i="17"/>
  <c r="E144" i="17"/>
  <c r="E139" i="17"/>
  <c r="E137" i="17"/>
  <c r="E147" i="17"/>
  <c r="G139" i="17"/>
  <c r="G154" i="17"/>
  <c r="G143" i="17"/>
  <c r="G136" i="17"/>
  <c r="G150" i="17"/>
  <c r="G137" i="17"/>
  <c r="F140" i="17"/>
  <c r="F143" i="17"/>
  <c r="F151" i="17"/>
  <c r="F136" i="17"/>
  <c r="F150" i="17"/>
  <c r="G140" i="17"/>
  <c r="G151" i="17"/>
  <c r="G132" i="17"/>
  <c r="G122" i="17"/>
  <c r="G117" i="17"/>
  <c r="G115" i="17"/>
  <c r="G125" i="17"/>
  <c r="F132" i="17"/>
  <c r="F122" i="17"/>
  <c r="F117" i="17"/>
  <c r="F115" i="17"/>
  <c r="F125" i="17"/>
  <c r="G118" i="17"/>
  <c r="G121" i="17"/>
  <c r="G129" i="17"/>
  <c r="G114" i="17"/>
  <c r="G128" i="17"/>
  <c r="G110" i="17"/>
  <c r="G100" i="17"/>
  <c r="G95" i="17"/>
  <c r="G93" i="17"/>
  <c r="G103" i="17"/>
  <c r="F110" i="17"/>
  <c r="F100" i="17"/>
  <c r="F95" i="17"/>
  <c r="F93" i="17"/>
  <c r="F103" i="17"/>
  <c r="G96" i="17"/>
  <c r="G99" i="17"/>
  <c r="G107" i="17"/>
  <c r="G92" i="17"/>
  <c r="G106" i="17"/>
  <c r="F96" i="17"/>
  <c r="F99" i="17"/>
  <c r="F107" i="17"/>
  <c r="F92" i="17"/>
  <c r="F106" i="17"/>
  <c r="G88" i="17"/>
  <c r="G78" i="17"/>
  <c r="G73" i="17"/>
  <c r="G71" i="17"/>
  <c r="G81" i="17"/>
  <c r="F88" i="17"/>
  <c r="F78" i="17"/>
  <c r="F71" i="17"/>
  <c r="F81" i="17"/>
  <c r="E73" i="17"/>
  <c r="G56" i="17"/>
  <c r="F56" i="17"/>
  <c r="G48" i="17"/>
  <c r="G52" i="17"/>
  <c r="G55" i="17"/>
  <c r="F52" i="17"/>
  <c r="F55" i="17"/>
  <c r="F48" i="17"/>
  <c r="G37" i="17"/>
  <c r="G29" i="17"/>
  <c r="G27" i="17"/>
  <c r="F29" i="17"/>
  <c r="F27" i="17"/>
  <c r="F37" i="17"/>
  <c r="G30" i="17"/>
  <c r="G33" i="17"/>
  <c r="G28" i="17"/>
  <c r="F30" i="17"/>
  <c r="F33" i="17"/>
  <c r="F28" i="17"/>
  <c r="F232" i="17" l="1"/>
  <c r="E239" i="17"/>
  <c r="E232" i="17"/>
  <c r="E229" i="17"/>
  <c r="E225" i="17"/>
  <c r="G225" i="17"/>
  <c r="F225" i="17"/>
  <c r="F210" i="17"/>
  <c r="G210" i="17"/>
  <c r="G239" i="17"/>
  <c r="E210" i="17"/>
  <c r="F239" i="17"/>
  <c r="G232" i="17"/>
  <c r="E228" i="17"/>
  <c r="G229" i="17"/>
  <c r="G228" i="17"/>
  <c r="K6" i="17"/>
  <c r="E8" i="17" l="1"/>
  <c r="H97" i="17" l="1"/>
  <c r="J97" i="17" s="1"/>
  <c r="G97" i="17" l="1"/>
  <c r="E97" i="17"/>
  <c r="F97" i="17"/>
  <c r="H185" i="17"/>
  <c r="J185" i="17" s="1"/>
  <c r="H163" i="17"/>
  <c r="J163" i="17" s="1"/>
  <c r="H141" i="17"/>
  <c r="J141" i="17" s="1"/>
  <c r="H119" i="17"/>
  <c r="J119" i="17" s="1"/>
  <c r="H75" i="17"/>
  <c r="J75" i="17" s="1"/>
  <c r="J53" i="17"/>
  <c r="F185" i="17" l="1"/>
  <c r="F163" i="17"/>
  <c r="G141" i="17"/>
  <c r="F119" i="17"/>
  <c r="G75" i="17"/>
  <c r="G185" i="17"/>
  <c r="E141" i="17"/>
  <c r="F141" i="17"/>
  <c r="E75" i="17"/>
  <c r="E185" i="17"/>
  <c r="F75" i="17"/>
  <c r="G163" i="17"/>
  <c r="E163" i="17"/>
  <c r="G119" i="17"/>
  <c r="E119" i="17"/>
  <c r="E53" i="17"/>
  <c r="G53" i="17"/>
  <c r="F53" i="17"/>
  <c r="K10" i="17" l="1"/>
  <c r="K11" i="17"/>
  <c r="K5" i="17"/>
  <c r="K14" i="17"/>
  <c r="K17" i="17"/>
  <c r="K8" i="17"/>
  <c r="K18" i="17" l="1"/>
  <c r="F31" i="17"/>
  <c r="E31" i="17"/>
  <c r="G31" i="17"/>
  <c r="G17" i="17"/>
  <c r="G14" i="17"/>
  <c r="G3" i="17"/>
  <c r="G4" i="17"/>
  <c r="G18" i="17"/>
  <c r="G11" i="17"/>
  <c r="G10" i="17"/>
  <c r="G21" i="17"/>
  <c r="G15" i="17"/>
  <c r="G16" i="17"/>
  <c r="G7" i="17"/>
  <c r="G8" i="17"/>
  <c r="F17" i="17"/>
  <c r="F14" i="17"/>
  <c r="F3" i="17"/>
  <c r="F4" i="17"/>
  <c r="F18" i="17"/>
  <c r="F11" i="17"/>
  <c r="F10" i="17"/>
  <c r="F21" i="17"/>
  <c r="F15" i="17"/>
  <c r="F16" i="17"/>
  <c r="F7" i="17"/>
  <c r="F8" i="17"/>
  <c r="E17" i="17"/>
  <c r="E14" i="17"/>
  <c r="E3" i="17"/>
  <c r="E4" i="17"/>
  <c r="E18" i="17"/>
  <c r="E11" i="17"/>
  <c r="E10" i="17"/>
  <c r="E21" i="17"/>
  <c r="E15" i="17"/>
  <c r="E16" i="17"/>
  <c r="E7" i="17"/>
  <c r="AF3" i="26" l="1"/>
  <c r="E28" i="15" l="1"/>
  <c r="H25" i="24" s="1"/>
  <c r="E30" i="15"/>
  <c r="H27" i="24" s="1"/>
  <c r="F30" i="15"/>
  <c r="E31" i="15"/>
  <c r="E14" i="15"/>
  <c r="E8" i="15"/>
  <c r="E24" i="15"/>
  <c r="E13" i="15"/>
  <c r="E22" i="15"/>
  <c r="E29" i="15"/>
  <c r="E9" i="15"/>
  <c r="E26" i="15"/>
  <c r="E21" i="15"/>
  <c r="E18" i="15"/>
  <c r="E10" i="15"/>
  <c r="E17" i="15"/>
  <c r="E12" i="15"/>
  <c r="E27" i="15"/>
  <c r="E19" i="15"/>
  <c r="E23" i="15"/>
  <c r="E15" i="15"/>
  <c r="E25" i="15"/>
  <c r="E16" i="15"/>
  <c r="E20" i="15"/>
  <c r="E11" i="15"/>
  <c r="J27" i="24" l="1"/>
  <c r="N27" i="24" s="1"/>
  <c r="J25" i="24"/>
  <c r="N25" i="24" s="1"/>
  <c r="F28" i="15"/>
  <c r="F16" i="15"/>
  <c r="H13" i="24"/>
  <c r="F19" i="15"/>
  <c r="H16" i="24"/>
  <c r="F10" i="15"/>
  <c r="H7" i="24"/>
  <c r="F9" i="15"/>
  <c r="H6" i="24"/>
  <c r="F24" i="15"/>
  <c r="H21" i="24"/>
  <c r="F20" i="15"/>
  <c r="H17" i="24"/>
  <c r="F25" i="15"/>
  <c r="H22" i="24"/>
  <c r="F27" i="15"/>
  <c r="H24" i="24"/>
  <c r="F18" i="15"/>
  <c r="H15" i="24"/>
  <c r="F29" i="15"/>
  <c r="H26" i="24"/>
  <c r="F8" i="15"/>
  <c r="H5" i="24"/>
  <c r="F11" i="15"/>
  <c r="H8" i="24"/>
  <c r="F15" i="15"/>
  <c r="H12" i="24"/>
  <c r="F12" i="15"/>
  <c r="H9" i="24"/>
  <c r="F21" i="15"/>
  <c r="H18" i="24"/>
  <c r="F22" i="15"/>
  <c r="H19" i="24"/>
  <c r="F14" i="15"/>
  <c r="H11" i="24"/>
  <c r="F23" i="15"/>
  <c r="H20" i="24"/>
  <c r="F17" i="15"/>
  <c r="H14" i="24"/>
  <c r="F26" i="15"/>
  <c r="H23" i="24"/>
  <c r="F13" i="15"/>
  <c r="H10" i="24"/>
  <c r="F31" i="15"/>
  <c r="H28" i="24"/>
  <c r="J14" i="24" l="1"/>
  <c r="N14" i="24" s="1"/>
  <c r="J18" i="24"/>
  <c r="N18" i="24" s="1"/>
  <c r="J5" i="24"/>
  <c r="N5" i="24" s="1"/>
  <c r="J22" i="24"/>
  <c r="N22" i="24" s="1"/>
  <c r="J21" i="24"/>
  <c r="N21" i="24" s="1"/>
  <c r="J13" i="24"/>
  <c r="N13" i="24" s="1"/>
  <c r="J10" i="24"/>
  <c r="N10" i="24" s="1"/>
  <c r="J11" i="24"/>
  <c r="N11" i="24" s="1"/>
  <c r="J12" i="24"/>
  <c r="N12" i="24" s="1"/>
  <c r="J15" i="24"/>
  <c r="N15" i="24" s="1"/>
  <c r="J7" i="24"/>
  <c r="N7" i="24" s="1"/>
  <c r="J28" i="24"/>
  <c r="N28" i="24" s="1"/>
  <c r="J23" i="24"/>
  <c r="N23" i="24" s="1"/>
  <c r="J20" i="24"/>
  <c r="N20" i="24" s="1"/>
  <c r="J19" i="24"/>
  <c r="N19" i="24" s="1"/>
  <c r="J9" i="24"/>
  <c r="N9" i="24" s="1"/>
  <c r="J8" i="24"/>
  <c r="N8" i="24" s="1"/>
  <c r="J26" i="24"/>
  <c r="N26" i="24" s="1"/>
  <c r="J24" i="24"/>
  <c r="N24" i="24" s="1"/>
  <c r="J17" i="24"/>
  <c r="N17" i="24" s="1"/>
  <c r="J6" i="24"/>
  <c r="N6" i="24" s="1"/>
  <c r="J16" i="24"/>
  <c r="N16" i="24" s="1"/>
  <c r="N30"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tc={59AE2604-F20F-4E7C-AF15-965AEDC02372}</author>
    <author>tc={056EE73C-C64F-416D-B4B9-62B42E10C28A}</author>
    <author>tc={AAB67844-DBF3-4054-BA4B-3D16948C6603}</author>
    <author>tc={48419F2E-2C55-4400-9E77-0052C8C9B026}</author>
    <author>tc={E088028D-C161-43BD-B276-CCC79D9DD0BB}</author>
    <author>tc={4B9B77A5-C3DC-4C27-939B-E925A1C372DD}</author>
    <author>tc={0159730C-97CE-4840-9A07-C0CB2B87F517}</author>
    <author>tc={E061DEF0-C5B4-434E-BDEE-794ED9F407CC}</author>
    <author>tc={381A50BB-F332-4DDD-825A-1EFD0B074FCA}</author>
    <author>tc={126CB54C-46D4-4139-87A1-FE7A73D1DB9F}</author>
    <author>tc={2432A29A-700B-4269-82F8-27864DA12619}</author>
    <author>tc={619D7CF5-FFB1-493E-BC0D-38F3024E5F23}</author>
    <author>tc={4E995DB8-D8BC-4D02-8FC2-FC9BC1776CA3}</author>
    <author>tc={4DC1AFEE-7A8D-4552-A248-EFF4DEA48E7D}</author>
    <author>tc={B42EC38D-F862-43A7-8876-ADFC20CC1AB1}</author>
    <author>tc={B8B32281-5523-4DFF-9622-B69515B8240B}</author>
    <author>tc={C2FB71F9-3DB4-4741-BDD6-6E66739199B3}</author>
    <author>tc={8218B25D-9401-4784-B733-E7D78F0F16D2}</author>
    <author>tc={95F8E130-057C-4B47-89CF-2B46D23E6576}</author>
    <author>tc={2C678EA7-2B2F-4BE7-8942-6089B14B3B0C}</author>
    <author>tc={52622574-4A79-423B-8BC9-9E1069674D52}</author>
    <author>tc={EE3C24BA-C687-4DC5-B701-E29041C1A1E4}</author>
    <author>tc={CBFE2F17-3795-43E5-B682-72BD792C5FF8}</author>
    <author>tc={1DB85C5A-AACA-4B54-8158-A7B21212AD79}</author>
    <author>Vanderveer, Steven</author>
    <author>McLean, David</author>
    <author>tc={38454B8B-AF64-40E6-AFDB-442D1DD69B70}</author>
  </authors>
  <commentList>
    <comment ref="Q1" authorId="0" shapeId="0" xr:uid="{59AE2604-F20F-4E7C-AF15-965AEDC02372}">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Per meeting with @McLean, David, @Palmer, Presley, @Tokunaga, Pam @Salinas, Julie we will be adding a "Unit of Measure"column so that it clearly shows what the Unit Price ties to. Right now the formula identifies which Unit of Measure it ties to. And/or add a guide at the front to explain how the formulas are created.</t>
        </r>
      </text>
    </comment>
    <comment ref="W1" authorId="1" shapeId="0" xr:uid="{056EE73C-C64F-416D-B4B9-62B42E10C28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Per today's meeting with PResley and Julie S., we will put "cancelled" here if cancelled. And conditional formatting to change the color (grey out?) of the line. I will update the Order Summary formulas to ensure it doesn't sum the amount of the cancelled items. Steve are you comfortable with this?
Reply:
    @Vanderveer, Steven @McLean, David
Reply:
    @Buch, Erin @McLean, David
I'm good.</t>
        </r>
      </text>
    </comment>
    <comment ref="AG1" authorId="2" shapeId="0" xr:uid="{AAB67844-DBF3-4054-BA4B-3D16948C660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@Vanderveer, Steven Hi Steve, is it possible to change this to a percentage outstanding?</t>
        </r>
      </text>
    </comment>
    <comment ref="U23" authorId="3" shapeId="0" xr:uid="{48419F2E-2C55-4400-9E77-0052C8C9B02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 addition to the drums, this order also contains the same items as order 14893. Are these duplicates or did we actually order more of those bottles?</t>
        </r>
      </text>
    </comment>
    <comment ref="H38" authorId="4" shapeId="0" xr:uid="{E088028D-C161-43BD-B276-CCC79D9DD0B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43" authorId="5" shapeId="0" xr:uid="{4B9B77A5-C3DC-4C27-939B-E925A1C372D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55" authorId="6" shapeId="0" xr:uid="{0159730C-97CE-4840-9A07-C0CB2B87F51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56" authorId="7" shapeId="0" xr:uid="{E061DEF0-C5B4-434E-BDEE-794ED9F407C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57" authorId="8" shapeId="0" xr:uid="{381A50BB-F332-4DDD-825A-1EFD0B074F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67" authorId="9" shapeId="0" xr:uid="{126CB54C-46D4-4139-87A1-FE7A73D1DB9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69" authorId="10" shapeId="0" xr:uid="{2432A29A-700B-4269-82F8-27864DA126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70" authorId="11" shapeId="0" xr:uid="{619D7CF5-FFB1-493E-BC0D-38F3024E5F2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71" authorId="12" shapeId="0" xr:uid="{4E995DB8-D8BC-4D02-8FC2-FC9BC1776CA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72" authorId="13" shapeId="0" xr:uid="{4DC1AFEE-7A8D-4552-A248-EFF4DEA48E7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74" authorId="14" shapeId="0" xr:uid="{B42EC38D-F862-43A7-8876-ADFC20CC1AB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75" authorId="15" shapeId="0" xr:uid="{B8B32281-5523-4DFF-9622-B69515B8240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76" authorId="16" shapeId="0" xr:uid="{C2FB71F9-3DB4-4741-BDD6-6E66739199B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84" authorId="17" shapeId="0" xr:uid="{8218B25D-9401-4784-B733-E7D78F0F16D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85" authorId="18" shapeId="0" xr:uid="{95F8E130-057C-4B47-89CF-2B46D23E657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87" authorId="19" shapeId="0" xr:uid="{2C678EA7-2B2F-4BE7-8942-6089B14B3B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H88" authorId="20" shapeId="0" xr:uid="{52622574-4A79-423B-8BC9-9E1069674D5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assumes 100 pairs per box.</t>
        </r>
      </text>
    </comment>
    <comment ref="P107" authorId="21" shapeId="0" xr:uid="{EE3C24BA-C687-4DC5-B701-E29041C1A1E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Don't have unit price</t>
        </r>
      </text>
    </comment>
    <comment ref="V138" authorId="22" shapeId="0" xr:uid="{CBFE2F17-3795-43E5-B682-72BD792C5FF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4/16 - Supplier said the is no updated ETA. Changed from 4/19 to TBD</t>
        </r>
      </text>
    </comment>
    <comment ref="V163" authorId="23" shapeId="0" xr:uid="{1DB85C5A-AACA-4B54-8158-A7B21212AD7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4/20 - Supplier said they are receiving the order today or 4/21. So, I changed the delivery date from 4/13 to 4/24.</t>
        </r>
      </text>
    </comment>
    <comment ref="AJ178" authorId="24" shapeId="0" xr:uid="{BB92B9CB-F810-42AF-8D13-837981DB5833}">
      <text>
        <r>
          <rPr>
            <b/>
            <sz val="9"/>
            <color indexed="81"/>
            <rFont val="Tahoma"/>
            <family val="2"/>
          </rPr>
          <t>Vanderveer, Steven:</t>
        </r>
        <r>
          <rPr>
            <sz val="9"/>
            <color indexed="81"/>
            <rFont val="Tahoma"/>
            <family val="2"/>
          </rPr>
          <t xml:space="preserve">
Override to zero - Dashboard was showing negative on order.</t>
        </r>
      </text>
    </comment>
    <comment ref="V179" authorId="25" shapeId="0" xr:uid="{4F647D02-224C-4D03-A9D0-70EEFD0A8024}">
      <text>
        <r>
          <rPr>
            <b/>
            <sz val="9"/>
            <color indexed="81"/>
            <rFont val="Tahoma"/>
            <family val="2"/>
          </rPr>
          <t>McLean, David:</t>
        </r>
        <r>
          <rPr>
            <sz val="9"/>
            <color indexed="81"/>
            <rFont val="Tahoma"/>
            <family val="2"/>
          </rPr>
          <t xml:space="preserve">
4/27 - Recevied email from Lauren about 5/18 delivery</t>
        </r>
      </text>
    </comment>
    <comment ref="AJ203" authorId="24" shapeId="0" xr:uid="{ADBD0A31-C5AF-44BF-8150-87758665C420}">
      <text>
        <r>
          <rPr>
            <b/>
            <sz val="9"/>
            <color indexed="81"/>
            <rFont val="Tahoma"/>
            <family val="2"/>
          </rPr>
          <t>Vanderveer, Steven:</t>
        </r>
        <r>
          <rPr>
            <sz val="9"/>
            <color indexed="81"/>
            <rFont val="Tahoma"/>
            <family val="2"/>
          </rPr>
          <t xml:space="preserve">
Override to zero - Dashboard was showing negative on order.</t>
        </r>
      </text>
    </comment>
    <comment ref="I204" authorId="26" shapeId="0" xr:uid="{38454B8B-AF64-40E6-AFDB-442D1DD69B7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Actually a "Tote" - for the purposes of the spreadsheet formulas and consistency, the UOM is "Drum".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EBF36C-9D0F-43DA-BBAD-3C0EEAB36058}" keepAlive="1" name="Query - table-export" description="Connection to the 'table-export' query in the workbook." type="5" refreshedVersion="6" background="1" saveData="1">
    <dbPr connection="Provider=Microsoft.Mashup.OleDb.1;Data Source=$Workbook$;Location=table-export;Extended Properties=&quot;&quot;" command="SELECT * FROM [table-export]"/>
  </connection>
  <connection id="2" xr16:uid="{C8E9350D-80F2-4BB3-8495-EC570BACFE68}" keepAlive="1" name="Query - table-export (10)" description="Connection to the 'table-export (10)' query in the workbook." type="5" refreshedVersion="6" background="1" saveData="1">
    <dbPr connection="Provider=Microsoft.Mashup.OleDb.1;Data Source=$Workbook$;Location=&quot;table-export (10)&quot;;Extended Properties=&quot;&quot;" command="SELECT * FROM [table-export (10)]"/>
  </connection>
  <connection id="3" xr16:uid="{FF4E599A-6D62-4A63-ACCD-7596D37EB11E}" keepAlive="1" name="Query - table-export (11)" description="Connection to the 'table-export (11)' query in the workbook." type="5" refreshedVersion="6" background="1" saveData="1">
    <dbPr connection="Provider=Microsoft.Mashup.OleDb.1;Data Source=$Workbook$;Location=&quot;table-export (11)&quot;;Extended Properties=&quot;&quot;" command="SELECT * FROM [table-export (11)]"/>
  </connection>
  <connection id="4" xr16:uid="{2457A2C7-4003-4442-80C7-C411C072E8A0}" keepAlive="1" name="Query - table-export (12)" description="Connection to the 'table-export (12)' query in the workbook." type="5" refreshedVersion="6" background="1" saveData="1">
    <dbPr connection="Provider=Microsoft.Mashup.OleDb.1;Data Source=$Workbook$;Location=&quot;table-export (12)&quot;;Extended Properties=&quot;&quot;" command="SELECT * FROM [table-export (12)]"/>
  </connection>
  <connection id="5" xr16:uid="{D365F5A2-3F8B-443F-89A2-6B815F72A6A6}" keepAlive="1" name="Query - table-export (13)" description="Connection to the 'table-export (13)' query in the workbook." type="5" refreshedVersion="6" background="1" saveData="1">
    <dbPr connection="Provider=Microsoft.Mashup.OleDb.1;Data Source=$Workbook$;Location=&quot;table-export (13)&quot;;Extended Properties=&quot;&quot;" command="SELECT * FROM [table-export (13)]"/>
  </connection>
  <connection id="6" xr16:uid="{682B0B0B-B3CE-4A6C-B023-53CA033A69D3}" keepAlive="1" name="Query - table-export (14)" description="Connection to the 'table-export (14)' query in the workbook." type="5" refreshedVersion="6" background="1" saveData="1">
    <dbPr connection="Provider=Microsoft.Mashup.OleDb.1;Data Source=$Workbook$;Location=&quot;table-export (14)&quot;;Extended Properties=&quot;&quot;" command="SELECT * FROM [table-export (14)]"/>
  </connection>
  <connection id="7" xr16:uid="{00DC8D64-2AC4-44E5-8FD5-39A2E6442E8F}" keepAlive="1" name="Query - table-export (15)" description="Connection to the 'table-export (15)' query in the workbook." type="5" refreshedVersion="6" background="1" saveData="1">
    <dbPr connection="Provider=Microsoft.Mashup.OleDb.1;Data Source=$Workbook$;Location=&quot;table-export (15)&quot;;Extended Properties=&quot;&quot;" command="SELECT * FROM [table-export (15)]"/>
  </connection>
  <connection id="8" xr16:uid="{1C7652BB-ABF1-4281-AB7C-E50FCB320F84}" keepAlive="1" name="Query - table-export (16)" description="Connection to the 'table-export (16)' query in the workbook." type="5" refreshedVersion="6" background="1" saveData="1">
    <dbPr connection="Provider=Microsoft.Mashup.OleDb.1;Data Source=$Workbook$;Location=&quot;table-export (16)&quot;;Extended Properties=&quot;&quot;" command="SELECT * FROM [table-export (16)]"/>
  </connection>
  <connection id="9" xr16:uid="{38280CD7-DFE7-45CA-9BE2-D315D0D0C422}" keepAlive="1" name="Query - table-export (2)" description="Connection to the 'table-export (2)' query in the workbook." type="5" refreshedVersion="6" background="1" saveData="1">
    <dbPr connection="Provider=Microsoft.Mashup.OleDb.1;Data Source=$Workbook$;Location=&quot;table-export (2)&quot;;Extended Properties=&quot;&quot;" command="SELECT * FROM [table-export (2)]"/>
  </connection>
  <connection id="10" xr16:uid="{93D61D23-AB7C-4B07-B579-99D4DB698DB7}" keepAlive="1" name="Query - table-export (3)" description="Connection to the 'table-export (3)' query in the workbook." type="5" refreshedVersion="6" background="1" saveData="1">
    <dbPr connection="Provider=Microsoft.Mashup.OleDb.1;Data Source=$Workbook$;Location=&quot;table-export (3)&quot;;Extended Properties=&quot;&quot;" command="SELECT * FROM [table-export (3)]"/>
  </connection>
  <connection id="11" xr16:uid="{2854A197-88AD-4891-9955-0771884FCD0E}" keepAlive="1" name="Query - table-export (4)" description="Connection to the 'table-export (4)' query in the workbook." type="5" refreshedVersion="6" background="1" saveData="1">
    <dbPr connection="Provider=Microsoft.Mashup.OleDb.1;Data Source=$Workbook$;Location=&quot;table-export (4)&quot;;Extended Properties=&quot;&quot;" command="SELECT * FROM [table-export (4)]"/>
  </connection>
  <connection id="12" xr16:uid="{7D49E93D-F4EA-4768-A58D-F264A9DEB2D5}" keepAlive="1" name="Query - table-export (5)" description="Connection to the 'table-export (5)' query in the workbook." type="5" refreshedVersion="6" background="1" saveData="1">
    <dbPr connection="Provider=Microsoft.Mashup.OleDb.1;Data Source=$Workbook$;Location=&quot;table-export (5)&quot;;Extended Properties=&quot;&quot;" command="SELECT * FROM [table-export (5)]"/>
  </connection>
  <connection id="13" xr16:uid="{A71F69FA-DF51-4388-A40E-9F88BDFB9E5F}" keepAlive="1" name="Query - table-export (6)" description="Connection to the 'table-export (6)' query in the workbook." type="5" refreshedVersion="6" background="1" saveData="1">
    <dbPr connection="Provider=Microsoft.Mashup.OleDb.1;Data Source=$Workbook$;Location=&quot;table-export (6)&quot;;Extended Properties=&quot;&quot;" command="SELECT * FROM [table-export (6)]"/>
  </connection>
  <connection id="14" xr16:uid="{898B93D6-BE1D-4442-AF01-B1869DB31082}" keepAlive="1" name="Query - table-export (7)" description="Connection to the 'table-export (7)' query in the workbook." type="5" refreshedVersion="6" background="1" saveData="1">
    <dbPr connection="Provider=Microsoft.Mashup.OleDb.1;Data Source=$Workbook$;Location=&quot;table-export (7)&quot;;Extended Properties=&quot;&quot;" command="SELECT * FROM [table-export (7)]"/>
  </connection>
  <connection id="15" xr16:uid="{2EE5DF25-7C97-46FB-807A-EE6B810D83ED}" keepAlive="1" name="Query - table-export (8)" description="Connection to the 'table-export (8)' query in the workbook." type="5" refreshedVersion="6" background="1" saveData="1">
    <dbPr connection="Provider=Microsoft.Mashup.OleDb.1;Data Source=$Workbook$;Location=&quot;table-export (8)&quot;;Extended Properties=&quot;&quot;" command="SELECT * FROM [table-export (8)]"/>
  </connection>
  <connection id="16" xr16:uid="{F62B6AF3-6354-47F0-B7BF-75EAF370F690}" keepAlive="1" name="Query - table-export (9)" description="Connection to the 'table-export (9)' query in the workbook." type="5" refreshedVersion="6" background="1" saveData="1">
    <dbPr connection="Provider=Microsoft.Mashup.OleDb.1;Data Source=$Workbook$;Location=&quot;table-export (9)&quot;;Extended Properties=&quot;&quot;" command="SELECT * FROM [table-export (9)]"/>
  </connection>
</connections>
</file>

<file path=xl/sharedStrings.xml><?xml version="1.0" encoding="utf-8"?>
<sst xmlns="http://schemas.openxmlformats.org/spreadsheetml/2006/main" count="17934" uniqueCount="4413">
  <si>
    <t>Instructions Updated 08/13/2020 (Vanderveer)</t>
  </si>
  <si>
    <t>This dashboard is capable of handling up to 100 different items. Many rows on the Dashboard tab are hidden.</t>
  </si>
  <si>
    <t>Dashboard Update Process</t>
  </si>
  <si>
    <t>1.  Department on-hand quantities arrive from Philip Saunders in the afternoon/evening.</t>
  </si>
  <si>
    <t xml:space="preserve">  a. Go to the DATA_Depts tab of the dashboard file.
 b. Verify that the data table is sorted by Old Line Number (colum A - Philip provides his the data in the older line number order).
 c. Copy cells A5 through O104 past the VALUES to Cell Q5 (will paste to Q5:AD104).
 d. Copy cells E5 through N23 of Philip's sheet and paste the VALUES to Cell F5 (will paste to A5:O23) 
 e. Look for anomalies in the delta table at the far right (starting in column AG) and resolve any anomolies.
 f. The on-hand quantities of the departments (except the centralized warehouse) will update.</t>
  </si>
  <si>
    <t>2. EOC Item List arrives from Julie Salinas daily</t>
  </si>
  <si>
    <t xml:space="preserve"> a. Central Orders tab: Copy all lines that contain data and paste at cell A3 of the DATA_Orders tab.
 b. Go to the Pivot_OutstandingOrders tab.
 c. On the Pivot_OutstandingOrders tab, copy cells A3:D33 and Paste the VALUES at cells H3 (column M will then show zeros).
 d. Click in cell A3, right-click, then refresh (column M will then show the differences between the two days).
 e. The On Order - FAS-Centralized Warehouse section of the dashboard will update.</t>
  </si>
  <si>
    <t>3. Centralized Warehouse on-hand quantities arrive from Mike Wong in the morning.</t>
  </si>
  <si>
    <t xml:space="preserve"> a. In the file Mike sends, copy then entire sheet.
 b. Open a new worksheet and paste the VALUES of the entire sheet.
 c. Verify that the Column J contains the burn rate reported by the Centralized Warehouse (even though burn rates from this report are not included in any of the dashboard calculations). Periodically, the report from Mike Wong contains an extra blank column causing the burn rates to appear in column K.  If this happens, delete one of the columns (such as column H) that is blank.
 d. delete G13 to J14 and move cells up.
 e. Select the spreadsheet and turn on filtering for the rown containing the titles (row 12).
 f. Sort based on column A (A12)
 g. Copy all the cells that contain SKUs and SKU data (cell a14:J103).
 h. Go to the FAS_Centralized tab and past the VALUES at cell A2.
 i. The FAS-Centralized Warehouse section of the dashboard will update.</t>
  </si>
  <si>
    <t>4. Post/Send the dashboard</t>
  </si>
  <si>
    <t xml:space="preserve"> - PDF of the dashboard is posted in the Critical Supply Dashboard folder on the FAS SharePoint site, and e-mail containing the link is sent to FAS_Logistics (with bcc to Julie Salinas, Erin Buch, David McLean, and Mike Wong).
 - PDF of the dashboard is sent to Philips Saunders (cc to Julie Matsumoto) each morning before the 8:00 DOC call.
 - PDF of the dashboard is posted each morning in the Critical Supply Dashboard folder on the OEM SharePoint site with date before it (mm-dd-yyyy Critical Supply Dashboard.pdf)
 - PDF of the dashboard is posted as Critical Supply Dashboard.pdf
 - Send the link daily to FAS_Logistics with bcc to Julie Salinas, David McLean, and Krista Diaz.
 - Send a copy of the PDF to Laurel on Tuesday afternoons or Wednesday morning by 8:00.</t>
  </si>
  <si>
    <t>FAS CRITICAL SUPPLY PROCUREMENT AND WAREHOUSING DASHBOARD</t>
  </si>
  <si>
    <t>The following provides a snapshot of the City's current consolidated warehouse capacity and status update on the 90-day supply need of PPE.</t>
  </si>
  <si>
    <t>Reported as of: 8/17/2020</t>
  </si>
  <si>
    <t>Status of Current Supply</t>
  </si>
  <si>
    <t>NR = Not Requested (Includes Qty if in Stock)</t>
  </si>
  <si>
    <t>Days of Supply</t>
  </si>
  <si>
    <t>5 days or less</t>
  </si>
  <si>
    <t>5-14 days</t>
  </si>
  <si>
    <t>14-60 days</t>
  </si>
  <si>
    <t>60-90+ days</t>
  </si>
  <si>
    <t>COVID-19 Item List</t>
  </si>
  <si>
    <t>Unit</t>
  </si>
  <si>
    <t>FAS-Centralized</t>
  </si>
  <si>
    <t>SFD</t>
  </si>
  <si>
    <t>SPD</t>
  </si>
  <si>
    <t>Parks</t>
  </si>
  <si>
    <t>SPU</t>
  </si>
  <si>
    <t>SDOT</t>
  </si>
  <si>
    <t>SDCI</t>
  </si>
  <si>
    <t>Libraries</t>
  </si>
  <si>
    <t>SeaIT</t>
  </si>
  <si>
    <t>Seattle Ctr</t>
  </si>
  <si>
    <t>SCL</t>
  </si>
  <si>
    <t>(qty)</t>
  </si>
  <si>
    <t>(DOS)</t>
  </si>
  <si>
    <t>PPE</t>
  </si>
  <si>
    <t>Disinfecting</t>
  </si>
  <si>
    <t>Other Supplies</t>
  </si>
  <si>
    <t>On Order - FAS-Centralized Warehouse</t>
  </si>
  <si>
    <t>WebEOC PPE Requests</t>
  </si>
  <si>
    <t>Line</t>
  </si>
  <si>
    <t>On Order</t>
  </si>
  <si>
    <t>Delivery ETA</t>
  </si>
  <si>
    <t>Total per Day</t>
  </si>
  <si>
    <t>Total Employees</t>
  </si>
  <si>
    <t>Units Needed to Reach Target Date</t>
  </si>
  <si>
    <t>Start Date:</t>
  </si>
  <si>
    <t>Critical Supply Items - Total Units Needed Through the Projected Date</t>
  </si>
  <si>
    <t>Units Needed per Day</t>
  </si>
  <si>
    <t>Employees Supported</t>
  </si>
  <si>
    <t>Target Date</t>
  </si>
  <si>
    <t>Number of Days:</t>
  </si>
  <si>
    <t>Item</t>
  </si>
  <si>
    <t>Units Needed/Day</t>
  </si>
  <si>
    <t>Projected Usage Through Target Date</t>
  </si>
  <si>
    <t>Currently
In-Stock Citywide</t>
  </si>
  <si>
    <t>Currently
On Order</t>
  </si>
  <si>
    <t>Order Needed to Reach Target Date</t>
  </si>
  <si>
    <t>Recent Price (June)</t>
  </si>
  <si>
    <t>Extension</t>
  </si>
  <si>
    <t>Total</t>
  </si>
  <si>
    <t xml:space="preserve">Notes:  </t>
  </si>
  <si>
    <t>1. Daily burn rates are based on calendar days; not business days. Holiday's are not included.</t>
  </si>
  <si>
    <t>Order</t>
  </si>
  <si>
    <t>Description</t>
  </si>
  <si>
    <t>Masks (N95)</t>
  </si>
  <si>
    <t>each</t>
  </si>
  <si>
    <t>Masks (Surgical)</t>
  </si>
  <si>
    <t>Masks (Cloth)</t>
  </si>
  <si>
    <t>Nitrile Gloves (Public Safety)</t>
  </si>
  <si>
    <t>pair</t>
  </si>
  <si>
    <t>Nitrile Gloves (General Use)</t>
  </si>
  <si>
    <t>Surgical Gowns</t>
  </si>
  <si>
    <t>Tyvek Suits</t>
  </si>
  <si>
    <t>Tyvek Suits w/hoods</t>
  </si>
  <si>
    <t>Face Shields</t>
  </si>
  <si>
    <t>Goggles</t>
  </si>
  <si>
    <t>Disinfectant Wipes</t>
  </si>
  <si>
    <t>tube</t>
  </si>
  <si>
    <t>Antimicrobial (PAWS) Wipes</t>
  </si>
  <si>
    <t>packets</t>
  </si>
  <si>
    <t>Hand Sanitizer (12oz or equiv)</t>
  </si>
  <si>
    <t>bottle</t>
  </si>
  <si>
    <t>Purell (1200 ml stand refill)</t>
  </si>
  <si>
    <t>box</t>
  </si>
  <si>
    <t>Isopropyl Alcohol (16oz or equiv)</t>
  </si>
  <si>
    <t>Disinfecting Solution for Sprayers</t>
  </si>
  <si>
    <t>gal</t>
  </si>
  <si>
    <t>Thermometers</t>
  </si>
  <si>
    <t>Purell Stands/Dispensers</t>
  </si>
  <si>
    <t>Mask Holders for Dispensers</t>
  </si>
  <si>
    <t>Disinfecting Sprayers</t>
  </si>
  <si>
    <t>Hand Soap</t>
  </si>
  <si>
    <t>Facial Tissue</t>
  </si>
  <si>
    <t>Paper Towels</t>
  </si>
  <si>
    <t>pack</t>
  </si>
  <si>
    <t>Toilet Paper</t>
  </si>
  <si>
    <t>roll</t>
  </si>
  <si>
    <t>KN95 MASKS</t>
  </si>
  <si>
    <t>Sprayer, Milwaukee 2820</t>
  </si>
  <si>
    <t>Milwaukee XC50 Battery</t>
  </si>
  <si>
    <t>Reserved-28</t>
  </si>
  <si>
    <t>Reserved-29</t>
  </si>
  <si>
    <t>Reserved-30</t>
  </si>
  <si>
    <t>Reserved-31</t>
  </si>
  <si>
    <t>Reserved-32</t>
  </si>
  <si>
    <t>Reserved-33</t>
  </si>
  <si>
    <t>Reserved-34</t>
  </si>
  <si>
    <t>Reserved-35</t>
  </si>
  <si>
    <t>Reserved-36</t>
  </si>
  <si>
    <t>Reserved-37</t>
  </si>
  <si>
    <t>Reserved-38</t>
  </si>
  <si>
    <t>Reserved-39</t>
  </si>
  <si>
    <t>Reserved-40</t>
  </si>
  <si>
    <t>Reserved-41</t>
  </si>
  <si>
    <t>Reserved-42</t>
  </si>
  <si>
    <t>Reserved-43</t>
  </si>
  <si>
    <t>Reserved-44</t>
  </si>
  <si>
    <t>Reserved-45</t>
  </si>
  <si>
    <t>Reserved-46</t>
  </si>
  <si>
    <t>Reserved-47</t>
  </si>
  <si>
    <t>Reserved-48</t>
  </si>
  <si>
    <t>Reserved-49</t>
  </si>
  <si>
    <t>Reserved-50</t>
  </si>
  <si>
    <t>Reserved-51</t>
  </si>
  <si>
    <t>Reserved-52</t>
  </si>
  <si>
    <t>Reserved-53</t>
  </si>
  <si>
    <t>Reserved-54</t>
  </si>
  <si>
    <t>Reserved-55</t>
  </si>
  <si>
    <t>Reserved-56</t>
  </si>
  <si>
    <t>Reserved-57</t>
  </si>
  <si>
    <t>Reserved-58</t>
  </si>
  <si>
    <t>Reserved-59</t>
  </si>
  <si>
    <t>Reserved-60</t>
  </si>
  <si>
    <t>Reserved-61</t>
  </si>
  <si>
    <t>Reserved-62</t>
  </si>
  <si>
    <t>Reserved-63</t>
  </si>
  <si>
    <t>Reserved-64</t>
  </si>
  <si>
    <t>Reserved-65</t>
  </si>
  <si>
    <t>Reserved-66</t>
  </si>
  <si>
    <t>Reserved-67</t>
  </si>
  <si>
    <t>Reserved-68</t>
  </si>
  <si>
    <t>Reserved-69</t>
  </si>
  <si>
    <t>Reserved-70</t>
  </si>
  <si>
    <t>Reserved-71</t>
  </si>
  <si>
    <t>Reserved-72</t>
  </si>
  <si>
    <t>Reserved-73</t>
  </si>
  <si>
    <t>Reserved-74</t>
  </si>
  <si>
    <t>Reserved-75</t>
  </si>
  <si>
    <t>Reserved-76</t>
  </si>
  <si>
    <t>Reserved-77</t>
  </si>
  <si>
    <t>Reserved-78</t>
  </si>
  <si>
    <t>Reserved-79</t>
  </si>
  <si>
    <t>Reserved-80</t>
  </si>
  <si>
    <t>Reserved-81</t>
  </si>
  <si>
    <t>Reserved-82</t>
  </si>
  <si>
    <t>Reserved-83</t>
  </si>
  <si>
    <t>Reserved-84</t>
  </si>
  <si>
    <t>Reserved-85</t>
  </si>
  <si>
    <t>Reserved-86</t>
  </si>
  <si>
    <t>Reserved-87</t>
  </si>
  <si>
    <t>Reserved-88</t>
  </si>
  <si>
    <t>Reserved-89</t>
  </si>
  <si>
    <t>Reserved-90</t>
  </si>
  <si>
    <t>Reserved-91</t>
  </si>
  <si>
    <t>Reserved-92</t>
  </si>
  <si>
    <t>Reserved-93</t>
  </si>
  <si>
    <t>Reserved-94</t>
  </si>
  <si>
    <t>Reserved-95</t>
  </si>
  <si>
    <t>Reserved-96</t>
  </si>
  <si>
    <t>Reserved-97</t>
  </si>
  <si>
    <t>Reserved-98</t>
  </si>
  <si>
    <t>Reserved-99</t>
  </si>
  <si>
    <t>Reserved-100</t>
  </si>
  <si>
    <t>Report Date:</t>
  </si>
  <si>
    <t>Distribution Management Branch</t>
  </si>
  <si>
    <t>Supplies and Equipment Unit</t>
  </si>
  <si>
    <t>Accepted</t>
  </si>
  <si>
    <t>Assigned</t>
  </si>
  <si>
    <t>Transferred</t>
  </si>
  <si>
    <t>In Progress</t>
  </si>
  <si>
    <t>Completed</t>
  </si>
  <si>
    <t>Cancelled</t>
  </si>
  <si>
    <t>TOTAL</t>
  </si>
  <si>
    <t xml:space="preserve">  Tracker Number  </t>
  </si>
  <si>
    <t xml:space="preserve">  Requesting Agency  </t>
  </si>
  <si>
    <t xml:space="preserve">  Last Updated At  </t>
  </si>
  <si>
    <t xml:space="preserve">  Subject  </t>
  </si>
  <si>
    <t xml:space="preserve">  Assigned Unit  </t>
  </si>
  <si>
    <t xml:space="preserve">  Status  </t>
  </si>
  <si>
    <t xml:space="preserve">  Started At  </t>
  </si>
  <si>
    <t xml:space="preserve">  Request Subject  </t>
  </si>
  <si>
    <t xml:space="preserve">  Initial Entry  </t>
  </si>
  <si>
    <t xml:space="preserve">  Follow-Up  </t>
  </si>
  <si>
    <t xml:space="preserve">  Requested Capability  </t>
  </si>
  <si>
    <t>STTL-1wmlre</t>
  </si>
  <si>
    <t>Seattle Fire Department</t>
  </si>
  <si>
    <t>3M N95 Mask Request</t>
  </si>
  <si>
    <t>3M 8210 - N95</t>
  </si>
  <si>
    <t>Requested items: 200 boxes of 3M 8210 N95's</t>
  </si>
  <si>
    <t xml:space="preserve"> -------------------------------------------------- Follow Up #1: 08/13/2020 08:34. Daniel.Brown / SEA - LOG - Staffer Notified ready for pickup: 118 boxes of 3M 8210 N95 masks  On backorder: 82 boxes of 3M 8210 N95 masks </t>
  </si>
  <si>
    <t>100 boxes/cases of 3M 8210 N95  200 boxes if you have them in stock. Thank you.</t>
  </si>
  <si>
    <t>STTL-p3u1ox</t>
  </si>
  <si>
    <t>Seattle EOC Logistics</t>
  </si>
  <si>
    <t>Submit Weekly PPE Request to King County ECC</t>
  </si>
  <si>
    <t>Mutual Aid Coordinator</t>
  </si>
  <si>
    <t>City Weekly PPE Request for Aug 12, 2020</t>
  </si>
  <si>
    <t>Submit attached Weekly PPE Request to King County ECC.</t>
  </si>
  <si>
    <t xml:space="preserve"> -------------------------------------------------- Follow Up #2: 08/12/2020 13:57. Elenka.Jarolimek / SEA - LOG - FAS Spoke to Ted Toet  from King County ECC at 206-205-7789.  He will look into their inventory to see if they can provide nitrile gloves, but may not be able to provide 40,000 each of gloves. He will follow up with Elenka with the quantity that can be provided to the City. -------------------------------------------------- Follow Up #1: 08/12/2020 10:42. Elenka.Jarolimek / SEA - LOG - FAS Created a WebEOC request and submitted via email the Weekly PPE Request form to RCECC Logistics. </t>
  </si>
  <si>
    <t>Submit Weekly PPE request for Aug 12, 2020 to King County ECC to support City Mission Essential Functions.  The following items are being requests  Gloves, Nitrile, Small - 40,000 Gloves, Nitrile, Large - 40,000 Gloves, Nitrile, X-Large - 40,000 Gloves, Nitrile, XXL - 40,000 Gowns, Disposable, One Size, Level 1 - 1,000 Respirator Mask, N95, ONe Size Fits All - Head Straps - 5,000</t>
  </si>
  <si>
    <t>STTL-2inydj</t>
  </si>
  <si>
    <t>FAS ABS</t>
  </si>
  <si>
    <t>PPE Request</t>
  </si>
  <si>
    <t xml:space="preserve">Requested items: 3 Tubes of Disinfecting wipes </t>
  </si>
  <si>
    <t xml:space="preserve"> -------------------------------------------------- Follow Up #1: 08/12/2020 13:28. Daniel.Brown / SEA - LOG - Staffer 3 Tubes delivered to department </t>
  </si>
  <si>
    <t>Requesting 3 Tubes of Disinfecting wipes</t>
  </si>
  <si>
    <t>STTL-ns3zjv</t>
  </si>
  <si>
    <t>Requested PPE</t>
  </si>
  <si>
    <t>Cloth Masks - Gloves</t>
  </si>
  <si>
    <t xml:space="preserve">Requested Items: 250 cloth masks  20 cases of nitrile XL gloves  </t>
  </si>
  <si>
    <t xml:space="preserve"> -------------------------------------------------- Follow Up #1: 08/10/2020 14:19. Daniel.Brown / SEA - LOG - Staffer Notified ready for pickup: 20 cases of nitrile XL gloves (200 boxes)  On backorder: 250 cloth masks </t>
  </si>
  <si>
    <t>250 cloth masks  20 cases of nitrile XL gloves - ordering more due to getting boxes that are 50 per box and not 100, so need to add to the XL glove inventory at SFD.</t>
  </si>
  <si>
    <t>STTL-dm6052</t>
  </si>
  <si>
    <t>Hand Sanitizer and Stand Request</t>
  </si>
  <si>
    <t>Purell Hand Sanitizer Dispensing Stands</t>
  </si>
  <si>
    <t>Requested items: 20 - Purell or Similar Stands 200 - Gallons of hand sanitizer</t>
  </si>
  <si>
    <t xml:space="preserve"> -------------------------------------------------- Follow Up #1: 08/10/2020 08:09. Daniel.Brown / SEA - LOG - Staffer Notified ready for pickup: 20 - Purell or Similar Stands 200 - Gallons of hand sanitizer </t>
  </si>
  <si>
    <t>Need to procure 20 Purell (if possible) hand sanitizer dispensing stand units with mask holder attachments and 20 cases of sanitizer refills for use in FAS (non downtown core) operated facilities.  If the Purell Dispensing Stand Units are not available an equivalent ADA compliant product in its place is necessary.  This is a urgent request so items that are shelf ready or with a short delivery time are requested.</t>
  </si>
  <si>
    <t>RTOW Supply - Hand Sanitizer Disinfectant Stands</t>
  </si>
  <si>
    <t>Resource Management Branch</t>
  </si>
  <si>
    <t>Procure ADA compliant disinfectant units and refill supply (purell if possible) or rapid delivery and use in FAS facilities.</t>
  </si>
  <si>
    <t xml:space="preserve"> -------------------------------------------------- Follow Up #2: 08/10/2020 07:35. Daniel.Brown / SEA - LOG - Staffer 20 Stands and 200 gallons of hand sanitizer arrived from Stellar 8/5/2020.  -------------------------------------------------- Follow Up #1: 07/17/2020 09:50. Presley.Palmer / SEA - LOG - Supplies and Equipment Request received and will solicit vendors on 7/20 with a request for Purell Stands or alternative. Request will highlight the need to have items delivered on or before Aug 17. </t>
  </si>
  <si>
    <t>STTL-8r0z5y</t>
  </si>
  <si>
    <t>Seattle Public Library</t>
  </si>
  <si>
    <t xml:space="preserve">SPL-  Curbside programming launched 8/6. </t>
  </si>
  <si>
    <t>gloves and wipes needed</t>
  </si>
  <si>
    <t xml:space="preserve">Need: cleaning and/or disinfecting wipes	disposable, single use cleaning wipes in tub, for use on surfaces, any type	tub	300 disposable, single use nitrile gloves 100 boxes SMALL  100 boxes XL  300 boxes MED  300 boxes LARGE	box	 </t>
  </si>
  <si>
    <t xml:space="preserve"> -------------------------------------------------- Follow Up #1: 08/07/2020 12:15. Daniel.Brown / SEA - LOG - Staffer Notified ready for pickup: 51 boxes SMALL  100 boxes XL  300 boxes MED  300 boxes LARGE  On Backorder: 49 Boxes SMALL </t>
  </si>
  <si>
    <t>Curbside (public facing programming) activities, 90-day supply. Curbside programming launched 8/6.</t>
  </si>
  <si>
    <t>STTL-joefx5</t>
  </si>
  <si>
    <t xml:space="preserve">FAS Emergency Management </t>
  </si>
  <si>
    <t>Cloth Mask Request</t>
  </si>
  <si>
    <t>Cloth Masks Filter Request</t>
  </si>
  <si>
    <t>Need 99 cloth masks for managers and Directors</t>
  </si>
  <si>
    <t/>
  </si>
  <si>
    <t>Need 99 cloth mask filters.</t>
  </si>
  <si>
    <t>STTL-jn8cji</t>
  </si>
  <si>
    <t>FAS Rainier Warehouse</t>
  </si>
  <si>
    <t>PPE Request Rainier Warehouse</t>
  </si>
  <si>
    <t xml:space="preserve">Requesting following items for use at COVID-19 Rainier Warehouse. 1) 1 Gallon Germex COVID-231:  2) 1 Lysol can: COVID-108  3) 1 Cavi Wipes: COVID-100  4) 2 Boxes masks COVID-131  </t>
  </si>
  <si>
    <t xml:space="preserve"> -------------------------------------------------- Follow Up #1: 08/07/2020 11:47. Daniel.Brown / SEA - LOG - Staffer Items have been pulled and assigned to use . </t>
  </si>
  <si>
    <t xml:space="preserve">Requesting following items for use at COVID-19 Rainier Warehouse. 1)	1 Gallon Germex COVID-231:  For use on table by loading dock 2)	1 Lysol can: COVID-108  For use on table by loading dock 3)	1 Cavi Wipes: COVID-100  For use at back door 4)	2 Boxes masks COVID-131  One for each loading bay 5)	2 Lysol cans: COVID-108  SMT Mike 6)	2 Boxes soap: COVID-120  SMT Mike </t>
  </si>
  <si>
    <t>STTL-8hybo3</t>
  </si>
  <si>
    <t>Purchasing to procure</t>
  </si>
  <si>
    <t>Test Swabs</t>
  </si>
  <si>
    <t>Fire has requested 100,000 test swabs  Prefer swabs from South Korean source due to performance.</t>
  </si>
  <si>
    <t xml:space="preserve"> -------------------------------------------------- Follow Up #1: 08/06/2020 13:22. Pam.Tokunaga / SEA - LOG - Supplies and Equipment David M placed an order on 8/6/2020 with E6 Equity </t>
  </si>
  <si>
    <t>100,000 test swabs for ongoing COVID testing.</t>
  </si>
  <si>
    <t>STTL-yi28va</t>
  </si>
  <si>
    <t>Trash Liners</t>
  </si>
  <si>
    <t>Supply Request Testing Station 3</t>
  </si>
  <si>
    <t>Requested item: 1 Case of trash liners</t>
  </si>
  <si>
    <t>Need on case of garbage liners.</t>
  </si>
  <si>
    <t>STTL-3gx6dx</t>
  </si>
  <si>
    <t>Seattle Public Utilities</t>
  </si>
  <si>
    <t>Cloth Masks Request</t>
  </si>
  <si>
    <t>Cloth Masks</t>
  </si>
  <si>
    <t>Requested item: 6,000 units of Energy Masks.</t>
  </si>
  <si>
    <t xml:space="preserve"> -------------------------------------------------- Follow Up #1: 08/06/2020 10:34. Daniel.Brown / SEA - LOG - Staffer Cloth masks are on backorder </t>
  </si>
  <si>
    <t>6,000 units of Energy Masks. See attached photo.</t>
  </si>
  <si>
    <t>STTL-4gomjr</t>
  </si>
  <si>
    <t>SCIDPDA PPE order</t>
  </si>
  <si>
    <t>PPE for SCIDPDA</t>
  </si>
  <si>
    <t xml:space="preserve">Requested items: Seattle Chinatown-International District Preservation &amp; Development Authority COVID-130 N95 Masks - 272 ea COVID-131 Surgical Masks - 452 ea COVID-142 BE Gloves, Public Safety, Large, blue - 30 boxes COVID-141 BE Gloves, Public Safety, Med, blue - 3 boxes COVID-143 BE Gloves, Public Safety, XLarge, blue - 5 boxes COVID-142 Gloves, GP, Large, black - 5 boxes COVID-141 Gloves, GP, Med, black - 5 boxes COVID-140 Gloves, GP, Small, black - 5 boxes COVID-212 Tyvek Suit, XL, 60 ea COVID-210 Tyvek Suit, w/hood, XL 5 ea COVID-100 Disinfectant Wipes, 10 ea COVID-170 Hand Sanitizer, various size, 5 ea COVID-262 Isopropyl Alcohol, 10 ea COVID-300 IR thermometer, 5 ea COVID-120 Hand Soap, 5 ea COVID-110 Facial Tissue, 5 ea </t>
  </si>
  <si>
    <t xml:space="preserve">-------------------------------------------------- Follow Up #1: 08/05/2020 14:25. Daniel.Brown / SEA - LOG - Staffer Notified ready for pickup: COVID-131 Surgical Masks - 452 ea COVID-142 BE Gloves, Public Safety, Large, blue - 30 boxes COVID-141 BE Gloves, Public Safety, Med, blue - 3 boxes COVID-143 BE Gloves, Public Safety, XLarge, blue - 5 boxes COVID-142 Gloves, GP, Large, black - 5 boxes COVID-141 Gloves, GP, Med, black - 5 boxes COVID-140 Gloves, GP, Small, black - 5 boxes COVID-212 Tyvek Suit, XL, 60 ea COVID-210 Tyvek Suit, w/hood, XL 5 ea COVID-170 Hand Sanitizer, various size, 5 ea COVID-262 Isopropyl Alcohol, 10 ea COVID-300 IR thermometer, 5 ea COVID-120 Hand Soap, 5 ea COVID-110 Facial Tissue, 5 ea COVID-100 Disinfectant Wipes, 10 ea  On Backorder: COVID-130 N95 Masks - 272 ea </t>
  </si>
  <si>
    <t xml:space="preserve">Seattle Chinatown-International District Preservation &amp; Development Authority COVID-130 N95 Masks - 272 ea COVID-131 Surgical Masks - 452 ea COVID-133 Masks, Cloth - 100 COVID-142 BE Gloves, Public Safety, Large, blue - 30 boxes COVID-141 BE Gloves, Public Safety, Med, blue - 3 boxes COVID-143 BE Gloves, Public Safety, XLarge, blue - 5 boxes COVID-142 Gloves, GP, Large, black - 5 boxes COVID-141 Gloves, GP, Med, black - 5 boxes COVID-140 Gloves, GP, Small, black - 5 boxes COVID-212 Tyvek Suit, XL, 60 ea COVID-210 Tyvek Suit, w/hood, XL 5 ea Remove - COVID-DON-132 Face Shields, 15 ea Remove - COVID-DON-450 Safety Goggles, 5 COVID-100 Disinfectant Wipes, 10 ea Remove - COVID-105 Disinfectant PAWS wipes, 5 ea COVID-170 Hand Sanitizer, various size, 5 ea Remove - COVID-160 Hand Sanitizer, stand refill, 5 ea COVID-262 Isopropyl Alcohol, 10 ea COVID-300 IR thermometer, 5 ea COVID-120 Hand Soap, 5 ea COVID-110 Facial Tissue, 5 ea  </t>
  </si>
  <si>
    <t>STTL-5tduft</t>
  </si>
  <si>
    <t>Submit Weekly PPE Request</t>
  </si>
  <si>
    <t>City Weekly PPE Request for Aug. 5, 2020</t>
  </si>
  <si>
    <t xml:space="preserve">Submit the attached Weekly PPE Request up to King County ECC.  </t>
  </si>
  <si>
    <t xml:space="preserve"> -------------------------------------------------- Follow Up #3: 08/05/2020 15:17. Elenka.Jarolimek / SEA - LOG - FAS Per KC WebEOC Resource Tracker the request has been assigned to KC EOC Logistics. -------------------------------------------------- Follow Up #2: 08/05/2020 12:09. Elenka.Jarolimek / SEA - LOG - FAS Email sent by RCEEC Logistics on Aug. 5 that the request was received. -------------------------------------------------- Follow Up #1: 08/05/2020 11:44. Elenka.Jarolimek / SEA - LOG - FAS Weekly PPE Request submitted to King County ECC via WebEOC Resource Tracker  RR Tracking #: WA-20208511289  </t>
  </si>
  <si>
    <t>Requesting the following PPE items for 7 day use to support City mission essential functions:  5,000 N95, One Size Fits All 10 Respirator Fit Test Kit (includes solution)</t>
  </si>
  <si>
    <t>SCIDPDA PPE resource request</t>
  </si>
  <si>
    <t>Many items for the Seattle Chinatown-International District PDA COVID-130 N95 Masks - 272 ea  COVID-131 Surgical Masks - 452 ea  COVID-133 Masks, Cloth - 100  COVID-142 BE Gloves, Public Safety, Large, blue - 30 boxes  COVID-141 BE Gloves, Public Safety, Med, blue - 3 boxes  COVID-143 BE Gloves, Public Safety, XLarge, blue - 5 boxes  COVID-142 Gloves, GP, Large, black - 5 boxes  COVID-141 Gloves, GP, Med, black - 5 boxes  COVID-140 Gloves, GP, Small, black - 5 boxes  COVID-212 Tyvek Suit, XL, 60 ea  COVID-210 Tyvek Suit, w/hood, XL 5 ea  COVID-DON-132 Face Shields, 15 ea  COVID-DON-450 Safety Goggles, 5  COVID-100 Disinfectant Wipes, 10 ea  COVID-105 Disinfectant PAWS wipes, 5 ea  COVID-170 Hand Sanitizer, various size, 5 ea  COVID-160 Hand Sanitizer, stand refill, 5 ea  COVID-262 Isopropyl Alcohol, 10 ea  COVID-300 IR thermometer, 5 ea  COVID-120 Hand Soap, 5 ea  COVID-110 Facial Tissue, 5 ea</t>
  </si>
  <si>
    <t xml:space="preserve"> -------------------------------------------------- Follow Up #3: 08/04/2020 14:15. Matt.Rathke / SEA - LOG - Staffer New List - Many items for the Seattle Chinatown-International District PDA COVID-130 N95 Masks - 272 ea  COVID-131 Surgical Masks - 452 ea  COVID-133 Masks, Cloth - 100  COVID-142 BE Gloves, Public Safety, Large, blue - 30 boxes  COVID-141 BE Gloves, Public Safety, Med, blue - 3 boxes  COVID-143 BE Gloves, Public Safety, XLarge, blue - 5 boxes  COVID-142 Gloves, GP, Large, black - 5 boxes  COVID-141 Gloves, GP, Med, black - 5 boxes  COVID-140 Gloves, GP, Small, black - 5 boxes  COVID-212 Tyvek Suit, XL, 60 ea  COVID-210 Tyvek Suit, w/hood, XL 5 ea  COVID-100 Disinfectant Wipes, 10 ea  COVID-170 Hand Sanitizer, various size, 5 ea  COVID-262 Isopropyl Alcohol, 10 ea  COVID-300 IR thermometer, 5 ea  COVID-120 Hand Soap, 5 ea  COVID-110 Facial Tissue, 5 ea -------------------------------------------------- Follow Up #2: 08/04/2020 14:14. Matt.Rathke / SEA - LOG - Staffer Removing  COVID-DON-132 Face Shields, 15 ea  COVID-DON-450 Safety Goggles, 5  COVID-105 Disinfectant PAWS wipes, 5 ea  COVID-160 Hand Sanitizer, stand refill, 5 ea -------------------------------------------------- Follow Up #1: 07/29/2020 14:24. Matt.Rathke / SEA - LOG - Staffer Requested 5 (5 gal) containers of Bioesque disinfectant sprayer solution and 4 Disinfectant sprayers.  Checking on status with David K. </t>
  </si>
  <si>
    <t>STTL-7jjxxl</t>
  </si>
  <si>
    <t>PPE Glove Request</t>
  </si>
  <si>
    <t>SDCI Glove Request</t>
  </si>
  <si>
    <t xml:space="preserve">Need 2 cases of XL gloves </t>
  </si>
  <si>
    <t xml:space="preserve"> -------------------------------------------------- Follow Up #1: 08/04/2020 14:04. Daniel.Brown / SEA - LOG - Staffer Notified ready for pickup: 2 cases of XL gloves - 20 boxes </t>
  </si>
  <si>
    <t>Need 2 cases of XL gloves</t>
  </si>
  <si>
    <t>STTL-f754kr</t>
  </si>
  <si>
    <t>SFD PPE Request</t>
  </si>
  <si>
    <t>XL Nitrile Gloves - medical grade</t>
  </si>
  <si>
    <t>Requested Item: xl nitrile gloves	x-large	case (10 boxes) - total of 250 boxes	25</t>
  </si>
  <si>
    <t xml:space="preserve"> -------------------------------------------------- Follow Up #1: 08/03/2020 15:20. Daniel.Brown / SEA - LOG - Staffer Notified ready for pickup: xl nitrile gloves	x-large	case (10 boxes) - total of 250 boxes	25 </t>
  </si>
  <si>
    <t>25 cases of XL Nitrile Gloves - medical grade</t>
  </si>
  <si>
    <t>STTL-u12wzl</t>
  </si>
  <si>
    <t>Specific Request for N95 Masks</t>
  </si>
  <si>
    <t>Requested N95 Masks:  respirator (fit tested to this model)	MOLDEX 2700N95 series 2701N95 size small each - 1030 respirator (fit tested to this model)	N95 8200 each - 540 respirator (fit tested to this model)	N95 8210 Plus each - 1260 respirator (fit tested to this model)	N95 8200-0702 each - 900</t>
  </si>
  <si>
    <t xml:space="preserve"> -------------------------------------------------- Follow Up #2: 08/03/2020 14:49. Pam.Tokunaga / SEA - LOG - Supplies and Equipment requested quotes for the N95 masks from multiple suppliers, did not receive any responses for the 3M N95 masks. Notified Amanda Solonika/SPL on 8/3/2020 and request was going to be canceled.  -------------------------------------------------- Follow Up #1: 07/27/2020 13:48. Pam.Tokunaga / SEA - LOG - Supplies and Equipment Assigned to David McLean. He will issue a RFQ to our blanket contract holders.  </t>
  </si>
  <si>
    <t xml:space="preserve">Staff COVID protection for health screeners, phase 2 curbside activities, and restroom response operations.  All respirators must not have exhalation valve. </t>
  </si>
  <si>
    <t>STTL-rmgl76</t>
  </si>
  <si>
    <t>Lux Eoi Hand Sanitizer Recall Replacement</t>
  </si>
  <si>
    <t>hand sanitizer needed</t>
  </si>
  <si>
    <t>Replacing recalled bottles.</t>
  </si>
  <si>
    <t xml:space="preserve">Request in response to recalled product. We have 16 branches staffed inside, 16 health screening stations, and 5 building open to the public. As we collect the supply of recalled product for return, staff and patrons are without sanitizer to use. Please resupply ASAP.  If the entire order cannot be filled, a minimum of 30 bottles would at least supply each health screening station.  "If your department received any of the Lux Eoi Hand Sanitizer, please let me know as soon as possible. Once you have collected all of your remaining product (including partially used bottles), please update me with quantity and when you can return the Lux Eoi Hand Sanitizer to the Rainier Warehouse located at 2901 27th Ave S, Seattle WA 98144.  FAS will work to prepare replacement orders once we receive your count. Our vendor is working to replace our inventory with an alternate product (MSDS sheet available) and we will fill and replace your hand sanitizer as soon as possible." </t>
  </si>
  <si>
    <t>STTL-skjs6p</t>
  </si>
  <si>
    <t>Seattle Department of Parks and Recreation</t>
  </si>
  <si>
    <t>Parks Department PPE</t>
  </si>
  <si>
    <t>SPR PPE Request</t>
  </si>
  <si>
    <t>Masks, N95, 840 ea Hand Sanitizer, 1-gallon, 2 ea Hand Sanitizer, small, 12 ea  Tyvek Suits w/hood Large, White XLarge, White  See attachment</t>
  </si>
  <si>
    <t xml:space="preserve"> -------------------------------------------------- Follow Up #10: 08/03/2020 11:04. Daniel.Brown / SEA - LOG - Staffer Notified ready for pickup: 25 Each - 3XL Tyvek Suites w/o hood  Remaining on backorder: 475 - Tyvek Suites LG 130 - White w/o Hood Tyvek Suites 3XL -------------------------------------------------- Follow Up #9: 07/23/2020 14:57. Daniel.Brown / SEA - LOG - Staffer Notified ready for pickup: 108 each - Yellow Tyvek XL 240 each - Yellow Tyvek 2XL 288 each - Yellow Tyvek 3XL 300 each - Yellow Tyvek 4XL  Remaining on backorder: 475 - Tyvek Suites LG 12 -  Yellow Tyvek Suites 3XL 155 - White w/o Hood Tyvek Suites 3XL  -------------------------------------------------- Follow Up #8: 07/10/2020 13:08. Daniel.Brown / SEA - LOG - Staffer Notified ready for pickup: 120 - Tyvek Suits w/hood Lg 120 - Tyvek Suits w/hood XL 180 - Tyvek Suits w/hood 2XL 180 - Tyvek Suits w/hood 4XL  emaining on backorder: 475 - Tyvek Suites LG 600 - Tyvek Suites 3XL 750 - Tyvek Suites 4XL -------------------------------------------------- Follow Up #7: 06/26/2020 09:34. Daniel.Brown / SEA - LOG - Staffer Notified ready for pickup: 100 - Tyvek Suites w/hood LG 205- Tyvek Suites w/o hood 2XL  Remaining on backorder: 475 - Tyvek Suites LG 600 - Tyvek Suites 3XL 750 - Tyvek Suites 4XL -------------------------------------------------- Follow Up #6: 06/19/2020 13:02. Daniel.Brown / SEA - LOG - Staffer Notified ready for pickup: 200 - XLarge, White -------------------------------------------------- Follow Up #5: 06/11/2020 15:47. Daniel.Brown / SEA - LOG - Staffer Notified for pickup: Tyvek Suits, w/out hood, L - 25 ea -------------------------------------------------- Follow Up #4: 06/08/2020 15:32. Daniel.Brown / SEA - LOG - Staffer Notified for pickup: Tyvek Suits, w/out hood, L - 150 ea Tyvek Suits, w/out hood, 3XL - 25 ea  -------------------------------------------------- Follow Up #3: 04/22/2020 14:09. Matt.Rathke / SEA - LOG - Staffer Notified for pickup  Tyvek Suits, w/out hood, XL - 250 ea Tyvek Suits, w/out hood, XXL - 375 ea -------------------------------------------------- Follow Up #2: 04/22/2020 12:39. Matt.Rathke / SEA - LOG - Staffer Jon has changed the order for the encampment section from 10 boxes, White, X-large, w/hood 15 boxes, White, XX-large, w/hood  to 10 boxes, White, XL w/out hood 15 boxes, White, XXL w/out hood -------------------------------------------------- Follow Up #1: 04/22/2020 11:26. Matt.Rathke / SEA - LOG - Staffer Notified that items were ready for pickup -  Masks, KN95, 800 ea - 40 boxes Masks, Surgical, 4 boxes Tyvek Suits w/hood, Xlarge, 220 ea Tyvek Suits w/hood, XXLarge, 220 ea  Hand Sanitizer, 1 gallon liquid, 2 ea  </t>
  </si>
  <si>
    <t xml:space="preserve">Seattle Parks and Recreation EOC Resource Request Needs: Safety Office  	600 - N95 Face Mask 	100 Large  Tyvek suits w/hoods  	100 X-Large - Tyvek suits w/hoods Recreation 	200  N95 Face Mask 	100 Large  Tyvek suits w/hoods  	100 X Large - Tyvek suits w/hoods  NW Grounds Crew 	2- Boxes of White Large Suits 	2- Boxes of White X-Large Suits 	2- Boxes of White XX-Large Suits NE Grounds Crew 	4 - Boxes of Masks 	2 - Large bottles of hand sanitizer 	12 - Small bottles of hand sanitizer  Encampment Crews Tyvek Suites w/hoods 	10 Boxes of Yellow Large Suits 	10 Boxes of White Large Suits 	10 Boxes of Yellow X-Large Suits 	10 Boxes of White X-Large Suits 	15 Boxes of Yellow XX-Large Suits 	15 Boxes of White XX-Large Suits 	10 Boxes of Yellow XXX-Large Suits 	15 Boxes of White XXX-Large Suits 	15 Boxes of Yellow XXXX-Large Suits 	15 Boxes of White XXXX-Large Suits </t>
  </si>
  <si>
    <t>STTL-8mf9mu</t>
  </si>
  <si>
    <t>FAS Facility Operations</t>
  </si>
  <si>
    <t>Supply Request</t>
  </si>
  <si>
    <t>North Testing Station PPE</t>
  </si>
  <si>
    <t xml:space="preserve">Requested Supplies: 2 Cases of Paper Towels 2 Cases of Hand Soap </t>
  </si>
  <si>
    <t xml:space="preserve"> -------------------------------------------------- Follow Up #1: 07/30/2020 14:11. Daniel.Brown / SEA - LOG - Staffer Notified Ready for Pickup: 2 Cases of Paper Towels 2 Cases of Hand Soap  </t>
  </si>
  <si>
    <t>Requested Supplies: 2 Cases of Paper Towels 2 Cases of Hand Soap</t>
  </si>
  <si>
    <t>STTL-cfkfvn</t>
  </si>
  <si>
    <t>Parks &amp; Rec PPE Request</t>
  </si>
  <si>
    <t>Seattle Parks and Recreation PPE Request</t>
  </si>
  <si>
    <t xml:space="preserve">Seattle Parks and Recreation PPE Request 1. Surgical Mask  50 Cases or 100,000 Masks (all park and rec.field divisions) 2. Hand Sanitizer Gel  100 Cases or 1,200 bottles (all park and rec. field divisions) 3. Goggles  500 (SPR Field Staff) 4. Face Shields  500 (SPR Field Staff) 5. Gloves  Small 25 Cases or 25,000 (SPR Field and Com. Center Staff) - Med 25 Cases or 25,000 - Large 25 Cases or 25,000 - X L 25 Cases or 25,000 6. Disinfectant Spray  300 cases or 1,200 Bottles (SPR Facilities and C. Centers) </t>
  </si>
  <si>
    <t xml:space="preserve"> -------------------------------------------------- Follow Up #1: 07/30/2020 10:46. Daniel.Brown / SEA - LOG - Staffer Notified Ready for pickup: Surgical Mask - 2,000 Boxes Small Gloves - 119 Boxes Medium Gloves - 250 Boxes Large Gloves - 250 Boxes XLarge - Gloves - 250 Boxes Hand Sanitizer, 16.9oz Bottles - 1,200 Each Isopropyl Alcohol, 32oz Bottles - 1,200 Each Face Shields - 500 Each Safety Goggles - 500 Each  On Backorder: Small Gloves - 131 Boxes </t>
  </si>
  <si>
    <t xml:space="preserve">Seattle Parks and Recreation PPE Request 1.	Surgical Mask  50 Cases or 100,000 Masks (all park and rec.field divisions) 2.	Hand Sanitizer Gel  100 Cases or 1,200 bottles (all park and rec. field divisions) 3.	Goggles  500 (SPR Field Staff) 4.	Face Shields  500 (SPR Field Staff) 5.	Gloves  Small 25 Cases or 25,000 (SPR Field and Com. Center Staff)  - Med 25 Cases or 25,000  - Large 25 Cases or 25,000  - X L 25 Cases or 25,000 6.	Disinfectant Spray  300 cases or 1,200 Bottles (SPR Facilities and C. Centers)  Please let me know if any small spray bottles of liquid hand sanitizer are available  </t>
  </si>
  <si>
    <t>Accepted by FAS - LEM</t>
  </si>
  <si>
    <t>FAS Coordinator</t>
  </si>
  <si>
    <t>Coordination between the State, LEM, and SFD has been initiated.</t>
  </si>
  <si>
    <t>STTL-3lj13g</t>
  </si>
  <si>
    <t>SFD Mask Request</t>
  </si>
  <si>
    <t>Items requested: cloth masks - each	250</t>
  </si>
  <si>
    <t>250 cloth masks</t>
  </si>
  <si>
    <t>STTL-9ac7mg</t>
  </si>
  <si>
    <t>Seattle Department of Transportation</t>
  </si>
  <si>
    <t>Request Supply Order</t>
  </si>
  <si>
    <t xml:space="preserve">Requested item: 50 cans Lysol Disinfectant Spray </t>
  </si>
  <si>
    <t xml:space="preserve"> -------------------------------------------------- Follow Up #1: 07/29/2020 12:17. Daniel.Brown / SEA - LOG - Staffer Notified ready for pickup: 50 cans Lysol Disinfectant Spray  </t>
  </si>
  <si>
    <t>Request Supply Order of: 50 cans Lysol Disinfectant Spray</t>
  </si>
  <si>
    <t>STTL-os8rtq</t>
  </si>
  <si>
    <t>Seattle Department of Construction and Inspections</t>
  </si>
  <si>
    <t>SDCI PPE Request</t>
  </si>
  <si>
    <t xml:space="preserve">Requesting the following items: 3 boxes of XL Gloves 500 KF94 Masks </t>
  </si>
  <si>
    <t xml:space="preserve"> -------------------------------------------------- Follow Up #1: 07/29/2020 08:35. Daniel.Brown / SEA - LOG - Staffer Notified ready for pickup: 3 boxes of XL Gloves 500 KF94 Masks  </t>
  </si>
  <si>
    <t>Requesting the following items:  3 boxes of XL Gloves 500 KF94 Masks</t>
  </si>
  <si>
    <t>STTL-u5sstj</t>
  </si>
  <si>
    <t>FAS - Fleet management</t>
  </si>
  <si>
    <t>10 boxes surgical masks for fleets</t>
  </si>
  <si>
    <t>FAS Fleet Management surgical masks</t>
  </si>
  <si>
    <t>10 boxes - COVID131 surgical masks 50 per box</t>
  </si>
  <si>
    <t xml:space="preserve"> -------------------------------------------------- Follow Up #1: 07/29/2020 08:22. Daniel.Brown / SEA - LOG - Staffer Notified ready for pickup: 10 boxes - COVID131 surgical masks 50 per box </t>
  </si>
  <si>
    <t>10 boxes - COVID 131 Surgical Masks (50 per box)</t>
  </si>
  <si>
    <t>STTL-yni67o</t>
  </si>
  <si>
    <t>Seattle Fire</t>
  </si>
  <si>
    <t>N95 PPE Request</t>
  </si>
  <si>
    <t>N95 Mask Request</t>
  </si>
  <si>
    <t xml:space="preserve">Requesting items:  125 boxes of 3M N95 8210 Masks </t>
  </si>
  <si>
    <t xml:space="preserve"> -------------------------------------------------- Follow Up #1: 07/29/2020 08:14. Daniel.Brown / SEA - LOG - Staffer Notified ready for pickup: 125 boxes of 3M N95 8210 Masks  </t>
  </si>
  <si>
    <t>Requesting 125 boxes of 3M N95 8210 Masks</t>
  </si>
  <si>
    <t>STTL-jqn4z6</t>
  </si>
  <si>
    <t>Surgical Mask Request</t>
  </si>
  <si>
    <t>Requested item: 3 case of surgical Masks - 120 boxes</t>
  </si>
  <si>
    <t xml:space="preserve"> -------------------------------------------------- Follow Up #1: 07/29/2020 06:58. Daniel.Brown / SEA - LOG - Staffer Notified ready for pickup @ SMT in Distribution Services, Suite 304 3 case of surgical Masks - 120 boxes </t>
  </si>
  <si>
    <t>Need 3 cases of surgical masks to use in SMT masks dispenser stands.</t>
  </si>
  <si>
    <t>STTL-02izqv</t>
  </si>
  <si>
    <t>SPU N95 mask Request</t>
  </si>
  <si>
    <t>N95 masks</t>
  </si>
  <si>
    <t xml:space="preserve">Requested items: 500 units of N95 masks </t>
  </si>
  <si>
    <t>500 units of N95 masks (Central Warehouse item# COVID-130)</t>
  </si>
  <si>
    <t>STTL-s13khj</t>
  </si>
  <si>
    <t>Seattle City Light</t>
  </si>
  <si>
    <t>SCL Purell Stands</t>
  </si>
  <si>
    <t>SCL Request for Purell Stand &amp; Mask Holder Dispensers</t>
  </si>
  <si>
    <t xml:space="preserve">SCL Request for 2 Purell Stand &amp; Mask Holder Dispensers for Customer Service Center Lobby areas at 2 SCL locations.  </t>
  </si>
  <si>
    <t xml:space="preserve"> -------------------------------------------------- Follow Up #1: 07/28/2020 08:38. Pam.Tokunaga / SEA - LOG - Supplies and Equipment Order has been placed, delivery is TBD </t>
  </si>
  <si>
    <t xml:space="preserve">SCL Request for Purell Stand &amp; Mask Holder Dispensers for Customer Service Center Lobby areas at 2 SCL locations. </t>
  </si>
  <si>
    <t>STTL-gc8jeq</t>
  </si>
  <si>
    <t>SCL would like 2000 cloth masks</t>
  </si>
  <si>
    <t>SCL - Cloth Masks</t>
  </si>
  <si>
    <t>SCL is requesting non specific cloth masks - 2000 ea</t>
  </si>
  <si>
    <t xml:space="preserve"> -------------------------------------------------- Follow Up #1: 07/28/2020 08:37. Pam.Tokunaga / SEA - LOG - Supplies and Equipment Assigned to Julie Salinas. RFQ closed and is being evaluated now. </t>
  </si>
  <si>
    <t xml:space="preserve">Request for cloth masks, returning additional employees to work where interactions with colleagues and customers is within in 6 feet and employees will be unable to adequately social distance. </t>
  </si>
  <si>
    <t>SPL Request for PPE's</t>
  </si>
  <si>
    <t>Requested items: respirator (fit tested to this model)	MOLDEX 2700N95 series 2701N95 size small	each - 1030 respirator (fit tested to this model)	N95 8200 each - 540 respirator (fit tested to this model)	N95 8210 Plus each - 1260 respirator (fit tested to this model)	N95 8200-0702 each - 900 hand sanitizer	pump bottle, various sizes, at least 60% alcohol each - 100 nitrite gloves	12 boxes of each size (each for size, S, M, L, XL) (48 boxes total)	 replacement filter for black fabric masks supplied to City employees	each - 2190</t>
  </si>
  <si>
    <t xml:space="preserve"> -------------------------------------------------- Follow Up #1: 07/27/2020 11:33. Daniel.Brown / SEA - LOG - Staffer Notified ready for pickup: Cloth mask filters - 2,190 each Small Gloves - 12 Boxes Medium Gloves - 12 Boxes Large Gloves - 12 Boxes XL Gloves - 12 Boxes Hand Sanitizer - 100 each  On backorder: MOLDEX 2700N95 series 2701N95 size small masks - 103 Boxes 3M N95 8200 Masks - 72 Boxes  3M N95 8210Plus masks - 63 Boxes </t>
  </si>
  <si>
    <t>STTL-kdzn3e</t>
  </si>
  <si>
    <t>SCL PPE Request</t>
  </si>
  <si>
    <t>SCL request for multiple supplies</t>
  </si>
  <si>
    <t>Requested Items: COVID - 100 Misc. Clorox Wipes/Cavi Wipes 500 Tubes COVID - 130 Masks N95 20 each per box, 25 boxes COVID - 131 Masks Surgical 50 each per box, 200 boxes COVID - 135 Masks KN95 or sub, 50 each per box, 30 boxes COVID - 170 Purell Hand Sanitizer Varies sizes, 250 total</t>
  </si>
  <si>
    <t xml:space="preserve"> -------------------------------------------------- Follow Up #1: 07/24/2020 13:00. Daniel.Brown / SEA - LOG - Staffer Notified ready for pickup: COVID - 130 Masks N95 20 each per box, 25 boxes COVID - 131 Masks Surgical 50 each per box, 200 boxes COVID - 135 Masks KN95 or sub, 50 each per box, 30 boxes COVID - 170 Purell Hand Sanitizer Varies sizes, 250 total  On Backorder: COVID - 100 Misc. Clorox Wipes/Cavi Wipes 500 Tubes </t>
  </si>
  <si>
    <t xml:space="preserve">COVID - 100 Misc. Clorox Wipes/Cavi Wipes 500 Tubes COVID - 130 Masks N95  20 each per box, 25 boxes COVID - 131 Masks Surgical 50 each per box, 200 boxes COVID - 135 Masks KN95 or sub, 50 each per box, 30 boxes COVID - 170 Purell Hand Sanitizer Varies sizes, 250 total, would like 2 of the 12 oz bottles if available.  </t>
  </si>
  <si>
    <t>STTL-e34cua</t>
  </si>
  <si>
    <t>SPU - KN95 masks</t>
  </si>
  <si>
    <t>KN95 masks</t>
  </si>
  <si>
    <t>SPU would like 5,000 KN95 masks</t>
  </si>
  <si>
    <t xml:space="preserve"> -------------------------------------------------- Follow Up #2: 07/23/2020 10:49. Daniel.Brown / SEA - LOG - Staffer Notified ready for pickup:  KF94 Masks - 38 boxes (50 / box) -------------------------------------------------- Follow Up #1: 05/21/2020 10:45. Matt.Rathke / SEA - LOG - Staffer Notified for pickup -  Masks, KN95 62 boxes (50/box)  Remainder:  Masks, KN95 38 boxes (50 / box) </t>
  </si>
  <si>
    <t>5,000 units of KN95 masks. We are completely out of these masks.</t>
  </si>
  <si>
    <t>STTL-2szaiz</t>
  </si>
  <si>
    <t xml:space="preserve">SPU - 10,000 N95 or KN95 Masks </t>
  </si>
  <si>
    <t>SPU 10,000 N95 or KN95 Masks</t>
  </si>
  <si>
    <t xml:space="preserve"> -------------------------------------------------- Follow Up #1: 07/23/2020 10:43. Daniel.Brown / SEA - LOG - Staffer Notified ready for Pickup: 200 Boxes - KF94 masks (10,000 total) </t>
  </si>
  <si>
    <t>10,000 units of N95 masks</t>
  </si>
  <si>
    <t>STTL-mbwdzi</t>
  </si>
  <si>
    <t>SPU 40,000 KN95 masks</t>
  </si>
  <si>
    <t>KN95 Masks</t>
  </si>
  <si>
    <t>SPU would like 40,000 KN95 masks</t>
  </si>
  <si>
    <t xml:space="preserve"> -------------------------------------------------- Follow Up #1: 07/23/2020 10:38. Daniel.Brown / SEA - LOG - Staffer Notified ready for pickup:  800 Boxes of KF94 masks. (40,000 masks) </t>
  </si>
  <si>
    <t>Requesting 100,000 units of KN95 masks</t>
  </si>
  <si>
    <t>SPU - 100,000 KN95 masks</t>
  </si>
  <si>
    <t>SPU would like 100,000 KN95 masks</t>
  </si>
  <si>
    <t xml:space="preserve"> -------------------------------------------------- Follow Up #4: 07/23/2020 10:34. Daniel.Brown / SEA - LOG - Staffer KF94's arrived 7/22/20 -------------------------------------------------- Follow Up #3: 07/06/2020 14:49. Pam.Tokunaga / SEA - LOG - Supplies and Equipment David M went out to bid for KN95 or equivalent. We received a quote for KF 94's from Korea. Placed an order for 250K, should be received in 6 weeks. -------------------------------------------------- Follow Up #2: 05/28/2020 16:30. Pam.Tokunaga / SEA - LOG - Supplies and Equipment Per email from Walter Vining on 5/28/2020, they need 40,000 KN95's.  We did not award KN95's when we went out to bid 5/12/2020, we will send out another RFQ the week of 6/1/2020.  -------------------------------------------------- Follow Up #1: 05/11/2020 16:42. Pam.Tokunaga / SEA - LOG - Supplies and Equipment Assigned to David M - RFQ due on 5/12/2020 at 4:00 PM </t>
  </si>
  <si>
    <t>STTL-65unjd</t>
  </si>
  <si>
    <t>Seattle Parks and Recreation PPE request 6/16</t>
  </si>
  <si>
    <t>Seattle Parks and Recreation PPE Request June 16, 2020  500-Disinfectant Wipes (units= tubes)  1000 - Facial Tissue (boxes)  1500 - Hand Soap (bottles)  1500 - Masks (N95)  2000  KN95 Masks  10,000  Surgical Masks  Nitrile Gloves (General Use)   200 Small   200 Med   300 L   300 XL  500 - Surgical gowns  500  Goggles  200 - Face Shields  500 - Antimicrobial (PAWS) Wipes  250  Hand sanitizer (12oz) bottles  25  Thermometers Non contact</t>
  </si>
  <si>
    <t xml:space="preserve"> -------------------------------------------------- Follow Up #7: 07/23/2020 10:22. Daniel.Brown / SEA - LOG - Staffer Notified ready for pickup: 2000  KF94 Masks (40 Boxes)  -------------------------------------------------- Follow Up #6: 07/01/2020 10:45. Daniel.Brown / SEA - LOG - Staffer Notified ready for Pickup: 5 boxes - Surgical gowns  Remaining on backorder: On backorder: 2000  KN95 Masks  -------------------------------------------------- Follow Up #5: 06/24/2020 12:40. Daniel.Brown / SEA - LOG - Staffer Notified ready for pickup: 500-Disinfectant Wipes (units= tubes)  Remaining on backorder: On backorder: 2000  KN95 Masks  500 - Surgical gowns  -------------------------------------------------- Follow Up #4: 06/23/2020 12:36. Daniel.Brown / SEA - LOG - Staffer Notified ready for pickup: 500 - Antimicrobial (PAWS) Wipes  Remaining on backorder: On backorder: 500-Disinfectant Wipes (units= tubes)  2000  KN95 Masks  500 - Surgical gowns  -------------------------------------------------- Follow Up #3: 06/19/2020 09:40. Daniel.Brown / SEA - LOG - Staffer Notified ready for pickup: 25  Thermometers Non contact  Remaining on backorder: On backorder: 500-Disinfectant Wipes (units= tubes)  2000  KN95 Masks  500 - Surgical gowns  500 - Antimicrobial (PAWS) Wipes  -------------------------------------------------- Follow Up #2: 06/18/2020 11:28. Daniel.Brown / SEA - LOG - Staffer Notified ready for pickup: 1500 - Masks (N95)  Remaining on Backorder: 500-Disinfectant Wipes (units= tubes)  2000  KN95 Masks  500 - Surgical gowns  500 - Antimicrobial (PAWS) Wipes  25  Thermometers Non contact -------------------------------------------------- Follow Up #1: 06/17/2020 09:52. Daniel.Brown / SEA - LOG - Staffer Notified ready for pickup: 1000 - Facial Tissue (boxes)  1500 - Hand Soap (bottles)  10,000  Surgical Masks  Nitrile Gloves (General Use)   200 Small   200 Med   300 L   300 XL  500  Goggles  200 - Face Shields  250  Hand sanitizer (16.9oz) bottles  On backorder: 500-Disinfectant Wipes (units= tubes)  1500 - Masks (N95)  2000  KN95 Masks  500 - Surgical gowns  500 - Antimicrobial (PAWS) Wipes  25  Thermometers Non contact </t>
  </si>
  <si>
    <t xml:space="preserve">Seattle Parks and Recreation PPE Request June 16, 2020 500-Disinfectant Wipes (units= tubes) 1000 - Facial Tissue (boxes) 1500 - Hand Soap (bottles) 1500 - Masks (N95) 2000  KN95 Masks 10,000  Surgical Masks Nitrile Gloves (General Use) 	200 Small 	200 Med 	300 L 	300 XL 500 - Surgical gowns 500  Goggles 200 - Face Shields 500 - Antimicrobial (PAWS) Wipes 250  Hand sanitizer (12oz) bottles 25  Thermometers Non contact </t>
  </si>
  <si>
    <t>STTL-7b5cip</t>
  </si>
  <si>
    <t>SCL request for KN95 masks</t>
  </si>
  <si>
    <t>SCL KN95 Mask Request</t>
  </si>
  <si>
    <t xml:space="preserve">KN95 masks - 20 boxes, 50 masks in each box. </t>
  </si>
  <si>
    <t xml:space="preserve"> -------------------------------------------------- Follow Up #1: 07/23/2020 10:16. Daniel.Brown / SEA - LOG - Staffer Notified ready for pickup: KFN94 masks - 20 boxes, 50 masks in each box.  </t>
  </si>
  <si>
    <t>SCL is requesting an order of KN95 masks - 20 boxes, 50 masks in each box.</t>
  </si>
  <si>
    <t>STTL-5k7n19</t>
  </si>
  <si>
    <t>N95 and KN95 masks for SDOT</t>
  </si>
  <si>
    <t>SDOT 90 day order Jume3rd</t>
  </si>
  <si>
    <t xml:space="preserve"> N95  20,000 (or other acceptable masks (N,P,R) (95,99,100) NIOSH Rated)  KN95  5,000 ea</t>
  </si>
  <si>
    <t xml:space="preserve"> -------------------------------------------------- Follow Up #5: 07/23/2020 10:10. Daniel.Brown / SEA - LOG - Staffer Notified ready for pickup: 100 Boxes of KF94 (5,000 Masks)  Remaining on backorder: 732 Boxes of 3M N95 masks -------------------------------------------------- Follow Up #4: 07/09/2020 08:57. Daniel.Brown / SEA - LOG - Staffer Notified ready for pickup: 16 Boxes of N95 8210's  Remaining on backorder: 732 Boxes of 3M 8210 N95 masks 100 Boxes of KN95 masks -------------------------------------------------- Follow Up #3: 06/25/2020 12:08. Daniel.Brown / SEA - LOG - Staffer Notified ready for pickup: 52 Boxes of 3M 8200 N95 masks  Remaining on backorder: 748 Boxes of 3M 8210 N95 masks 100 Boxes of KN95 masks -------------------------------------------------- Follow Up #2: 06/23/2020 12:49. Daniel.Brown / SEA - LOG - Staffer Notified ready for pickup: 200 Boxes of 3M 8210 N95 masks  Remaining on backorder: 800 Boxes of 3M 8210 N95 masks 100 Boxes of KN95 masks  -------------------------------------------------- Follow Up #1: 06/08/2020 09:51. Daniel.Brown / SEA - LOG - Staffer Update Following items on backorder  N95  20,000 (or other acceptable masks (N,P,R) (95,99,100) NIOSH Rated)  KN95  5,000 ea </t>
  </si>
  <si>
    <t xml:space="preserve">	N95  20,000 (or other acceptable masks (N,P,R) (95,99,100) NIOSH Rated) 	KN95  5,000 </t>
  </si>
  <si>
    <t>STTL-fnlp6v</t>
  </si>
  <si>
    <t>Seattle Department of Human Services</t>
  </si>
  <si>
    <t>PPE Supplies</t>
  </si>
  <si>
    <t>Sanitation/Hygiene Supplies for HSD ADS</t>
  </si>
  <si>
    <t>Provide PPE Supply to HSD</t>
  </si>
  <si>
    <t xml:space="preserve"> -------------------------------------------------- Follow Up #1: 07/22/2020 13:02. Daniel.Brown / SEA - LOG - Staffer Notified ready for pickup: Clorox Wipes - 1155 Each Paws Wipes - 15 Boxes Lysol Cans - 10 Each Hand Soap - 2 Each N95 Masks - 10 Boxes Surgical Masks - 4 Boxes Cloth Mask Filters - 100 Each Masks w/ visor - 10 Each Surgical Gowns - 10 Boxes  On backorder: Clorox Wipes - 345 Purell Hand Sanitizer 1 gallon Gel - 3 gallons </t>
  </si>
  <si>
    <t>See attached list for needed supplies.  These sanitation/hygiene supplies are needed to help ensure HSD Aging and Disability Service employees are able to follow COVID-19 health guidance and expectations in the office, in City cars and when conducting field visits with clients.</t>
  </si>
  <si>
    <t>STTL-arx25a</t>
  </si>
  <si>
    <t>Fire Special Wipes Request</t>
  </si>
  <si>
    <t>Gloves and wipes</t>
  </si>
  <si>
    <t>Special Requested items:  Caviwipes 400 Super Sani-Clothes (purple tops) 500</t>
  </si>
  <si>
    <t xml:space="preserve">Medical Nitrile Gloves: Small  40 cases Medium  60 cases Large  120 cases XLarge  120 cases 2 XLarge  100 cases  Looking to maintain stock with a third test site opening  Caviwipes 400 Super Sani-Clothes (purple tops) 500 </t>
  </si>
  <si>
    <t>STTL-vp93y8</t>
  </si>
  <si>
    <t>SFD N95 Masks</t>
  </si>
  <si>
    <t xml:space="preserve">Requesting 4,000 8210 N95 masks (200 Boxes) </t>
  </si>
  <si>
    <t xml:space="preserve"> -------------------------------------------------- Follow Up #1: 07/21/2020 13:38. Daniel.Brown / SEA - LOG - Staffer Notified ready for pickup: 200 Boxes - N95 8210's </t>
  </si>
  <si>
    <t>Requesting 4,000 8210 N95 masks (200 Boxes)</t>
  </si>
  <si>
    <t>STTL-k5t8m4</t>
  </si>
  <si>
    <t>Seattle Department of Information Technology</t>
  </si>
  <si>
    <t>Misc supplies</t>
  </si>
  <si>
    <t>Requested items: 24 Lysol Spray can 200 surgical mask 40 N95</t>
  </si>
  <si>
    <t xml:space="preserve"> -------------------------------------------------- Follow Up #2: 07/21/2020 12:50. Daniel.Brown / SEA - LOG - Staffer Notified ready for pickup: 40 N95 masks -------------------------------------------------- Follow Up #1: 07/09/2020 12:55. Daniel.Brown / SEA - LOG - Staffer Notified ready for pickup: 24 Lysol Spray can 200 surgical mask  On backorder: 40 N95 </t>
  </si>
  <si>
    <t xml:space="preserve">24 Lysol Spray can 200 surgical mask 40 N95 </t>
  </si>
  <si>
    <t>STTL-gnq25r</t>
  </si>
  <si>
    <t>Parks PPE supplies</t>
  </si>
  <si>
    <t>PPE Supplies - Seattle Parks and Recreation</t>
  </si>
  <si>
    <t xml:space="preserve">PPE for Parks and Rec programs  50 - Face Shield (For Golf Field Staff) 2000 Disposal Face Mask (COVID-131) (For Golf Field Staff) 2000 surgical Gowns (COVID-220) (For Shelter and Golf Field Staff) 500 XL Gloves (COVID-143) Golf Field Staff) 2000 Disposable Shower Size Towels (For Community Center Shelters) 2000 Alcohol Wipes (pads) (For Golf Field Staff) </t>
  </si>
  <si>
    <t xml:space="preserve"> -------------------------------------------------- Follow Up #4: 07/21/2020 12:43. Daniel.Brown / SEA - LOG - Staffer Notified ready for pickup: 50 Cases - Disposable Bath Towels -------------------------------------------------- Follow Up #3: 07/08/2020 14:18. Daniel.Brown / SEA - LOG - Staffer Notified ready for pickup: 2000 Alcohol Wipes (pads) -------------------------------------------------- Follow Up #2: 06/25/2020 14:02. Daniel.Brown / SEA - LOG - Staffer Notified ready for pickup: Gowns, Surgical, 200 boxes  Remaining 2000 Alcohol Wipes (pads) (For Golf Field Staff)  -------------------------------------------------- Follow Up #1: 05/28/2020 08:48. Matt.Rathke / SEA - LOG - Staffer Notified to pickup:  Masks, surgical - 40 boxes Nitrile Gloves, Xlarge, 5 boxes Masks, with visor, 50 each  Remaining 2000 Alcohol Wipes (pads) (For Golf Field Staff)  Back to Parks 2000 Disposable Shower Size Towels (For Community Center Shelters) </t>
  </si>
  <si>
    <t>50 - Face Shield (For Golf Field Staff) 2000 Disposal Face Mask (COVID-131) (For Golf Field Staff) 2000 surgical Gowns (COVID-220) (For Shelter and Golf Field Staff) 500 XL Gloves (COVID-143) Golf Field Staff) 2000 Disposable Shower Size Towels (For Community Center Shelters) 2000 Alcohol Wipes (pads) (For Golf Field Staff)</t>
  </si>
  <si>
    <t>Fire PPE Request</t>
  </si>
  <si>
    <t>Requested items:  Medical Nitrile Gloves: Small  40 cases Medium  60 cases Large  120 cases XLarge  120 cases 2 XLarge  100 cases  Looking to maintain stock with a third test site opening  Caviwipes 400 Super Sani-Clothes (purple tops) 500</t>
  </si>
  <si>
    <t xml:space="preserve"> -------------------------------------------------- Follow Up #5: 07/21/2020 12:31. Daniel.Brown / SEA - LOG - Staffer Notified ready for pickup: Super Sani-Clothes (purple tops) 120 Tubes  Remaining on backorder: 2X-Large - 75 Boxes Caviwipes  - 361 Tubes Super Sani-Clothes (purple tops) 260 Tubes -------------------------------------------------- Follow Up #4: 07/20/2020 10:47. Daniel.Brown / SEA - LOG - Staffer Notified ready for pickup: XLarge - 64 Boxes 2X-Large - 545 Boxes  Remaining on backorder: 2X-Large - 75 Boxes Caviwipes  - 361 Tubes Super Sani-Clothes (purple tops) 380 Tubes -------------------------------------------------- Follow Up #3: 07/08/2020 15:14. Daniel.Brown / SEA - LOG - Staffer Notified ready for pickup: Super Sani-Clothes (purple tops) 120  Remaining on backorder: XLarge - 80 Boxes 2X-Large - 620 Boxes Caviwipes  - 361 Tubes Super Sani-Clothes (purple tops) 380 Tubes -------------------------------------------------- Follow Up #2: 07/07/2020 12:46. Daniel.Brown / SEA - LOG - Staffer Notified ready for pickup: Caviwipes 39 each  Remaining on backorder: XLarge - 80 Boxes 2X-Large - 620 Boxes Caviwipes  - 361 Tubes Super Sani-Clothes (purple tops) 500 Tubes  -------------------------------------------------- Follow Up #1: 07/02/2020 15:14. Daniel.Brown / SEA - LOG - Staffer Notified ready for pickup:  Medical Nitrile Gloves: Small  400 Boxes Medium  600 Boxes Large  1,200 Boxes X-Large  1,120 Boxes 2X-Large  380 Boxes  On backorder: XLarge - 80 Boxes 2X-Large - 620 Boxes Caviwipes  - 400 Tubes Super Sani-Clothes (purple tops) 500 Tubes  </t>
  </si>
  <si>
    <t>STTL-pxj7w4</t>
  </si>
  <si>
    <t>SFD alcohol wipes</t>
  </si>
  <si>
    <t xml:space="preserve">SFD needs alcohol wipes </t>
  </si>
  <si>
    <t>Sending to purchasing</t>
  </si>
  <si>
    <t xml:space="preserve"> -------------------------------------------------- Follow Up #5: 07/21/2020 11:37. Daniel.Brown / SEA - LOG - Staffer Notified ready for pickup: PDI Alcohol prep pad wipes - 20 Cases  Remaining on backorder: PDI Alcohol prep pad wipes - 70 Cases -------------------------------------------------- Follow Up #4: 06/09/2020 09:18. Daniel.Brown / SEA - LOG - Staffer Notified ready for pickup: 100 Boxes of PAWS Towelette Item #34400MC -------------------------------------------------- Follow Up #3: 04/15/2020 11:33. Matt.Rathke / SEA - LOG - Staffer Notified SFD of product for pickup: Ordered  Ready  BackOrder 100	  10		  90 34044MC - p.a.w.s. Antimicrobial Towelettes , Case of 10 boxes of 100  100  100  0 34079C  -  p.a.w.s. Antimicrobial Towelettes , Case of 12 - Pop-Up Dispensers of 160 -------------------------------------------------- Follow Up #2: 04/14/2020 15:08. Matt.Rathke / SEA - LOG - Staffer Delivered to inventory:  Item	Item	Rate	Amount 100	0		34079C p.a.w.s. Antimicrobial Towelettes , Case of 12 - Pop-Up Dispensers of 160	$107.35	$10,735.00 100	0		34044MC p.a.w.s. Antimicrobial Towelettes , Case of 10 boxes of 100	$74.95	$7,495.00 ________________________________________  	Subtotal	$18,230.00 Discount	 Shipping Cost	$287.96 Handling Cost	$0.00 Tax Total	$0.00 Total	$18,517.96  -------------------------------------------------- Follow Up #1: 04/13/2020 14:55. Presley.Palmer / SEA - LOG - Supplies and Equipment Previous note says order is completed. Making status change here as well. </t>
  </si>
  <si>
    <t xml:space="preserve">Attn: Phillip Saunders  PAWS Alcohol wipes or the like (large size).  We are looking for any amount they can get us as we plan for the next several months.  </t>
  </si>
  <si>
    <t>STTL-vglrrp</t>
  </si>
  <si>
    <t>Seattle Public Utilties</t>
  </si>
  <si>
    <t>SPU HV Tyvek Suits</t>
  </si>
  <si>
    <t>Tyvek 500 HV</t>
  </si>
  <si>
    <t>Need 6 boxes each of Tyvek 500 HV - Dupont brand or equal in the following sizes:  Large  Extra Large  2XL  3XL</t>
  </si>
  <si>
    <t xml:space="preserve"> -------------------------------------------------- Follow Up #1: 07/20/2020 10:35. Daniel.Brown / SEA - LOG - Staffer Notified ready for pickup: Tyvek 500 HV - Dupont brand following sizes:  XL - 300 Each  2XL - 150 Each 3XL - 150 Each  Remaining on backorder: Large - 150 Each </t>
  </si>
  <si>
    <t>We need 6 boxes each of Tyvek 500 HV - Dupont brand or equal in the following sizes:  Large Extra Large 2XL 3XL  (See attached spec file)</t>
  </si>
  <si>
    <t>STTL-0weer7</t>
  </si>
  <si>
    <t>HSD PPE Request</t>
  </si>
  <si>
    <t>Sanitation/Hygiene Supplies for Meal Programs 7-7-20</t>
  </si>
  <si>
    <t xml:space="preserve">Items requested: Disinfecting Wipes - 240 Tubes Cloth masks filters -  5,000 each Masks Child 50/box - 1 box Nitrile Small gloves - 500 Boxes Nitrile Medium gloves - 600 Boxes Nitrile Large gloves - 700 Boxes Nitrile X-Large gloves - 700 Boxes Paper Towels 12/pack-case - 40 Hand Sanitizer 16oz - 240 Each Hand Sanitizer Gallon - 80 Each Toilet Paper 80/case - 10 </t>
  </si>
  <si>
    <t xml:space="preserve"> -------------------------------------------------- Follow Up #2: 07/20/2020 10:31. Daniel.Brown / SEA - LOG - Staffer Notified ready for pickup: Nitrile Small gloves - 469 Boxes Nitrile Large gloves - 672 Boxes -------------------------------------------------- Follow Up #1: 07/08/2020 14:35. Daniel.Brown / SEA - LOG - Staffer Notified ready for pickup: Disinfecting Wipes - 240 Tubes Cloth masks filters -  5,000 each Masks Child 50/box - 1 box Nitrile Small gloves - 31 Boxes Nitrile Medium gloves - 600 Boxes Nitrile Large gloves - 28 Boxes Nitrile X-Large gloves - 700 Boxes Paper Towels case - 48 Hand Sanitizer 16.9oz - 846 Each (substituted 16.9 oz bottles for gallons bottles) Toilet Paper case - 22  On backorder: Nitrile Small gloves - 469 Boxes Nitrile Large gloves - 672 Boxes h  </t>
  </si>
  <si>
    <t xml:space="preserve">See attached spreadsheet for items requested from the centrally procured list.  To provide Seattle meal programs with emergency sanitation and hygiene supplies and basic personal protective equipment and meal serving supplies in order to follow the Public Health COVID-19 guidance. These agencies serve the most vulnerable residents (including homeless and very low-income seniors, children and families) with food and other basic needs. Agencies are having difficulty procuring these items needed to maintain services and health safety protocols while shifting services toward home delivery and to-go meals.  Items will be picked up by lead agency supporting meal programs at the City warehouse. </t>
  </si>
  <si>
    <t>STTL-5kdp5z</t>
  </si>
  <si>
    <t>FAS Crown Hill Warehouse</t>
  </si>
  <si>
    <t xml:space="preserve">Need 2 cans of Lysol spray </t>
  </si>
  <si>
    <t>Crown Hill Warehouse Request</t>
  </si>
  <si>
    <t xml:space="preserve"> 2 cans of Lysol spray delivered</t>
  </si>
  <si>
    <t xml:space="preserve"> -------------------------------------------------- Follow Up #1: 07/20/2020 06:34. Daniel.Brown / SEA - LOG - Staffer Request was cancelled, items  not needed now. </t>
  </si>
  <si>
    <t>Need 2 cans of Lysol spray</t>
  </si>
  <si>
    <t>STTL-j2eoru</t>
  </si>
  <si>
    <t>HSD Cot and Blanket Request</t>
  </si>
  <si>
    <t>75 Cots (65 regular; 10 bariatric) + 75 Blankets to Fisher Pavilion</t>
  </si>
  <si>
    <t xml:space="preserve">Need 65 regular, 10 bariatric cots and 75 blankets from a Seattle shelter cache delivered to Seattle Center Fisher Pavilion at 305 Harrison St.  Contact is Mary Flowers (HSD): mary.flowers@seattle.gov or 206-501-7859  Delivery date is flexible. </t>
  </si>
  <si>
    <t xml:space="preserve"> -------------------------------------------------- Follow Up #1: 07/20/2020 06:32. Daniel.Brown / SEA - LOG - Staffer Delivery was completed on Friday, July 17th. </t>
  </si>
  <si>
    <t>Need 65 regular, 10 bariatric cots and 75 blankets from a Seattle shelter cache delivered to Seattle Center Fisher Pavilion at 305 Harrison St. This site is currently a 24-hour shelter space opened to support COVID-19 guidance operated by The Salvation Army.  Contact is Mary Flowers (HSD): mary.flowers@seattle.gov or 206-501-7859  Delivery date is flexible.</t>
  </si>
  <si>
    <t>STTL-fz3c1q</t>
  </si>
  <si>
    <t>Submit request to State EMD</t>
  </si>
  <si>
    <t>25000 vials (times two) for COVID tests</t>
  </si>
  <si>
    <t>Submit request through King County ECC to push request for 25,000 vials to the State EOC.</t>
  </si>
  <si>
    <t xml:space="preserve"> -------------------------------------------------- Follow Up #2: 07/17/2020 14:17. Elenka.Jarolimek / SEA - LOG - FAS King County has forwarded the request to State EOC. -------------------------------------------------- Follow Up #1: 07/17/2020 11:03. Elenka.Jarolimek / SEA - LOG - FAS Spoke to Tom Sharp by phone at King County ECC. Followed up with email to notify RCEEC Logistics to submit resource request to the State and enter into request into DOH Smartsheets.  Shared Seattle Fires direction, to break up the request into two orders for 25,000 vials for COVID tests.  	Order #1: 25000 vials to be delivered to JTF on August 1st (or 3rd if Monday works better)  	Order #2: 25000 vials to be delivered to the JTF on August 15 (or 17th if Monday works better)  Directed any follow up questions to Sheila Kelly  </t>
  </si>
  <si>
    <t>25000 vials to be delivered to JTF on August 1st (or 3rd if Monday works better) 25000 vials to be delivered to the JTF on August 15 (or 17th if Monday works better)</t>
  </si>
  <si>
    <t>SCL cloth masks</t>
  </si>
  <si>
    <t>Cloth Masks Non-specific brand each 2000</t>
  </si>
  <si>
    <t>STTL-nanw3e</t>
  </si>
  <si>
    <t>SPL Cloth Mask Request</t>
  </si>
  <si>
    <t>COVID-19 PPE supplied to all City employees</t>
  </si>
  <si>
    <t>Need 200 - Cloth masks</t>
  </si>
  <si>
    <t xml:space="preserve">We received 2 orders of fabric masks, but we are still 200 masks short to distribute 3 to each employee. </t>
  </si>
  <si>
    <t>STTL-5vqlqb</t>
  </si>
  <si>
    <t>Seattle Center</t>
  </si>
  <si>
    <t>Seattle Center Weekly Order 7/7</t>
  </si>
  <si>
    <t xml:space="preserve">Requested Items: 50x face shields 4x IR Thermometers 5x boxes of microfiber cloths 50x tubs/containers of disinfectant wipes 1000  N95 Masks 3M - 8200 500  KN95 Masks  </t>
  </si>
  <si>
    <t xml:space="preserve"> -------------------------------------------------- Follow Up #2: 07/16/2020 11:41. Daniel.Brown / SEA - LOG - Staffer No return call on the microfiber cloths.  These are non-stocked item.  Closing out request. -------------------------------------------------- Follow Up #1: 07/08/2020 13:02. Daniel.Brown / SEA - LOG - Staffer Notified Ready for Pickup: 50x face shields 4x IR Thermometers 50x tubs/containers of disinfectant wipes 1000  N95 Masks 3M - 8200 500  KN95 Masks  Awaiting call back to confirm Microfiber Cltoth request.  Item not currently stocked in Warehouse. 5x boxes of microfiber cloths </t>
  </si>
  <si>
    <t xml:space="preserve">This order is preparation for screening stations around campus.  50x face shields  4x IR Thermometers  5x boxes of microfiber cloths  50x tubs/containers of disinfectant wipes  1000  N95 Masks 3M - 8200  500  KN95 Masks </t>
  </si>
  <si>
    <t>STTL-ozfi1g</t>
  </si>
  <si>
    <t>20,000 Masks for City employees</t>
  </si>
  <si>
    <t>20,000 Cloth Mask for City Employee</t>
  </si>
  <si>
    <t xml:space="preserve">Procure 20,000 Cloth masks for stock and distribution to City employees. </t>
  </si>
  <si>
    <t xml:space="preserve"> -------------------------------------------------- Follow Up #2: 07/16/2020 11:38. Daniel.Brown / SEA - LOG - Staffer Masks arrived and distributed to departments for employee's. -------------------------------------------------- -------------------------------------------------- Follow Up #1: 04/27/2020 11:20. Pam.Tokunaga / SEA - LOG - Supplies and Equipment Assigned to Julie Salinas  Order was placed on 4/24/2020 with Saryan's Arthur. Order will take 4 - 6 weeks for delivery.  </t>
  </si>
  <si>
    <t>Please purchase stock of 20,000 masks for stock and distribution to City employees. Mask should meet CDC guidelines.</t>
  </si>
  <si>
    <t>STTL-vimrtz</t>
  </si>
  <si>
    <t>Seattle Parks and Recreation</t>
  </si>
  <si>
    <t>Hand Sanitizers</t>
  </si>
  <si>
    <t>SPR request Hand sanitizer</t>
  </si>
  <si>
    <t xml:space="preserve">Please communicate with Parks on status of supplies.  Their are seeking the following items:  8 Gallons of Hand sanitizer  24 Purell (1200 ml stand refills) 48 Purell (12oz bottle)  </t>
  </si>
  <si>
    <t xml:space="preserve"> -------------------------------------------------- Follow Up #2: 07/16/2020 11:34. Daniel.Brown / SEA - LOG - Staffer Notified ready for pickup: 65 16.9oz bottles of hand sanitizer in place of the 8 1-gallon bottles.  Remaining on back order: 24 - 1200 ml stand refills -------------------------------------------------- Follow Up #1: 04/14/2020 10:54. Matt.Rathke / SEA - LOG - Staffer Ready for pickup: 48 ea, Purell, various sizes  Remaining: 24 1200 ml stand refill 8 - 1 gallon, Hand Sanitizer </t>
  </si>
  <si>
    <t xml:space="preserve">8 Gallons of Hand sanitizer  24  Purell (1200 ml stand refills) 48  Purell (12oz bottle) </t>
  </si>
  <si>
    <t>STTL-nabs7u</t>
  </si>
  <si>
    <t>SPU Mask Request</t>
  </si>
  <si>
    <t>Pleated Face Masks</t>
  </si>
  <si>
    <t>30,000 units of pleated face masks Santa Fe brand or equal.</t>
  </si>
  <si>
    <t xml:space="preserve"> -------------------------------------------------- Follow Up #1: 07/15/2020 14:57. Daniel.Brown / SEA - LOG - Staffer Notified ready for pickup:  30,000 each - Surgical masks  Part of order was filled with requested masks. </t>
  </si>
  <si>
    <t>30,000 units of pleated face masks Santa Fe brand or equal. See attached picture.</t>
  </si>
  <si>
    <t>STTL-5x3p0e</t>
  </si>
  <si>
    <t>Seattle Public Library - PPE</t>
  </si>
  <si>
    <t>90 DAY SUPPLY PPE REQUEST</t>
  </si>
  <si>
    <t xml:space="preserve">-------------------------------------------------- Follow Up #6: 07/15/2020 14:28. Daniel.Brown / SEA - LOG - Staffer Notified ready for pickup: Kimberly Clark, Kleenex Luxury Foam Skin Cleanser, Frag &amp; Dye Free, 1.2L, 2/Case (130 Each)  Still on backorder: Masks, 3M N95 8511, 79 boxes  -------------------------------------------------- Follow Up #5: 07/02/2020 10:25. Daniel.Brown / SEA - LOG - Staffer Notified ready for delivery.  40 Surgical mask brackets for stands.  Distribution Services will deliver to Seattle Central Library on Monday, 7/6/2020 on mail run.  -------------------------------------------------- Follow Up #4: 07/01/2020 10:03. Daniel.Brown / SEA - LOG - Staffer Notified ready for pickup: Surgical Gowns, 825 total, 8 boxes  Still on backorder: Masks, 3M N95 8511, 79 boxes  -------------------------------------------------- Follow Up #3: 06/18/2020 11:18. Daniel.Brown / SEA - LOG - Staffer Notified ready for pickup: Masks, 3M N95 8511, 52 boxes  Still on backorder: Masks, 3M N95 8511, 79 boxes Surgical Gowns, 825 total, 83 boxes -------------------------------------------------- Follow Up #2: 06/17/2020 13:50. Daniel.Brown / SEA - LOG - Staffer Notified ready for pickup: Masks, N95 20/box - 17 boxes  Still on backorder: Masks, 3M N95 8511, 131 boxes Surgical Gowns, 825 total, 83 boxes -------------------------------------------------- Follow Up #1: 06/04/2020 17:03. Matt.Rathke / SEA - LOG - Staffer Notified for pickup:  Surgical masks, 50 ea box, 14457 boxes Purell, Hand sanitizer, various sizes, 70 ea  Remaining:  Masks, N95 20/box - 17 boxes Masks, 3M N95 8511, 131 boxes Surgical Gowns, 825 total, 83 boxes  </t>
  </si>
  <si>
    <t>90 DAY SUPPLY  PRIORITY: INCIDENT STABILIZATION  COVID-19 RESTROOM RESPONSE</t>
  </si>
  <si>
    <t>STTL-yz8qgr</t>
  </si>
  <si>
    <t>FAS Janitorial Serices</t>
  </si>
  <si>
    <t>Request for Surgical Mask</t>
  </si>
  <si>
    <t>Surgical Masks for City Hall</t>
  </si>
  <si>
    <t>2 - Cases of Surgical Masks</t>
  </si>
  <si>
    <t xml:space="preserve"> -------------------------------------------------- Follow Up #1: 07/15/2020 08:27. Daniel.Brown / SEA - LOG - Staffer Notified Ready for pickup: 2 - Cases of Surgical Masks (80 Boxes) </t>
  </si>
  <si>
    <t>Requesting 2 cases (80 boxes) of Surgical Masks.</t>
  </si>
  <si>
    <t>STTL-326lup</t>
  </si>
  <si>
    <t>SFD NSC Testing Site</t>
  </si>
  <si>
    <t>items needed to set up the North Seattle College site for mass testing.</t>
  </si>
  <si>
    <t xml:space="preserve">Attached is an excel document that has two tabs. Please click on the Local or State tab. This was sent to us as to use as a guide. We deleted some items from the list and added a couple of items.  These are items needed to set up the North Seattle College site for mass testing.  I also included two documents that illustrate what we are trying to set up.  Please let me know if you have any questions.  Respectfully, Jay </t>
  </si>
  <si>
    <t xml:space="preserve">-------------------------------------------------- Follow Up #3: 07/07/2020 13:52. Matt.Rathke / SEA - LOG - Staffer SFD was instructed not to set this up. -------------------------------------------------- Follow Up #2: 03/26/2020 09:24. Matt.Rathke / SEA - LOG - Staffer Per email from Jay Schreckengost 3/20 @ 11:48 puts this on hold -------------------------------------------------- Follow Up #1: 03/22/2020 21:10. Presley.Palmer / SEA - LOG - Supplies and Equipment There are a lot of different items in the "Local or State" tab... Just to confirm that you want to purchase all the line items in each category? </t>
  </si>
  <si>
    <t xml:space="preserve">items needed to set up the North Seattle College site for mass testing for SFD Attached is an excel document that has two tabs. Please click on the Local or State tab. This was sent to us as to use as a guide. We deleted some items from the list and added a couple of items.  These are items needed to set up the North Seattle College site for mass testing.  I also included two documents that illustrate what we are trying to set up.  Please let me know if you have any questions.  Respectfully, Jay </t>
  </si>
  <si>
    <t>STTL-613gei</t>
  </si>
  <si>
    <t>TTS Request</t>
  </si>
  <si>
    <t>TTS Request for FAS Facilities</t>
  </si>
  <si>
    <t>Requesting 2 TTS Temperature screening devices</t>
  </si>
  <si>
    <t xml:space="preserve"> -------------------------------------------------- Follow Up #1: 07/13/2020 14:37. Daniel.Brown / SEA - LOG - Staffer 1 Device delivered to Justice Center 1 Device delivered to City Hall </t>
  </si>
  <si>
    <t>Request 2 TTS Temperature screening devices for use at Justice Center and City Hall.</t>
  </si>
  <si>
    <t>STTL-zrnboh</t>
  </si>
  <si>
    <t>FAS vehicle maintenance</t>
  </si>
  <si>
    <t>Vehicle Maintance supplies</t>
  </si>
  <si>
    <t>FAS vehicle maintenance supplies</t>
  </si>
  <si>
    <t xml:space="preserve">60 x COVID-133 (Cloth Masks) 2 x COVID-110  (Facial Tissue) 2 x COVID-230  (Purell 1 gallon) 2 x The Fremont MISCHIEF Distillery Hand Sanitizer (Could not find the items number for this) </t>
  </si>
  <si>
    <t xml:space="preserve"> -------------------------------------------------- Follow Up #1: 07/13/2020 13:28. Daniel.Brown / SEA - LOG - Staffer Notified ready for pickup: 2 - Cases Facial Tissue 60 - Cloth masks 20 - 16.9oz bottles of hand sanitizer 2 - Gallons of Liquid hand sanitizer </t>
  </si>
  <si>
    <t>STTL-zbptwe</t>
  </si>
  <si>
    <t>Seattle Department of Education and Early Learning</t>
  </si>
  <si>
    <t>DEEL PPC Supply Request</t>
  </si>
  <si>
    <t xml:space="preserve">Requested items: -Hand sanitizer refill - 3 Gallons (or equivalent) -Disinfecting Wipes - 1 dozen tubs (or equivalent) -Reusable cloth face masks - 36 (6 new hires since original order in March) </t>
  </si>
  <si>
    <t xml:space="preserve"> -------------------------------------------------- Follow Up #1: 07/13/2020 12:12. Daniel.Brown / SEA - LOG - Staffer Notified ready for pickup: -Hand sanitizer refill - 3 Gallons (or equivalent) Filled with 25 16.9oz bottles of hand sanitizer in place of the gallon bottles. -Disinfecting Wipes - 1 dozen tubs (or equivalent) 12 tubes. -Reusable cloth face masks - 36  </t>
  </si>
  <si>
    <t>DEEL needs the following COVID-19-related PPE/Sanitation supplies:  -Hand sanitizer refill - 3 Gallons (or equivalent) -Disinfecting Wipes - 1 dozen tubs (or equivalent) -Reusable cloth face masks - 36 (6 new hires since original order in March)</t>
  </si>
  <si>
    <t>STTL-11hfds</t>
  </si>
  <si>
    <t>Cloth Masks and Sanitizer</t>
  </si>
  <si>
    <t xml:space="preserve">Resource	request: hand sanitizer	pump bottle - each	100 cloth mask each - 100  </t>
  </si>
  <si>
    <t xml:space="preserve"> -------------------------------------------------- Follow Up #1: 07/13/2020 12:02. Daniel.Brown / SEA - LOG - Staffer Notified ready for pickup: hand sanitizer	pump bottle - each	100 cloth mask each - 100  </t>
  </si>
  <si>
    <t>100 cloth masks for new employees and breakage  Hand sanitizer in PUMP bottles for test sites</t>
  </si>
  <si>
    <t>STTL-c6oze3</t>
  </si>
  <si>
    <t>FAS Facility Ops</t>
  </si>
  <si>
    <t>PPE Request for Haller Lake Opening</t>
  </si>
  <si>
    <t xml:space="preserve">Requested Items: 1 - 33.8ox bottle of Hand sanitizer 2 - boxes of Surgical Masks </t>
  </si>
  <si>
    <t xml:space="preserve"> -------------------------------------------------- Follow Up #1: 07/10/2020 12:49. Daniel.Brown / SEA - LOG - Staffer Following items were picked up: 1 - 33.8ox bottle of Hand sanitizer 2 - boxes of Surgical Masks  </t>
  </si>
  <si>
    <t>Need PPE's for the Haller Lake Fleets opening plan.  1 - 33.8ox bottle of Hand sanitizer 2 - boxes of Surgical Masks</t>
  </si>
  <si>
    <t>STTL-wj6si5</t>
  </si>
  <si>
    <t>Purell Stand Refills</t>
  </si>
  <si>
    <t>24 - Purell 1200ML hand sanitizer refills</t>
  </si>
  <si>
    <t xml:space="preserve"> -------------------------------------------------- Follow Up #1: 07/09/2020 09:32. Daniel.Brown / SEA - LOG - Staffer 24 Refills were delivered to SMT for FO. </t>
  </si>
  <si>
    <t>Need 24 Purell 1200ML hand sanitizer refills for Purell stands.</t>
  </si>
  <si>
    <t>STTL-yi7ua6</t>
  </si>
  <si>
    <t>Seattle Police Department</t>
  </si>
  <si>
    <t xml:space="preserve">Police - N95 Mask </t>
  </si>
  <si>
    <t>Police - N95 Mask</t>
  </si>
  <si>
    <t xml:space="preserve">Request:  1,500 - N95 8210 Mask </t>
  </si>
  <si>
    <t xml:space="preserve"> -------------------------------------------------- Follow Up #2: 07/09/2020 09:09. Daniel.Brown / SEA - LOG - Staffer Notified ready for pickup: 243 Boxes  Remaining on backorder: 1,257 Boxes -------------------------------------------------- Follow Up #1: 03/20/2020 15:24. Matt.Rathke / SEA - LOG - Staffer This will be a part of the order of 400K masks </t>
  </si>
  <si>
    <t xml:space="preserve">Part # #M8210 Unit is each and we need 30,000 masks.  </t>
  </si>
  <si>
    <t>STTL-yb2kbu</t>
  </si>
  <si>
    <t>Seattle Mayors Office</t>
  </si>
  <si>
    <t>Determine 3rd testing site</t>
  </si>
  <si>
    <t>Facilities Support Unit</t>
  </si>
  <si>
    <t>Public COVID19 test sites</t>
  </si>
  <si>
    <t xml:space="preserve">Mayors office has requested a 3rd testing site be located in the south end of the city, focusing on rainier beach, delridge areas  FAS real estate services is locating </t>
  </si>
  <si>
    <t>Develop six (6) publicly accessible COVID19 testing sites  Two (2) sites identified, setup and running.</t>
  </si>
  <si>
    <t>STTL-8kheel</t>
  </si>
  <si>
    <t>Motor Pool vehicles will be used</t>
  </si>
  <si>
    <t>Ground Support Unit</t>
  </si>
  <si>
    <t>Delivery Vehicles</t>
  </si>
  <si>
    <t>OSE folks will be coordinating with Matt Rathke on needs</t>
  </si>
  <si>
    <t xml:space="preserve"> -------------------------------------------------- Follow Up #1: 07/08/2020 15:27. Matt.Rathke / SEA - LOG - Staffer This request has been completed. </t>
  </si>
  <si>
    <t>CSB is requesting vehilcles to help in the delivery of groceries to food voucher recipients.  Request is from OSE Jessica Finn Coven per emails to Adrian M.- Darcy C-M</t>
  </si>
  <si>
    <t>STTL-e0m62y</t>
  </si>
  <si>
    <t>Surgical Masks for SMT</t>
  </si>
  <si>
    <t xml:space="preserve">3 Cases (120 boxes) of Surgical Masks </t>
  </si>
  <si>
    <t xml:space="preserve">-------------------------------------------------- Follow Up #1: 07/08/2020 12:53. Daniel.Brown / SEA - LOG - Staffer Notified ready for pickup: 3 Cases (120 boxes) of Surgical Masks  </t>
  </si>
  <si>
    <t>Need 3 Cases (120 boxes) of Surgical Masks</t>
  </si>
  <si>
    <t>STTL-ursird</t>
  </si>
  <si>
    <t>Parks &amp; Rec PPE &amp; supply request</t>
  </si>
  <si>
    <t>Seattle Parks and Recreation PPE Request June 24, 2020</t>
  </si>
  <si>
    <t>Requested PPE's and Supplies: 1500 - Disinfectant Wipes (per unit tube)  500 - Facial Tissue (per box)  1200 - Paper Towels (per pack)  500 - N95 Mask  500 - KN95  80,000 - Surgical Mask  Face Shields 500  500- Antimicrobial (PAWS) Wipes (per container or box)  2500 - Hand Sanitizer (12oz bottle or equiv)  500 Surgical gowns</t>
  </si>
  <si>
    <t xml:space="preserve"> -------------------------------------------------- Follow Up #5: 07/08/2020 14:41. Daniel.Brown / SEA - LOG - Staffer Notified ready for pickup: 5 - Antimicrobial (PAWS) Wipes (per container or box)  10 - Boxes KN95 Masks -------------------------------------------------- Follow Up #4: 07/07/2020 13:50. Daniel.Brown / SEA - LOG - Staffer Notified ready for pickup: 1,500 - Disinfectant Wipes (per unit tube)  Remaining on Backorder: 5 - Antimicrobial (PAWS) Wipes (per container or box)  10 - Boxes KN95 Masks -------------------------------------------------- Follow Up #3: 07/01/2020 10:37. Daniel.Brown / SEA - LOG - Staffer Notified ready for pickup: 5 - Boxes of Surgical Gowns  Remaining on Backorder: 1,500 - Disinfectant Wipes (per unit tube) 5 - Antimicrobial (PAWS) Wipes (per container or box)  10 - Boxes KN95 Masks  -------------------------------------------------- Follow Up #2: 06/29/2020 13:31. Daniel.Brown / SEA - LOG - Staffer Notified ready for pickup: 113 - Cases of Paper Towels  Remaining on Backorder: 1,500 - Disinfectant Wipes (per unit tube) 5 - Antimicrobial (PAWS) Wipes (per container or box)  10 - Boxes KN95 Masks 5 - Cases of Surgical Gowns -------------------------------------------------- Follow Up #1: 06/25/2020 12:48. Daniel.Brown / SEA - LOG - Staffer Notified ready for pickup: 25 - Cases of Facial Tissue 25 - Boxes of N95 Masks 1,600 - Boxes of Surgical Masks 500 - Face Shields 7 - Cases of Paper Towels 2,500 - Bottles of Hand Sanitizer  On Backorder: 1,500 - Disinfectant Wipes (per unit tube) 5 - Antimicrobial (PAWS) Wipes (per container or box)  10 - Boxes KN95 Masks 113 - Cases of Paper Towels 5 - Cases of Surgical Gowns  </t>
  </si>
  <si>
    <t xml:space="preserve">June 24 1500 - Disinfectant Wipes (per unit tube)  500 - Facial Tissue (per box) 1200 - Paper Towels (per pack)  500 - N95 Mask 500 - KN95 80,000 - Surgical Mask  Face Shields 500 500- Antimicrobial (PAWS) Wipes (per container or box)  2500 - Hand Sanitizer (12oz bottle or equiv) 500 Surgical gowns </t>
  </si>
  <si>
    <t>Supplies and equipment needed for COVID19 test sites</t>
  </si>
  <si>
    <t xml:space="preserve"> -------------------------------------------------- Follow Up #1: 07/08/2020 13:20. Matt.Rathke / SEA - LOG - Staffer Two (2) sites up and running.  Third site is being researched, will need materials for shelter and test taking. </t>
  </si>
  <si>
    <t>Locate six (6) sites for Public COVID19 testing</t>
  </si>
  <si>
    <t>Determine locations for public testing sites</t>
  </si>
  <si>
    <t xml:space="preserve"> -------------------------------------------------- Follow Up #1: 07/08/2020 13:19. Matt.Rathke / SEA - LOG - Staffer Six sites changed to two vehicle emissions testing sites, a third site is being researched. </t>
  </si>
  <si>
    <t>Coordinate the creation of six (6) public COVID19 test sites</t>
  </si>
  <si>
    <t>Corridinate the details related to locating, creating, the supplies and logistics of the six (6) public COVID19 test sites.</t>
  </si>
  <si>
    <t xml:space="preserve">-------------------------------------------------- Follow Up #1: 07/08/2020 13:17. Matt.Rathke / SEA - LOG - Staffer Six sites had been paired down to two (2) - former vehicle emissions sites  Third site to be identified, stocked and setup. </t>
  </si>
  <si>
    <t>SPU High Visible Tyvek Suits</t>
  </si>
  <si>
    <t xml:space="preserve">Need 6 boxes each size of Tyvek 500 HV - Dupont brand or equal in the following sizes:  Large  Extra Large  2XL  3XL  (See attached spec file) </t>
  </si>
  <si>
    <t xml:space="preserve">-------------------------------------------------- Follow Up #1: 07/08/2020 13:06. Matt.Rathke / SEA - LOG - Staffer Ordered to be delivered 9/15 </t>
  </si>
  <si>
    <t>STTL-xatl5t</t>
  </si>
  <si>
    <t>Seattle office of Arts and Culture</t>
  </si>
  <si>
    <t>Electro Static disinfectant sprayer</t>
  </si>
  <si>
    <t>Electro Static sprayer</t>
  </si>
  <si>
    <t>Protexus Electrostatic disinfectant sprayer</t>
  </si>
  <si>
    <t xml:space="preserve"> -------------------------------------------------- Follow Up #1: 07/08/2020 13:08. Matt.Rathke / SEA - LOG - Staffer Ordered 6/16 To be delivered 7/15 </t>
  </si>
  <si>
    <t>Uses positive and negative charges to make disinfecting solutions electromagnetically stick to target surfaces.  Will make cleaning employee work stations during the work day easier and faster to keep in line with the  CDC's recommended cleaning schedules for the reduction of the spread of COVID-19.  Protexus Electro static device.</t>
  </si>
  <si>
    <t>STTL-n2ekfl</t>
  </si>
  <si>
    <t>HSD Homeless Shelters PPE</t>
  </si>
  <si>
    <t>Sanitation/Hygiene supplies for homeless shelters 6-16-20</t>
  </si>
  <si>
    <t xml:space="preserve">Please provide the following supplies that are necessary to ensure homeless shelters are able to properly mitigate the spread of COVID in their facilities:  40 boxes large gloves  30 boxes XL gloves  100 tubes Disinfectant Wipes  100 packs of paper towels  50 boxes of 30 gallon trash bags  </t>
  </si>
  <si>
    <t xml:space="preserve"> -------------------------------------------------- Follow Up #2: 07/08/2020 09:21. Daniel.Brown / SEA - LOG - Staffer Notified ready for pickup: 100 tubes Disinfectant Wipes  -------------------------------------------------- Follow Up #1: 06/17/2020 10:13. Daniel.Brown / SEA - LOG - Staffer Notified ready for pickup: 40 boxes large gloves  30 boxes XL gloves  100 packs of paper towels  On backorder: 100 tubes Disinfectant Wipes  50 boxes of 30 gallon trash bags  </t>
  </si>
  <si>
    <t xml:space="preserve">Please provide the following supplies that are necessary to ensure homeless shelters are able to properly mitigate the spread of COVID in their facilities:  40 boxes large gloves 30 boxes XL gloves 100 tubes Disinfectant Wipes 100 packs of paper towels 50 boxes of 30 gallon trash bags  If possible, deliver to King County Warehouse:  Attn Harold Odom 2727 SW Marginal Way, Seattle  </t>
  </si>
  <si>
    <t>STTL-vm697x</t>
  </si>
  <si>
    <t>HSD shelter PPE</t>
  </si>
  <si>
    <t>Sanitation/Hygiene supplies for homeless shelters</t>
  </si>
  <si>
    <t>Masks (basic ear loop or cloth  1000 total, packaging is flexible  Sm gloves  30 boxes  Med gloves  100 boxes  L gloves  100 boxes  XL gloves  90 boxes  Disinfecting wipes  500 canisters  Hand sanitizer  200 bottles  Delivery is needed to King County Warehouse or notify contact and delivery will be arranged by King County.</t>
  </si>
  <si>
    <t xml:space="preserve"> -------------------------------------------------- Follow Up #4: 07/08/2020 09:13. Daniel.Brown / SEA - LOG - Staffer Notified ready for pickup: Disinfecting wipes  500 canisters  -------------------------------------------------- Follow Up #3: 05/27/2020 07:20. Matt.Rathke / SEA - LOG - Staffer Remaining: Disinfecting wipes  500 canisters  -------------------------------------------------- Follow Up #2: 05/27/2020 07:19. Matt.Rathke / SEA - LOG - Staffer Notified for pickup 4/21/2020  Masks (basic ear loop or cloth  1000 total, packaging is flexible - 20 boxes Sm gloves  30 boxes  Med gloves  100 boxes  L gloves  100 boxes  XL gloves  90 boxes  Remaining: Disinfecting wipes  500 canisters  Hand sanitizer  200 bottles  -------------------------------------------------- Follow Up #1: 05/26/2020 16:01. Matt.Rathke / SEA - LOG - Staffer Notified for pickup:  Hand sanitizer  200 bottles  </t>
  </si>
  <si>
    <t xml:space="preserve">Please provide the following supplies that are necessary to ensure homeless shelters are able to properly mitigate the spread of COVID in their facilities:  Masks (basic ear loop or cloth  1000 total, packaging is flexible  Sm gloves  30 boxes Med gloves  100 boxes L gloves  100 boxes XL gloves  90 boxes Disinfecting wipes  500 canisters Hand sanitizer  200 bottles  Delivery is needed to King County Warehouse or notify contact and delivery will be arranged by King County. </t>
  </si>
  <si>
    <t>STTL-kynszw</t>
  </si>
  <si>
    <t>PPE portion of this request</t>
  </si>
  <si>
    <t>Sanitation/PPE supplies for homeless outreach</t>
  </si>
  <si>
    <t>Moving the PPE part over to the warehouse</t>
  </si>
  <si>
    <t xml:space="preserve"> -------------------------------------------------- Follow Up #8: 07/08/2020 09:06. Daniel.Brown / SEA - LOG - Staffer Notified ready for pickup: Clorox Wipes, 1000 ea -------------------------------------------------- Follow Up #7: 05/12/2020 11:09. Matt.Rathke / SEA - LOG - Staffer Notified for pickup: Clorox wipes, 470 ea  Remaining: Clorox Wipes, 1000 ea Masks, surgical, 22 boxes Purell, various sizes, 1900 each -------------------------------------------------- Follow Up #6: 04/20/2020 13:12. Matt.Rathke / SEA - LOG - Staffer Notified for pickup: ClaviWipes, 150 ea  Remaining: Clorox Wipes, 1850 ea Masks, surgical, 22 boxes Purell, various sizes, 1900 each -------------------------------------------------- Follow Up #5: 04/14/2020 11:08. Matt.Rathke / SEA - LOG - Staffer Notified ready for pickup - Masks, surgical, 23 boxes  Remaining: Masks, surgical, 22 boxes Purell, various sizes, 1900 each -------------------------------------------------- Follow Up #4: 04/09/2020 14:53. Presley.Palmer / SEA - LOG - Supplies and Equipment Still no luck in purchasing Clorox wipes. One option is to use the liquid hand sanitizer and purchase spray bottles. This can be used as a spray cleaner/disinfectant along with the paper towels stocked in the warehouse.  All other items are warehouse stock which can be filled once the supplies come in. -------------------------------------------------- Follow Up #3: 04/03/2020 13:48. Matt.Rathke / SEA - LOG - Staffer Ready for pickup: Masks, surgical, 5 boxes Purell, various sizes, 100 each  Remaining: Masks, surgical, 45 boxes Purell, various sizes, 1900 each -------------------------------------------------- Follow Up #2: 03/26/2020 20:37. Matt.Rathke / SEA - LOG - Staffer 80 % filled Hand Soap 83 Boxes  Gloves, Sm 5  boxes Gloves, Med 23 boxes Gloves, Lrg 23 boxes Gloves, Xlrg 5 boxes Paper Towels, 21 cases  Remaining: Purell, 12 oz, 2000 each Surgical masks, 50 boxes Clorox wipes, 6 / case, 2000 each -------------------------------------------------- Follow Up #1: 03/25/2020 12:26. Matt.Rathke / SEA - LOG - Staffer Masks, N95 50 Clorox wipes, 2000 Paper towels, rolls 750 Soap, antibacterial 1000 Gloves, vinyl exam, Sm 50 Gloves, vinyl exam, Med 225 Gloves, vinyl exam, Lrg 225 Gloves, vinyl exam, X-lrg 50 Hand Sanitizer, 12 oz, 2000 </t>
  </si>
  <si>
    <t>See Excel Spreadsheet emailed to Sam.Houghtaling@seattle.gov for list of items. To provide sanitation and PPE supplies to Seattle and King County homeless outreach programs so they can continue to provide critical outreach services to vulnerable populations, while maintaining the safety of staff and clients in accordance with public health and CDC guidance on protecting against COVID-19. Concurrently, the order is also intended to provide outreach staff with supplies that can be disseminated to clients in order to that support health and health maintenance for those who are living unsheltered.  This product will need to be transferred (or direct delivery) to the KC Warehouse where it will be distributed to outreach programs. Product is needed asap, preferably within 1-2 weeks.  Back up contact in HSD: Sean Walsh (Sean.Walsh2@seattle.gov or 206-684-0569 or Skype call).</t>
  </si>
  <si>
    <t>STTL-kfoa48</t>
  </si>
  <si>
    <t>HSD - Food bank program 6 week supply</t>
  </si>
  <si>
    <t>Sanitation/Hygiene supplies for food banks</t>
  </si>
  <si>
    <t xml:space="preserve">COVID-100	Disinfecting wipes 	container	900 COVID-110	Facial Tissue (36/case)	case	30 	Masks - ear loop - does not need to be surgical (100/box)	box	180 COVID-140	Nitrile gloves - s (100/box)	box	35 COVID-141	Nitrile gloves - m (100/box)	box	100 COVID-142	Nitrile gloves - l (100/box)	box	100 COVID-143	Nitrile gloves - xl (100/box)	box	35 COVID-150	Paper Towels (12 packs/case)	case	90 COVID-160	Hand Sanitizer (desk size)	container	360 COVID-180	Toilet Paper (80/case)	case	30 COVID-230 	Hand Sanitizer	gallon	180 	Hand Soap	gallon	90 </t>
  </si>
  <si>
    <t xml:space="preserve"> -------------------------------------------------- Follow Up #4: 07/08/2020 08:53. Daniel.Brown / SEA - LOG - Staffer Notified ready for pickup: Disinfecting wipes 	container	900 -------------------------------------------------- Follow Up #3: 06/16/2020 13:12. Daniel.Brown / SEA - LOG - Staffer Notified ready for pickup: 1,365 bottles (16.9oz) were substituted for the 180 - 1 gallon bottles.  Still on Backorder: Disinfecting wipes 	container	900  On 5/8/202 - 360 (1 qt) bottles of soap were sent out in place of the 90 gallons requested. -------------------------------------------------- Follow Up #2: 05/26/2020 15:54. Matt.Rathke / SEA - LOG - Staffer Notified for pickup:  Hand Sanitizer (desk size)	container	360  Remaining: Disinfecting wipes 	container	900 Hand Sanitizer	gallon	180 Hand Soap	gallon	90  -------------------------------------------------- Follow Up #1: 05/06/2020 13:37. Matt.Rathke / SEA - LOG - Staffer Notified for pickup: Facial Tissue (36/case)	54 cases Masks - ear loop - does not need to be surgical (100/box) 360 boxes Nitrile gloves - s (100/box) blue	35 boxes Nitrile gloves - m (100/box)	100 boxes Nitrile gloves - l (100/box)	100 boxes Nitrile gloves - xl (100/box)	35 boxes Paper Towels (12 packs/case)	 90 cases Toilet Paper (80/case)	30 cases  Remaining: Disinfecting wipes 	container	900 Hand Sanitizer (desk size)	container	360 Hand Sanitizer	gallon	180 Hand Soap	gallon	90 </t>
  </si>
  <si>
    <t>See attached spreadsheet. Can a cost estimate be provided of centrally procured items coming from the warehouse?  Order is to provide Seattle food banks with emergency sanitation and hygiene supplies and basic personal protective equipment and home delivery supplies during the COVID-19 epidemic. Agencies report difficulty procuring these items needed to maintain services and health safety protocols while shifting services toward home delivery and to-go meals.  Order does not need to be complete to be notified to pick up at warehouse.</t>
  </si>
  <si>
    <t>STTL-hy10lg</t>
  </si>
  <si>
    <t>HSD Food Bank PPE</t>
  </si>
  <si>
    <t>Sanitation/Hygiene supplies for food banks 6-10-20</t>
  </si>
  <si>
    <t xml:space="preserve">Disinfecting wipes 	container	900 Facial Tissue (36/case)	case	30 Hand Soap	gallon	90 Masks - ear loop - does not need to be surgical (50 or 100/box)	box	360 / 180 Nitrile gloves - s (100/box)	box	70 Nitrile gloves - m (100/box)	box	100 Nitrile gloves - l (100/box)	box	100 Nitrile gloves - xl (100/box)	box	35 Paper Towels (12 packs of 200/case)	case	90 Toilet Paper (80 rolls/case)	case	30 Hand Sanitizer	container	360 Hand Sanitizer	gallon	180 Hand Sanitizer 4 oz. (24/case)	case	100 Hand Sanitizer 2 oz. (24/case)	case	100 Thermometers (Touchless)	each	60 </t>
  </si>
  <si>
    <t xml:space="preserve"> -------------------------------------------------- Follow Up #3: 07/08/2020 08:48. Daniel.Brown / SEA - LOG - Staffer Notified ready for pickup: Disinfecting wipes 	container	900 -------------------------------------------------- Follow Up #2: 06/15/2020 14:04. Daniel.Brown / SEA - LOG - Staffer Notified ready for pickup: Thermometers (Touchless)	each	60  Items on Backorder: Disinfecting wipes 	container	900 -------------------------------------------------- Follow Up #1: 06/11/2020 10:17. Daniel.Brown / SEA - LOG - Staffer Notified ready for pickup: Facial Tissue (20/case)	cases 54 Hand Soap-1 qt size Each 360	 Masks - ear loop - does not need to be surgical (50/box) box360 Nitrile gloves - s (100/box)	box	70 Nitrile gloves - m (100/box)	box	100 Nitrile gloves - l (100/box)	box	100 Nitrile gloves - xl (100/box)	box	35 Paper Towels (10 packs/case)	  cases	100 Toilet Paper (36 rolls/case)	cases  66 Hand Sanitizer	container	was substituted with 2,575 16.9oz Bottles  Items on Backorder: Disinfecting wipes 	container	900 Thermometers (Touchless)	each	60 </t>
  </si>
  <si>
    <t>See attached spreadsheet. Items will provide Seattle food banks with emergency sanitation supplies, basic PPE and supplies critical to pivoting to home delivery/to-go services during the COVID-19 pandemic and following Public Health guidance.These agencies serve the most vulnerable residents (including homeless and very low-income seniors, children and families) with food and other basic needs. Agencies report difficulty procuring these items needed to maintain services and COVID-19 health and safety protocols while pivoting services toward home delivery and to-go bags.</t>
  </si>
  <si>
    <t>STTL-85idet</t>
  </si>
  <si>
    <t>FAS Request</t>
  </si>
  <si>
    <t>FAS Hand Sanitizer</t>
  </si>
  <si>
    <t xml:space="preserve">4 - 2 Liter size bottles of hand sanitizer </t>
  </si>
  <si>
    <t>4 - 2 Liter size bottles of hand sanitizer</t>
  </si>
  <si>
    <t>STTL-fckdfw</t>
  </si>
  <si>
    <t>Submit to request into King County WebEOC</t>
  </si>
  <si>
    <t>50,000 of vials of Viral Transport Medium</t>
  </si>
  <si>
    <t>Submit request into the King County WebEOC Resource Tracker to be elevated to the State for fulfillment.</t>
  </si>
  <si>
    <t xml:space="preserve"> -------------------------------------------------- Follow Up #5: 07/07/2020 14:54. Elenka.Jarolimek / SEA - LOG - FAS Additional 25,000 vials of VTM were received by SFD.  This completes the 50,000 originally requested from the State. -------------------------------------------------- Follow Up #4: 06/26/2020 14:21. Elenka.Jarolimek / SEA - LOG - FAS Received Specimen collection component request form from DOH via email on June 26, 2020. -------------------------------------------------- Follow Up #3: 06/26/2020 11:48. Elenka.Jarolimek / SEA - LOG - FAS I spoke to Mark Henry who manages the COVID 19 testing kits at the DOH Tumwater warehouse by phone.  Mark shared his concerns that the original request for 50,000 vials of VTM would basically impact the availability of supply to other parts of the State.  I shared with him that approximately 10,000 tests are processed each week, and he counter proposed with delivering 25,000 vials.  Lt. Brian Wallace and I have chatted over the phone, and he agreed to this quantity.  The order is currently being processed by DOH, and should arrive either today or Monday, 6/29.  As a follow up, there is still a gap of the 25,000 additional vials.  If you pursue placing an order with the State and need to understand their supply options, you may contact Mark Henry directly at: 360-338-5656  Awaiting how to be advise on how to proceed by summarizing the above in an email to Lt. Brian Wallace, Ken Neafcy and Sheila Kelley and cc'd David Kunselman  -------------------------------------------------- Follow Up #2: 06/25/2020 16:06. Elenka.Jarolimek / SEA - LOG - FAS Per email sent on 6/25/20 from RCECC Logistic (rcecc.logs@kingcounty.gov), the request has been elevated to DOH. -------------------------------------------------- Follow Up #1: 06/25/2020 12:41. Elenka.Jarolimek / SEA - LOG - FAS Request submitted into County WebEOC resource tracker and notified rcecc.logs@kingcounty.gov to elevate request to State on June 25.  </t>
  </si>
  <si>
    <t>Elevate request for 50,000 of vials of Viral Transport Medium to the State for fulfillment. This is for continued sustainment of COVID 19 testing at the City of Seattle north and south testing sites.</t>
  </si>
  <si>
    <t>STTL-ehf63k</t>
  </si>
  <si>
    <t>Seattle Dept Construction &amp; Inspection</t>
  </si>
  <si>
    <t xml:space="preserve">Requested Items: 3 Boxes of Medium 5 Boxes of Large 5 Boxes of X-Large  </t>
  </si>
  <si>
    <t xml:space="preserve"> -------------------------------------------------- Follow Up #1: 07/07/2020 14:19. Daniel.Brown / SEA - LOG - Staffer Notified ready for pickup: 3 Boxes of Medium 5 Boxes of Large 5 Boxes of X-Large </t>
  </si>
  <si>
    <t xml:space="preserve">Request: 3 Boxes of Medium 5 Boxes of Large 5 Boxes of X-Large </t>
  </si>
  <si>
    <t>STTL-mj0yzz</t>
  </si>
  <si>
    <t>SDOT 30 day PPE supply</t>
  </si>
  <si>
    <t>SDOT 90-day supply request</t>
  </si>
  <si>
    <t xml:space="preserve">Hand Sanitizer	12 oz bottle or equiv	12 oz bottle or equiv	1240 Purell (1200 ml stand refill) (bottle) - 78	1200 ml stand refil - bottle	1200 ml stand refil - bottle	78 Paper towels	not specified	Pack	600 Nitrile Gloves 	XLarge	box of 100	300 Nitrile Gloves	Large	Box of 100	300 Nitrile Gloves M	Medium	box of 100	200 Nitrile Gloves	Small	box of 100	100 Surgical Masks	not specified	each	2000 Hand Soap	not specified	Bottle	758 Facial tissue	not specifed	box	3106  Disinfectant Wipes 	not specified	tube	3473 </t>
  </si>
  <si>
    <t xml:space="preserve"> -------------------------------------------------- Follow Up #4: 07/07/2020 13:57. Daniel.Brown / SEA - LOG - Staffer Notified ready for pickup: Clorox wipes, 3,473 ea  Items still on backorder: Purell, 1200 ml stands, 78 -------------------------------------------------- Follow Up #3: 06/11/2020 12:44. Daniel.Brown / SEA - LOG - Staffer The following items were not included in the order when it was sent out on 5/28/20. They have been pulled and SDOT was notified they are now ready for pickup.  Nitrile gloves, Sml - 90 boxes Nitrile gloves, Med, 180 boxes Nitrile gloves, Lrge, 270 boxes Nitrile gloves, Xlarge 270 boxes  Items on still on backorder: Clorox wipes, 3,473 ea Purell, 1200 ml stands, 78 -------------------------------------------------- Follow Up #2: 06/05/2020 14:54. Daniel.Brown / SEA - LOG - Staffer Notified by Crispina  To remove the following from this order. 130 Cases of Facial Tissue 60 Case of paper towels  Items were removed form order and notified SDOT the revised order is ready for pickup. -------------------------------------------------- Follow Up #1: 05/28/2020 13:42. Matt.Rathke / SEA - LOG - Staffer Notified for pickup:  Facial tissue - 155 cases Hand Soap - 64 boxes Masks, surgical - 40 boxes Nitrile gloves, Sml - 10 boxes Nitrile gloves, Med, 20 boxes Nitrile gloves, Lrge, 30 boxes Nitrile gloves, Xlarge 30 boxes Paper Towels, 60 cases Purell, various sizes, 1,240 ea  Remaining: Clorox wipes, 3,473 ea Purell, 1200 ml stands, 78 ea  </t>
  </si>
  <si>
    <t xml:space="preserve">We are not expecting the orders to be fulfilled all at once, but gradually over the next few months. Additional information below.  SDOT needs the supplies to continue our Mission Essential Functions as part of the Citys continuity of operations plan (COOP):  	Maintain arterial operations and waterway operations  	Mitigate hazards in the right of way  	Maintain permitting function  	Disseminate critical transportation information 	Ensure the safety of the traveling public 	Maintain mobility with a focus on transit and emergency vehicles 	Keep goods moving, particularly on designated freight corridors  </t>
  </si>
  <si>
    <t>STTL-bqcrtm</t>
  </si>
  <si>
    <t>Seattle Parks and Rec - masks and sanitizer</t>
  </si>
  <si>
    <t>Seattle Parks and Recreation Resource Request</t>
  </si>
  <si>
    <t xml:space="preserve">Cloth Mask -- Still need 2,500 Cloth Mask for Employees (3-mask per employee)  5,000 Disposable Face Mask (for visitors)  2,000 (16oz bottle w / lids) Hand Sanitizer  2,000 Antibacterial Wipes  </t>
  </si>
  <si>
    <t xml:space="preserve"> -------------------------------------------------- Follow Up #3: 07/07/2020 13:44. Daniel.Brown / SEA - LOG - Staffer Notified ready for pickup: 1,962 Antibacterial Wipes -------------------------------------------------- Follow Up #2: 06/25/2020 13:50. Daniel.Brown / SEA - LOG - Staffer Notified ready for pickup: Cloth Mask -- 2,500 Cloth Mask  Remaining on backorder 1,962 Antibacterial Wipes  -------------------------------------------------- Follow Up #1: 05/15/2020 15:45. Matt.Rathke / SEA - LOG - Staffer Notified ready for pickup  2,000 Antibacterial Wipes - 38 each 5,000 Disposable Face Mask (for visitors) - 100 boxes 2,000 (16oz bottle w / lids) Hand Sanitizer - 1,000 ea bottles and lids empty 50 filled - bottles and lids Cloth Mask -- Still need 2,500 Cloth Mask for Employees (3-mask per employee)  Remainder:  1,962 Antibacterial Wipes  Cloth Mask -- Still need 2,500 Cloth Mask for Employees (3-mask per employee)  </t>
  </si>
  <si>
    <t xml:space="preserve">Need: Cloth Mask -- Still need 2,500 Cloth Mask for Employees (3-mask per employee)  5,000 Disposable Face Mask (for visitors)  2,000 (16oz bottle w / lids) Hand Sanitizer  2,000 Antibacterial Wipes  Can we pick up this afternoon?  </t>
  </si>
  <si>
    <t>STTL-2tlqrr</t>
  </si>
  <si>
    <t>SFD Cloth mask request</t>
  </si>
  <si>
    <t xml:space="preserve">Reguest:  200 cloth masks  </t>
  </si>
  <si>
    <t xml:space="preserve"> -------------------------------------------------- Follow Up #1: 07/07/2020 13:34. Daniel.Brown / SEA - LOG - Staffer Notified ready for pickup: 200 cloth masks </t>
  </si>
  <si>
    <t>200 cloth masks for new staff (recruits) and breakage.</t>
  </si>
  <si>
    <t>STTL-jfuop1</t>
  </si>
  <si>
    <t>City Employees' Retirement System</t>
  </si>
  <si>
    <t>Cloth masks request</t>
  </si>
  <si>
    <t xml:space="preserve">Request: 12 more cloth masks.  </t>
  </si>
  <si>
    <t xml:space="preserve"> -------------------------------------------------- Follow Up #1: 07/07/2020 13:25. Daniel.Brown / SEA - LOG - Staffer Notified ready for pickup: 12 masks being routed to Distribution Services and will be ready for pickup on Wednesday 7/8/2020 after 12noon. </t>
  </si>
  <si>
    <t>We need 12 more cloth masks.</t>
  </si>
  <si>
    <t>STTL-xlh4o7</t>
  </si>
  <si>
    <t xml:space="preserve">Police - Surface Sanitizer Tubs/Towels </t>
  </si>
  <si>
    <t>Police - Surface Sanitizer Tubs/Towels</t>
  </si>
  <si>
    <t>Purchase Sanitizer tubs/towels</t>
  </si>
  <si>
    <t xml:space="preserve"> -------------------------------------------------- Follow Up #8: 07/07/2020 11:27. Daniel.Brown / SEA - LOG - Staffer Notified ready for pickup: Clorox wipes - 6,810 -------------------------------------------------- Follow Up #7: 06/26/2020 11:26. Daniel.Brown / SEA - LOG - Staffer Notified ready for pickup: Notified to be picked up: Clorox wipes - 650  Remaining on back-order: Clorox wipes - 6,810 -------------------------------------------------- Follow Up #6: 05/12/2020 11:04. Matt.Rathke / SEA - LOG - Staffer Notified to be picked up: Clorox wipes, 1,000 ea  7,460 remain on back-order. -------------------------------------------------- Follow Up #5: 04/22/2020 15:27. Matt.Rathke / SEA - LOG - Staffer Notified to be picked up: ClaviWipes, 380 ea  8,460 remain on back-order. -------------------------------------------------- Follow Up #4: 04/20/2020 13:03. Matt.Rathke / SEA - LOG - Staffer Notified to be picked up: ClaviWipes, 150 ea  8,840 remain on back-order. -------------------------------------------------- Follow Up #3: 04/13/2020 09:46. Presley.Palmer / SEA - LOG - Supplies and Equipment Order placed for 20K plus containers of Antibacterial Wipes with and eta of 6/9/20. -------------------------------------------------- Follow Up #2: 04/13/2020 08:29. evan.cobb / SEA - LOG - FAS 1,010 Clorox wipes (each) shipped. 8,990 remain on back-order. -------------------------------------------------- Follow Up #1: 03/23/2020 17:07. Matt.Rathke / SEA - LOG - Staffer Updating assignment over to Warehouse </t>
  </si>
  <si>
    <t xml:space="preserve">Part number CLO15949CT	 Surface Wipes (Any Brand)	75 Towelettes per Tube and we need	10,000 Tubes </t>
  </si>
  <si>
    <t>STTL-5klp43</t>
  </si>
  <si>
    <t>Six (6) IR thermometers for Neighborhood Service Centers</t>
  </si>
  <si>
    <t>IR handheld thermometers for Nieghborhood Service Centers</t>
  </si>
  <si>
    <t>Six (6) IR thermometers</t>
  </si>
  <si>
    <t xml:space="preserve"> -------------------------------------------------- Follow Up #1: 07/07/2020 07:42. Matt.Rathke / SEA - LOG - Staffer Not needed </t>
  </si>
  <si>
    <t>Neighborhood Service Centers need hand held thermometers, 1 ea = 6 thermometers  To be filled from FAS stock</t>
  </si>
  <si>
    <t>STTL-pdhva9</t>
  </si>
  <si>
    <t xml:space="preserve">FAS customer service </t>
  </si>
  <si>
    <t>Six (6) floor stand hand sanitizing dispenser</t>
  </si>
  <si>
    <t>Hand Sanitizing dispenser - floor stand</t>
  </si>
  <si>
    <t>Neighborhood service centers need dispensers for hand sanitizer, one for each.</t>
  </si>
  <si>
    <t xml:space="preserve"> -------------------------------------------------- Follow Up #2: 07/06/2020 14:51. Pam.Tokunaga / SEA - LOG - Supplies and Equipment Order as placed with Excel, estimated delivery is TBD. -------------------------------------------------- Follow Up #1: 05/11/2020 16:14. Pam.Tokunaga / SEA - LOG - Supplies and Equipment Assigned to David M. RFQ issued, responses due back on 5/12/2020 at 4:00 PM </t>
  </si>
  <si>
    <t>Neighborhood service centers need floor stand hand sanitizing dispensers.  Six (6) - one for each NSC.</t>
  </si>
  <si>
    <t>Seattle Public Libraries - PPE supplies</t>
  </si>
  <si>
    <t>Need to purchase: DISPOSABLE 70% ALCOHOL WIPES TO DISINFECT ELECTRONICS; KEYBOARD, MICE, ETC.TUBE, BOX, ANY (QUANTITY IS EACH WIPE) 73,000  - PAWS wipes or equal 320/tube 25 tubes  HAND SANITIZER COMPATIBLE WITH DISPENSER KIMBERLY CLARK SCOTT ULTRA KLEENEX INSTANT HAND SANITIZER, GREEN CERTIFIED, FRAGRANCE FREE, VENDOR CODE: 34643, COLOR: CLEAR 1.2L EACH, CASE OF 2 150ea  SURGICAL MASK DISPENSER DISPENSER WITH REMOVABLE FLOOR STAND PREFERRED EACH 40  DISPOSABLE DISINFECTANT WIPESWIPES, BLEACH FREE, FRAGRANCE-FREE, ALCOHOL-BASED TUBE 30</t>
  </si>
  <si>
    <t xml:space="preserve"> -------------------------------------------------- Follow Up #3: 07/06/2020 14:45. Pam.Tokunaga / SEA - LOG - Supplies and Equipment David M sent out an RFQ, we received no bids on a few of their items. Per email from Amanda Solonika she requested to close this request. She will try to come up with alternative products and resubmit later. -------------------------------------------------- Follow Up #2: 07/02/2020 09:53. Daniel.Brown / SEA - LOG - Staffer Received 40 Mask Bracket, Gray, Purell, 2428-MB (part #3EUE8) -------------------------------------------------- Follow Up #1: 06/16/2020 12:04. Pam.Tokunaga / SEA - LOG - Supplies and Equipment Assigned to David M  Received part number for the dispenser stand so we could send out an RFQ. RFQ should be issued on 6/17. </t>
  </si>
  <si>
    <t>STTL-hpair3</t>
  </si>
  <si>
    <t>FAS CPD Inspectors</t>
  </si>
  <si>
    <t>FAS CPD Inspector Request</t>
  </si>
  <si>
    <t>Thermometer Request</t>
  </si>
  <si>
    <t>Requested items:  3 - Thermometers</t>
  </si>
  <si>
    <t xml:space="preserve"> -------------------------------------------------- Follow Up #1: 07/06/2020 13:48. Daniel.Brown / SEA - LOG - Staffer Notified ready for pickup: 3 - Thermometers </t>
  </si>
  <si>
    <t>3 - Thermometers</t>
  </si>
  <si>
    <t>STTL-j3y97s</t>
  </si>
  <si>
    <t>Seattle Center 90 day PPE supplies</t>
  </si>
  <si>
    <t>Seattle Center 90-day Supply Order</t>
  </si>
  <si>
    <t xml:space="preserve">50ea goggles 50ea safety glasses 50 boxes of Large Nitrile Gloves 150ea bottles of purell hand sanitizer 30x - 16z bottles of 70% isopropyl alcohol 4000ea surgery masks 120 cases of JRT 1000-Jumbo Roll Tissue, 2 ply-12 rolls per case, 3.55" x 1000' 100 cases Roll Towels-RTK800(brown or white) - 6 rolls per case, 1000' roll -7.8" x 800'. 20 wall mount hand sanitizer dispensers 60 refills bags for hand sanitizer dispensers 1 surgery mask pedestal dispenser 1 case of bioesque (all in one) disinfectant 300ea KN95s </t>
  </si>
  <si>
    <t xml:space="preserve"> -------------------------------------------------- Follow Up #3: 07/06/2020 11:25. Daniel.Brown / SEA - LOG - Staffer Notified ready for pickup: 50ea goggles 50ea safety glasses  Remaining on backorder: Purell, 1200 ml stand refills -------------------------------------------------- Follow Up #2: 06/17/2020 15:12. Daniel.Brown / SEA - LOG - Staffer Notified ready for pickup: Masks, KN95, 300 ea - 6 boxes  Still on backorder: Purell, 1200 ml stand refills  -------------------------------------------------- Follow Up #1: 06/03/2020 13:36. Matt.Rathke / SEA - LOG - Staffer Notified for pickup  Masks, surgical - 80 boxes, 4000 ea Gloves, Large, blue - 50 boxes Purell - various sizes, 150 ea Isopropyl Alcohol, 30 ea, 32 oz Disinfectant, Bioesque, 5 gallon bucket  Remaining Purell, 1200 ml stand refills Masks, KN95, 300 ea - 6 boxes  Purchasing  50 ea safety glasses 120 cases of Jumbo Roll Tissue 100 cases Roll, Towels - 6 rolls / case Surgical mask dispenser 20 wall mount hand sanitizer dispensers 60 wall mount hand sanitizer bags  </t>
  </si>
  <si>
    <t>50ea goggles 50ea safety glasses 50 boxes of Large Nitrile Gloves 150ea bottles of purell hand sanitizer 30x - 16z bottles of 70% isopropyl alcohol 4000ea surgery masks 120 cases of JRT 1000-Jumbo Roll Tissue, 2 ply-12 rolls per case, 3.55" x 1000' 100 cases Roll Towels-RTK800(brown or white) - 6 rolls per case, 1000' roll -7.8" x 800'. 20 wall mount hand sanitizer dispensers 60 refills bags for hand sanitizer dispensers 1 surgery mask pedestal dispenser 1 case of bioesque (all in one) disinfectant  300ea KN95s</t>
  </si>
  <si>
    <t>STTL-fwcfqv</t>
  </si>
  <si>
    <t>SCL Request Gloves</t>
  </si>
  <si>
    <t>Requested Items:  COVID-140 Nitrile gloves (Small) 25 boxes COVID-143 Nitrile gloves (X-Large) 50 boxes</t>
  </si>
  <si>
    <t xml:space="preserve"> -------------------------------------------------- Follow Up #1: 07/06/2020 11:12. Daniel.Brown / SEA - LOG - Staffer Notified ready for pickup: COVID-140 Nitrile gloves (Small) 25 boxes COVID-143 Nitrile gloves (X-Large) 50 boxes </t>
  </si>
  <si>
    <t xml:space="preserve">COVID-140	Nitrile gloves (Small)	25 boxes COVID-143	Nitrile gloves (X-Large)	50 boxes </t>
  </si>
  <si>
    <t>STTL-x06atm</t>
  </si>
  <si>
    <t>SPL PPE Request</t>
  </si>
  <si>
    <t>face coverings for public visitors</t>
  </si>
  <si>
    <t xml:space="preserve">Requested Items:  child-sized disposable face coverings novelty print prefered	(each 5000) </t>
  </si>
  <si>
    <t xml:space="preserve"> -------------------------------------------------- Follow Up #1: 07/06/2020 09:35. Daniel.Brown / SEA - LOG - Staffer Notified ready for pickup: 100 Boxes (5,000 each) </t>
  </si>
  <si>
    <t>for phase 3 outreach and on-site programming.</t>
  </si>
  <si>
    <t>STTL-xh8xsv</t>
  </si>
  <si>
    <t>SCL Request Surgical Masks</t>
  </si>
  <si>
    <t>Requested Items: Masks (surgical)  boxes 150</t>
  </si>
  <si>
    <t xml:space="preserve"> -------------------------------------------------- Follow Up #1: 07/06/2020 09:12. Daniel.Brown / SEA - LOG - Staffer Notified ready for pickup: Masks (surgical)  boxes 150  </t>
  </si>
  <si>
    <t>COVID-131	Masks (surgical)</t>
  </si>
  <si>
    <t>STTL-6zwiob</t>
  </si>
  <si>
    <t>Seattle Fire Request</t>
  </si>
  <si>
    <t xml:space="preserve">100 - Anti Fog Clear Safety Glasses </t>
  </si>
  <si>
    <t xml:space="preserve"> -------------------------------------------------- Follow Up #1: 07/02/2020 14:54. Daniel.Brown / SEA - LOG - Staffer 100 Goggles were picked by fire from Warehoulse. </t>
  </si>
  <si>
    <t>100 - Anti Fog Clear Safety Glasses</t>
  </si>
  <si>
    <t>STTL-9v21ga</t>
  </si>
  <si>
    <t>Hand Sanitizer for SFD / COVID test site</t>
  </si>
  <si>
    <t>Hand Sanitizer - Gel</t>
  </si>
  <si>
    <t>SFD is requesting hand sanitizer supply for the COVID testing sites 200 16-oz sanitizer containers 10 gallon containers of sanitizer</t>
  </si>
  <si>
    <t xml:space="preserve">-------------------------------------------------- Follow Up #1: 06/02/2020 09:14. Matt.Rathke / SEA - LOG - Staffer Supplied 280 - 16 oz bottles </t>
  </si>
  <si>
    <t>200 16-oz sanitizer containers 10 gallon containers of sanitizer This is for the COVID testing sites.</t>
  </si>
  <si>
    <t>STTL-tiyksc</t>
  </si>
  <si>
    <t>Seattle Fire - North Test Site</t>
  </si>
  <si>
    <t>PPE Supplies - North Testing Site</t>
  </si>
  <si>
    <t xml:space="preserve">Paper Towels  2 boxes  TP - - 1 boxes  </t>
  </si>
  <si>
    <t xml:space="preserve"> -------------------------------------------------- Follow Up #1: 07/02/2020 06:46. Daniel.Brown / SEA - LOG - Staffer Notified Ready for pickup: Paper Towels  2 boxes  TP - - 1 boxes  FAS Warehouse will have truck pickup and deliver on 7/2/20. </t>
  </si>
  <si>
    <t xml:space="preserve">SFD request:  Paper Towels  2 boxes TP - - 1 boxes </t>
  </si>
  <si>
    <t>STTL-spaj3i</t>
  </si>
  <si>
    <t>Seattle EOC</t>
  </si>
  <si>
    <t>Seattle EOC Request</t>
  </si>
  <si>
    <t>Temperature Measurement Camera</t>
  </si>
  <si>
    <t xml:space="preserve">Resource	Request: Temperature Measurement Camera	Opticom OPT-7MFTD-FM	ea	1 </t>
  </si>
  <si>
    <t>Requesting one Temperature Measurement Camera for the EOC lobby.</t>
  </si>
  <si>
    <t>STTL-d0izs6</t>
  </si>
  <si>
    <t>TTS devices for SPU facilities</t>
  </si>
  <si>
    <t>SPU-TTS-OPT-7MFTD-FM</t>
  </si>
  <si>
    <t>SPU facilities needs</t>
  </si>
  <si>
    <t>Temperature Screening for Staff, Contractors, and others as required by City, County, and State Public Health Guidance.</t>
  </si>
  <si>
    <t>STTL-6ckii9</t>
  </si>
  <si>
    <t>FAS facility operations</t>
  </si>
  <si>
    <t>Purchase Order</t>
  </si>
  <si>
    <t>FAS facility operations - employee screening tools</t>
  </si>
  <si>
    <t>Purchase Order for devices, six (6).  1 needed for EOC, 4 needed for SPU</t>
  </si>
  <si>
    <t>Thermal Temperature Screening tool needed for 6 different facilities including SMT, City Hall, SJC</t>
  </si>
  <si>
    <t>STTL-qjjjk6</t>
  </si>
  <si>
    <t>COVID-19 PPE</t>
  </si>
  <si>
    <t xml:space="preserve">Item: Disposable gowns Type: Sleeved gowns, does not need to be waterproof Unit: each / Count: 1,500 </t>
  </si>
  <si>
    <t xml:space="preserve"> -------------------------------------------------- Follow Up #1: 07/01/2020 10:52. Daniel.Brown / SEA - LOG - Staffer Notified ready for pickup: 15 Boxes - Surgical Gowns (1,500) </t>
  </si>
  <si>
    <t xml:space="preserve">90-day supply for health screeners and restroom response cleaning crews (hygiene response and phase 2 onsite programming)  Item: Disposable gowns Type: Sleeved gowns, does not need to be waterproof Unit: each Count: 1500 </t>
  </si>
  <si>
    <t>STTL-q0q53y</t>
  </si>
  <si>
    <t>FAS Fleet Management Vehicle Maintenance</t>
  </si>
  <si>
    <t>Vehicle Maintenance cloth masks and filters</t>
  </si>
  <si>
    <t>Cloth masks and filters</t>
  </si>
  <si>
    <t>40 additional cloth masks 300 additional cloth mask filters</t>
  </si>
  <si>
    <t xml:space="preserve"> -------------------------------------------------- Follow Up #1: 07/01/2020 09:31. Daniel.Brown / SEA - LOG - Staffer Notified ready for pickup:  40 - Cloth masks 300 - Cloth masks filters </t>
  </si>
  <si>
    <t>FAS fleet management needs additional masks and filters for returning staff  Forty (40) cloth masks (COVID-133) 300 cloth mask filters (COVID-134)</t>
  </si>
  <si>
    <t>STTL-t0nk7b</t>
  </si>
  <si>
    <t>Seattle Municipal Court</t>
  </si>
  <si>
    <t>Cloth Masks for SMC</t>
  </si>
  <si>
    <t>Cloth Masks SMC</t>
  </si>
  <si>
    <t>200 cloth masks</t>
  </si>
  <si>
    <t xml:space="preserve"> -------------------------------------------------- Follow Up #1: 06/30/2020 12:25. Daniel.Brown / SEA - LOG - Staffer Mask have been delivered to the SMC mailroom per Melissa's request. </t>
  </si>
  <si>
    <t>200 Masks for SMC</t>
  </si>
  <si>
    <t>STTL-gzh5h7</t>
  </si>
  <si>
    <t>Warehouse is handling</t>
  </si>
  <si>
    <t>HSD Bariatric Cot Request</t>
  </si>
  <si>
    <t>Assigned to warehouse.</t>
  </si>
  <si>
    <t xml:space="preserve"> -------------------------------------------------- Follow Up #1: 06/30/2020 10:53. Daniel.Brown / SEA - LOG - Staffer Completed, 8 cots delivered. </t>
  </si>
  <si>
    <t>Replacing broken cots.  Ordering 8 bariatric cots from the shelter cache for the Southwest Teen Life Center.  Need ASAP</t>
  </si>
  <si>
    <t>STTL-6u0y6n</t>
  </si>
  <si>
    <t>Planning &amp; Community Development</t>
  </si>
  <si>
    <t>OPCD PPE Request</t>
  </si>
  <si>
    <t>Plannning &amp; Community Development PPE</t>
  </si>
  <si>
    <t>Requested item: 6 - Bottles of hand sanitizer</t>
  </si>
  <si>
    <t xml:space="preserve"> -------------------------------------------------- Follow Up #1: 06/29/2020 13:39. Daniel.Brown / SEA - LOG - Staffer Notified ready for pickup: 6 - Bottles of hand sanitizer </t>
  </si>
  <si>
    <t>Request PPE's:  6 - Bottles of hand sanitizer</t>
  </si>
  <si>
    <t>STTL-vqzavy</t>
  </si>
  <si>
    <t>Disinfectant for sprayer</t>
  </si>
  <si>
    <t>POLICE - Q10 Formula (Disinfectant)</t>
  </si>
  <si>
    <t xml:space="preserve">SPD  Need Q10 formula disinfectant to be used in 6 sprayer(s) to sanitize patrol cars and holding cells after use. (Estimate +/- 24 gallons-- each sprayer has 4 gallon capacity)  </t>
  </si>
  <si>
    <t xml:space="preserve"> -------------------------------------------------- Follow Up #1: 06/26/2020 13:06. Daniel.Brown / SEA - LOG - Staffer Notified ready for pickup: 6 buckets of Bioesque Disinfectant (30 gallons) </t>
  </si>
  <si>
    <t>Need Q10 formula disinfectant to be used in 6 sprayer(s) to sanitize patrol cars and holding cells after use.  (Estimate +/- 24 gallons-- each sprayer has 4 gallon capacity)</t>
  </si>
  <si>
    <t>SPD disinfectant</t>
  </si>
  <si>
    <t>Need Q10 formula disinfectant to be used in 6 sprayer(s) to sanitize patrol cars and holding cells after use. (Estimate +/- 24 gallons-- each sprayer has 4 gallon capacity)</t>
  </si>
  <si>
    <t xml:space="preserve"> -------------------------------------------------- Follow Up #1: 06/26/2020 12:47. Daniel.Brown / SEA - LOG - Staffer Ordered and received Bioesque Disinfectant </t>
  </si>
  <si>
    <t>STTL-cdpwzl</t>
  </si>
  <si>
    <t>SPD - Honeywell N95 masks</t>
  </si>
  <si>
    <t>POLICE - N95 Respirators</t>
  </si>
  <si>
    <t>Need to determine amount.</t>
  </si>
  <si>
    <t xml:space="preserve">-------------------------------------------------- Follow Up #1: 05/12/2020 16:21. Matt.Rathke / SEA - LOG - Staffer Initially 75,000 per emails </t>
  </si>
  <si>
    <t xml:space="preserve">Public Safety rated PPE N95 Respirators Honeywell N95 Molded Cup, Medium/Large w/ Boomerang Nose Seal (Verified Product No. N1115-14110391 -- updated 5/14/20) 75,000 Respirators (3750 bx or 375 cs)  </t>
  </si>
  <si>
    <t>SPD N95 Mask Request</t>
  </si>
  <si>
    <t xml:space="preserve">Requested: Public Safety rated PPE N95 Respirators  Honeywell N95 Molded Cup, Medium/Large w/ Boomerang Nose Seal (Verified Product No. N1115-14110391 -- updated 5/14/20)  75,000 Respirators (3750 bx or 375 cs)  </t>
  </si>
  <si>
    <t xml:space="preserve"> -------------------------------------------------- Follow Up #3: 06/26/2020 10:25. Presley.Palmer / SEA - LOG - Supplies and Equipment Additional update regarding order detail:  Order Placed 5/15/20 for 500K Masks PO# FA1-0000000026 -------------------------------------------------- Follow Up #2: 06/26/2020 09:58. Presley.Palmer / SEA - LOG - Supplies and Equipment Requested ETA update on 6/9 and the response is that there still is no ETA. Previous requests for update all mention several months but no specifics. -------------------------------------------------- Follow Up #1: 06/26/2020 07:50. Matt.Rathke / SEA - LOG - Staffer Bids solicited and orders placed </t>
  </si>
  <si>
    <t>STTL-jkw2oq</t>
  </si>
  <si>
    <t>SDOT Supply Request</t>
  </si>
  <si>
    <t>FAS Central Warehouse Supply Order</t>
  </si>
  <si>
    <t>Requesting supply order of:  Cloth Mask Filters only (each) - 50  Lysol Disinfectant Spray Cans (each) - 50</t>
  </si>
  <si>
    <t xml:space="preserve"> -------------------------------------------------- Follow Up #1: 06/26/2020 08:25. Daniel.Brown / SEA - LOG - Staffer Notified ready for pickup: Cloth Mask Filters only (each) - 50  Lysol Disinfectant Spray Cans (each) - 50 </t>
  </si>
  <si>
    <t xml:space="preserve">Requesting supply order of: Cloth Mask Filters only (each) - 50 Lysol Disinfectant Spray Cans (each) - 50  SDOT needs the supplies to continue our Mission Essential Functions as part of the Citys continuity of operations plan (COOP):  	Maintain arterial operations and waterway operations  	Mitigate hazards in the right of way  	Maintain permitting function  	Disseminate critical transportation information 	Ensure the safety of the traveling public 	Maintain mobility with a focus on transit and emergency vehicles 	Keep goods moving, particularly on designated freight corridors  </t>
  </si>
  <si>
    <t>STTL-6xkd0j</t>
  </si>
  <si>
    <t>Parks and Recreation</t>
  </si>
  <si>
    <t>Parks &amp; Rec Blue Mask request</t>
  </si>
  <si>
    <t>Parks and Recreation - Blue Masks</t>
  </si>
  <si>
    <t>Would like all available remaining stock of blue surgical masks.</t>
  </si>
  <si>
    <t xml:space="preserve"> -------------------------------------------------- Follow Up #2: 06/25/2020 14:54. Daniel.Brown / SEA - LOG - Staffer Notified ready for pickup: 105 bags - Blue Surgical masks (100/bag) -------------------------------------------------- Follow Up #1: 06/25/2020 13:34. Daniel.Brown / SEA - LOG - Staffer We have 105 bags in stock and will pull all for this order. </t>
  </si>
  <si>
    <t>Requesting Blue Surgical Masks.  Remaining stock on hand.</t>
  </si>
  <si>
    <t>STTL-snesc0</t>
  </si>
  <si>
    <t>SPU requests 40,000 cloth masks</t>
  </si>
  <si>
    <t>SPU would like 100,000 cloth masks (black)</t>
  </si>
  <si>
    <t xml:space="preserve">-------------------------------------------------- Follow Up #1: 05/19/2020 11:21. Pam.Tokunaga / SEA - LOG - Supplies and Equipment Per telephone conversation with Claudette, SPU is requesting 40,000 cloth masks. </t>
  </si>
  <si>
    <t>30,000 units of cloth masks</t>
  </si>
  <si>
    <t>2 - Purell Stands &amp; Mask Holder Dispensers</t>
  </si>
  <si>
    <t>STTL-en3xy6</t>
  </si>
  <si>
    <t>FAS Fleets Glove Request</t>
  </si>
  <si>
    <t>Nitirile gloves for FAS vehicle maintenance</t>
  </si>
  <si>
    <t>Gloves Requested: 20 boxes of Medium  40 boxes of Large  40 boxes of XL  20 boxes of XXL</t>
  </si>
  <si>
    <t xml:space="preserve">-------------------------------------------------- Follow Up #1: 06/25/2020 12:33. Daniel.Brown / SEA - LOG - Staffer Notified ready for pickup: 20 boxes of Medium  40 boxes of Large  40 boxes of XL  20 boxes of XXL  </t>
  </si>
  <si>
    <t xml:space="preserve">Vehicle Maintenance needs the following:  20 boxes of Medium 40 boxes of Large 40 boxes of XL 20 boxes of XXL </t>
  </si>
  <si>
    <t>STTL-ey11xk</t>
  </si>
  <si>
    <t>SFD N95 mask request</t>
  </si>
  <si>
    <t>Requested items: 200 boxes of 3M model 8210 N95 Masks</t>
  </si>
  <si>
    <t xml:space="preserve"> -------------------------------------------------- Follow Up #1: 06/25/2020 12:01. Daniel.Brown / SEA - LOG - Staffer Notified ready for pickup: 200 boxes of 3M model 8210 N95 Masks </t>
  </si>
  <si>
    <t>Request 200 boxes of 3M model 8210 N95 masks.</t>
  </si>
  <si>
    <t>STTL-ltt984</t>
  </si>
  <si>
    <t>Parks and Rec supplies</t>
  </si>
  <si>
    <t>Seattle Parks and Recreation - COVID 19 Supplies</t>
  </si>
  <si>
    <t>Sign supplies - zip ties</t>
  </si>
  <si>
    <t xml:space="preserve">Need 100 boxes or plastic jars of Zip Ties for SPR Field Staff  Zip Ties for (SDA) Social Distancing Ambassadors repairing vandalized COVID-19 Parks Signs "Keep it Moving" and "Crowded Parks equal Closed Parks" "Keep 6' Apart Social Distancing"  </t>
  </si>
  <si>
    <t>STTL-mha1qo</t>
  </si>
  <si>
    <t>Seattle Fire Department gloves</t>
  </si>
  <si>
    <t>NItrile Gloves</t>
  </si>
  <si>
    <t>Hand Sanitizer, gel 16 oz or equal quantity  - 300 Nitrile Gloves, XX Large Medical Grade, case -  50 Nitrile Gloves, X-Large Medical Grade, case - 50 Nitrile Gloves, MEDIUM Medical Grade, case - 50 Nitrile Gloves, SMALL Medical grade, case - 50</t>
  </si>
  <si>
    <t xml:space="preserve"> -------------------------------------------------- Follow Up #5: 06/25/2020 08:03. Daniel.Brown / SEA - LOG - Staffer Notified ready for pickup: Nitrile Gloves, XX Large Medical Grade - 155 Boxes -------------------------------------------------- Follow Up #4: 06/24/2020 13:04. Daniel.Brown / SEA - LOG - Staffer Notified ready for pickup: Nitrile Gloves, XX Large Medical Grade - 161 Boxes  Remaining on backorder: Nitrile Gloves, XX Large Medical Grade - 155 Boxes -------------------------------------------------- Follow Up #3: 06/23/2020 15:19. Daniel.Brown / SEA - LOG - Staffer Notified Ready for pickup: Nitrile Gloves, XX Large Medical Grade - 30 Boxes  Remaining on backorder: Nitrile Gloves, XX Large Medical Grade - 316 Boxes -------------------------------------------------- Follow Up #2: 06/19/2020 11:51. Daniel.Brown / SEA - LOG - Staffer Notified ready for pickup: Nitrile Gloves, XX Large Medical Grade - 154 Boxes  Remaining on backorder: Nitrile Gloves, XX Large Medical Grade - 346 Boxes -------------------------------------------------- Follow Up #1: 06/11/2020 15:17. Daniel.Brown / SEA - LOG - Staffer Notified ready for pickup: Hand Sanitizer, gel 16 oz or equal quantity  - 300 Nitrile Gloves, X-Large Medical Grade, case - 50 Nitrile Gloves, MEDIUM Medical Grade, case - 50 Nitrile Gloves, SMALL Medical grade, case - 50  Backorder and Purchasing placing order: Nitrile Gloves, XX Large Medical Grade, case -  50 </t>
  </si>
  <si>
    <t xml:space="preserve">50 cases of small, medium, X-Large and XX-Large gloves - medical grade  300 16oz or like quantity of Hand Sanitizer </t>
  </si>
  <si>
    <t>STTL-1o3geb</t>
  </si>
  <si>
    <t>SCL PPE needs</t>
  </si>
  <si>
    <t>SCL Resource Requests</t>
  </si>
  <si>
    <t xml:space="preserve">Item #COVID - 100 Clorox Wipes/CaviWipes - 200  Item #COVID - 131 Masks (surgical) 50 each/box - 300  Item #COVID - 133 Masks Cloth each - 9000  Item #COVID - 140-BE Nitrile gloves (small - Blue) box - 10  Item #COVID - 143-BE Nitrile gloves (x-large- Blue) box - 10  Item #COVID - 170 Purell (Varies Sizes) each - 500  Item #COVID - 230 Purell 1 gallon size/gel gallon - 50  Item #COVID - 240 Hand Sanitizer 55 gallon drum gel (Note COVID - 255 liquid is ok as alternate if available sooner) - 1  Item #COVID - Thermometer Non-Contact each - 100  </t>
  </si>
  <si>
    <t xml:space="preserve"> -------------------------------------------------- Follow Up #6: 06/24/2020 12:57. Daniel.Brown / SEA - LOG - Staffer Notified ready for pickup: Item #COVID - 100 Clorox Wipes/CaviWipes - 200  Remaining on backorder: Item #COVID - 133 Masks Cloth each - 9000 -------------------------------------------------- Follow Up #5: 06/19/2020 10:41. Daniel.Brown / SEA - LOG - Staffer Notified ready for pickup: Item #COVID - Thermometer Non-Contact each - 52  Remaining on backorder: Remaind on backorder: Item #COVID - 100 Clorox Wipes/CaviWipes - 200  Item #COVID - 133 Masks Cloth each - 9000 -------------------------------------------------- Follow Up #4: 06/15/2020 11:49. Daniel.Brown / SEA - LOG - Staffer Notified ready for pickup: Item #COVID - Thermometer Non-Contact each - 48  Remaind on backorder: Item #COVID - 100 Clorox Wipes/CaviWipes - 200  Item #COVID - 133 Masks Cloth each - 9000 Item #COVID - Thermometer Non-Contact each - 52 -------------------------------------------------- Follow Up #3: 06/08/2020 12:52. Daniel.Brown / SEA - LOG - Staffer Notified ready for pickup: The 50 1-gallon hand sanitizer was changed to 400 16.9oz bottles of hand sanitizer.  Remaind on backorder: Item #COVID - 100 Clorox Wipes/CaviWipes - 200  Item #COVID - 133 Masks Cloth each - 9000 Item #COVID - Thermometer Non-Contact each - 100  -------------------------------------------------- Follow Up #2: 05/26/2020 15:50. Matt.Rathke / SEA - LOG - Staffer Notified ready for pickup:  Item #COVID - 170 Purell (Varies Sizes) each - 500  Remainder: Item #COVID - 100 Clorox Wipes/CaviWipes - 200  Item #COVID - 133 Masks Cloth each - 9000 Item #COVID - 230 Purell 1 gallon size/gel gallon - 50  Item #COVID - Thermometer Non-Contact each - 100  -------------------------------------------------- Follow Up #1: 05/15/2020 15:39. Matt.Rathke / SEA - LOG - Staffer Notified ready for pickup:  Item #COVID - 131 Masks (surgical) 50 each/box - 300  - 6 boxes Item #COVID - 140-BE Nitrile gloves (small - Blue) box - 10 - 10 boxes Item #COVID - 143-BE Nitrile gloves (x-large- Blue) box - 10 - 10 boxes Item #COVID - 240 Hand Sanitizer 55 gallon drum gel (Note COVID - 255 liquid is ok as alternate if available sooner) - 1  Remainder:  Item #COVID - 100 Clorox Wipes/CaviWipes - 200  Item #COVID - 133 Masks Cloth each - 9000  Item #COVID - 170 Purell (Varies Sizes) each - 500  Item #COVID - 230 Purell 1 gallon size/gel gallon - 50  Item #COVID - Thermometer Non-Contact each - 100  </t>
  </si>
  <si>
    <t xml:space="preserve">Item #COVID - 100 Clorox Wipes/CaviWipes - 200 Item #COVID - 131 Masks (surgical) 50 each/box - 300 Item #COVID - 133 Masks Cloth each - 9000 Item #COVID - 140-BE Nitrile gloves (small - Blue) box - 10 Item #COVID - 143-BE Nitrile gloves (x-large- Blue) box - 10 Item #COVID - 170 Purell (Varies Sizes) each - 500 Item #COVID - 230 Purell 1 gallon size/gel gallon - 50 Item #COVID - 240 Hand Sanitizer 55 gallon drum gel (Note COVID - 255 liquid is ok as alternate if available sooner)  - 1 Item #COVID - Thermometer Non-Contact each - 100  </t>
  </si>
  <si>
    <t>STTL-cup51p</t>
  </si>
  <si>
    <t>PPE SDCI</t>
  </si>
  <si>
    <t>500  - Clorox Wipe Tubes 2000 - N95 Masks 2000  - Surgical Masks 500 Nitrile Gloves (250 L &amp; 250 XL) 500 Hand Sanitizer (1200 ml stand refil) 100 Hand Sanitizer (12oz bottle or equiv)  POC: Charles Evens 206-450-9808</t>
  </si>
  <si>
    <t xml:space="preserve"> -------------------------------------------------- Follow Up #6: 06/24/2020 12:52. Daniel.Brown / SEA - LOG - Staffer Notified ready for pickup: Clorox/Cavi wipes 100 containers  Remaining: Purell Hand Sanitizer, stand refill, 5 each -------------------------------------------------- Follow Up #5: 05/26/2020 15:52. Matt.Rathke / SEA - LOG - Staffer Notified for pickup:  Purell, various sizes, 100 each  Remaining: Clorox/Cavi wipes 500 containers Purell Hand Sanitizer, stand refill, 5 each  -------------------------------------------------- Follow Up #4: 05/06/2020 13:04. Matt.Rathke / SEA - LOG - Staffer Notified for pickup:  Masks, KN95, 25 boxes  Remaining: Clorox/Cavi wipes 500 containers Purell Hand Sanitizer, stand refill, 5 each Purell, various sizes, 100 each -------------------------------------------------- Follow Up #3: 05/05/2020 15:49. Matt.Rathke / SEA - LOG - Staffer Notified for pickup Masks, N95, 77 boxes  Remaining: Clorox/Cavi wipes 500 containers Masks, N95, 33 boxes Purell Hand Sanitizer, stand refill, 5 each Purell, various sizes, 100 each -------------------------------------------------- Follow Up #2: 04/28/2020 10:32. Matt.Rathke / SEA - LOG - Staffer Update  Hand Sanitizer, 1200 ml stand refills, 5 ea not 500. -------------------------------------------------- Follow Up #1: 04/28/2020 08:46. Matt.Rathke / SEA - LOG - Staffer Notified ready for pickup Nitrile gloves, XL black, 3 boxes Nitrile glvoes, Large black, 3 boxes Masks, Surgical, 40 boxes, 2000 ea  Remaining: Clorox/Cavi wipes 500 containers Masks, N95, 100 boxes Purell Hand Sanitizer, stand refill, 500 each Purell, various sizes, 100 each  </t>
  </si>
  <si>
    <t>500  - Clorox Wipe Tubes 2000 - N95 Masks 2000  - Surgical Masks 500 Nitrile Gloves (250 L &amp; 250 XL) 500 Hand Sanitizer (1200 ml stand refil) 100 Hand Sanitizer (12oz bottle or equiv)</t>
  </si>
  <si>
    <t>STTL-mjm6i8</t>
  </si>
  <si>
    <t>Seattle IT PPE Request</t>
  </si>
  <si>
    <t>bulk supplies</t>
  </si>
  <si>
    <t>Items requested: 36 containers of Clorox wipes  36 Hand sanitizers  12 spray sanitizers (Lysol or equal)</t>
  </si>
  <si>
    <t xml:space="preserve"> -------------------------------------------------- Follow Up #2: 06/24/2020 12:46. Daniel.Brown / SEA - LOG - Staffer Notified ready for pickup: 36 containers of Clorox wipes -------------------------------------------------- Follow Up #1: 06/19/2020 11:18. Daniel.Brown / SEA - LOG - Staffer Notified ready for pickup: 36 Hand sanitizers  12 spray sanitizers (Lysol)  On backorder: 36 containers of Clorox wipes </t>
  </si>
  <si>
    <t xml:space="preserve">36  containers of Clorox wipes 36  Hand sanitizers  12 spray sanitizers (Lysol or equal) </t>
  </si>
  <si>
    <t>STTL-e910s2</t>
  </si>
  <si>
    <t>Seattle Department of Neighborhoods</t>
  </si>
  <si>
    <t>DON PP Request</t>
  </si>
  <si>
    <t>DON Request for Face Masks &amp; Disinfectant Wipes</t>
  </si>
  <si>
    <t>Items requested: 4  boxes of Face Masks with Ear Loops (disposable)  4  Containers of SaniWipes (Disinfectant)</t>
  </si>
  <si>
    <t xml:space="preserve"> -------------------------------------------------- Follow Up #1: 06/24/2020 12:01. Daniel.Brown / SEA - LOG - Staffer Notified ready for pickup: 4  boxes of Face Masks with Ear Loops (disposable)  4  Containers of SaniWipes (Disinfectant) </t>
  </si>
  <si>
    <t xml:space="preserve">4  boxes of Face Masks with Ear Loops (disposable) 4  Containers of SaniWipes (Disinfectant)  The PPE supplies are needed for DONs P-Patch Community Garden Coordinators use when working with P-Patchers in community gardens around the city. </t>
  </si>
  <si>
    <t>STTL-317wjl</t>
  </si>
  <si>
    <t>Submit Weekly PPE  Request to King County ECC</t>
  </si>
  <si>
    <t>Consolidated City Weekly PPE for June 26, 2020</t>
  </si>
  <si>
    <t>Submit Weekly PPE request for June 26 to King County ECC, but  RCECC Logistic &lt;rcecc.logs@kingcounty.gov&gt;</t>
  </si>
  <si>
    <t xml:space="preserve">See attached City of Seattle weekly PPE request for June 26, 2020.  The following items in the attached request include:  Gowns, Disposable, Large	1,500 Gowns, Disposable, X-Large	1,500 N95 Masks	500 Masks (N95) - Small 	300 Eye protection glasses	300 Clorox Wipes Tub	1000 </t>
  </si>
  <si>
    <t>STTL-56nva8</t>
  </si>
  <si>
    <t>SPD Weekly PPE for June 29, 2020</t>
  </si>
  <si>
    <t xml:space="preserve">See attached Weekly PPE request to be submitted to King County ECC.  </t>
  </si>
  <si>
    <t>On behalf of Seattle Police Dept, please include 300 N95- Small to be included as part of the ESF 13 Law Enforcement Bulk Order for June 26, 2020</t>
  </si>
  <si>
    <t>STTL-hujdqh</t>
  </si>
  <si>
    <t>SCL Request for Surgical Masks</t>
  </si>
  <si>
    <t>2000 masks for customer lobby areas opening.</t>
  </si>
  <si>
    <t xml:space="preserve"> -------------------------------------------------- Follow Up #1: 06/24/2020 07:50. Daniel.Brown / SEA - LOG - Staffer Notified ready for pickup: 40 Boxes - (2000 masks) </t>
  </si>
  <si>
    <t>SCL Request for Surgical Masks - 2000 masks for customer lobby areas opening.</t>
  </si>
  <si>
    <t>STTL-cbfcpy</t>
  </si>
  <si>
    <t xml:space="preserve">295 Boxes of PAWS Towelettes  200 Boxes of 3M 8210 N95 Masks </t>
  </si>
  <si>
    <t xml:space="preserve"> -------------------------------------------------- Follow Up #1: 06/23/2020 14:19. Daniel.Brown / SEA - LOG - Staffer Notified ready for pickup: 295 Boxes of PAWS Towelettes  200 Boxes of 3M 8210 N95 Masks  </t>
  </si>
  <si>
    <t>295 Boxes of PAWS Towelettes  200 Boxes of 3M 8210 N95 Masks</t>
  </si>
  <si>
    <t>STTL-if5u33</t>
  </si>
  <si>
    <t>Restroom Response and limited public services</t>
  </si>
  <si>
    <t>child-sized disposable surgical-style mask with novelty printing each 500 pump gel hand sanitizer bottles, various sizes &gt; 60% alcohol each 100</t>
  </si>
  <si>
    <t xml:space="preserve"> -------------------------------------------------- Follow Up #1: 06/23/2020 14:07. Daniel.Brown / SEA - LOG - Staffer Notified ready for pickup: 10 Bags of Child Surgical Masks 100 Bottles of 16.9oz hand sanitizer </t>
  </si>
  <si>
    <t>safety from COVID-19</t>
  </si>
  <si>
    <t>STTL-napixt</t>
  </si>
  <si>
    <t>Rush Library Thermometers</t>
  </si>
  <si>
    <t>Rush Request</t>
  </si>
  <si>
    <t>thermometer 30</t>
  </si>
  <si>
    <t xml:space="preserve"> -------------------------------------------------- Follow Up #1: 06/23/2020 13:58. Daniel.Brown / SEA - LOG - Staffer Notified ready for pickup: 30 Thermometers </t>
  </si>
  <si>
    <t xml:space="preserve">Health Screening for staff working onsite during phase 2. </t>
  </si>
  <si>
    <t>STTL-ro2ls2</t>
  </si>
  <si>
    <t>SPD cloth masks</t>
  </si>
  <si>
    <t>POLICE-Cloth Masks</t>
  </si>
  <si>
    <t>SPD would like 2000 cloth masks</t>
  </si>
  <si>
    <t xml:space="preserve"> -------------------------------------------------- Follow Up #1: 06/23/2020 12:30. Daniel.Brown / SEA - LOG - Staffer Notified ready for pickup: 2000 cloth masks </t>
  </si>
  <si>
    <t>Need 2,000 Cloth Masks</t>
  </si>
  <si>
    <t>SPD - 2000 cloth masks</t>
  </si>
  <si>
    <t>SPD would like an additional 2000 cloth masks</t>
  </si>
  <si>
    <t>STTL-y4mc9y</t>
  </si>
  <si>
    <t>Send Weekly PPE to King County</t>
  </si>
  <si>
    <t>City Consolidated Weekly PPE for June 5, 2020</t>
  </si>
  <si>
    <t>Submit weekly PPE to King County</t>
  </si>
  <si>
    <t>Submit  Weekly PPE request for June 5 to include the following items:  Gowns, Disposable, Large - 1,500 Gowns, Disposable, X-Large - 1,500 Face shield - 700 N95 Masks - 400 Masks (N95) - Small  - 300 Eye protection glasses - 2,000</t>
  </si>
  <si>
    <t>STTL-jwxirl</t>
  </si>
  <si>
    <t>Seattle Housing Authority</t>
  </si>
  <si>
    <t>SHA - IR thermometers</t>
  </si>
  <si>
    <t>Seattle Housing Authority - IR thermometers</t>
  </si>
  <si>
    <t>Seattle Housing authority needs 100 IR thermometers</t>
  </si>
  <si>
    <t xml:space="preserve"> -------------------------------------------------- Follow Up #3: 06/19/2020 13:18. Daniel.Brown / SEA - LOG - Staffer Rich Needham changed the order on 6/19/20.  Requested that 50 thermometers be removed from the order and they only want 50 now.  50 were removed from order and notified the remaining 50 were ready for pickup. -------------------------------------------------- Follow Up #2: 06/19/2020 10:53. Daniel.Brown / SEA - LOG - Staffer Notified ready for pickup: 100 IR thermometers -------------------------------------------------- Follow Up #1: 06/09/2020 11:32. Daniel.Brown / SEA - LOG - Staffer Thermometers are currently on backorder. </t>
  </si>
  <si>
    <t>Seattle Housing Authority needs 100 IR thermometers</t>
  </si>
  <si>
    <t>STTL-f3kfvc</t>
  </si>
  <si>
    <t>FAS Janitorial Services</t>
  </si>
  <si>
    <t>FAS Janitorial PPE Supplies</t>
  </si>
  <si>
    <t>FAS Janitorial PPE</t>
  </si>
  <si>
    <t xml:space="preserve">2 Case of XXL Gloves (General Purpose) </t>
  </si>
  <si>
    <t xml:space="preserve"> -------------------------------------------------- Follow Up #2: 06/19/2020 12:02. Daniel.Brown / SEA - LOG - Staffer Notified ready for pickup: 2XL gloves - 2 cases  gloves are being pickup from warehouse by Distribution Service driver and routed to Janitorial Services. -------------------------------------------------- Follow Up #1: 06/17/2020 09:30. Daniel.Brown / SEA - LOG - Staffer 2XL gloves are on backorder.  will notify when they arrive. </t>
  </si>
  <si>
    <t>2 Case of XXL Gloves (General Purpose)</t>
  </si>
  <si>
    <t>STTL-ft3q3u</t>
  </si>
  <si>
    <t>Filters and masks for SPU</t>
  </si>
  <si>
    <t>Energy Mask Filter</t>
  </si>
  <si>
    <t xml:space="preserve">We need 1,200 mask filters that goes with the Energy Mask. See attached pictures. </t>
  </si>
  <si>
    <t xml:space="preserve"> -------------------------------------------------- Follow Up #1: 06/19/2020 11:58. Daniel.Brown / SEA - LOG - Staffer Notified ready for pickup: 1,200 mask filters that goes with the cloth Energy Mask.  </t>
  </si>
  <si>
    <t>We need 1,200 mask filters that goes with the Energy Mask. See attached pictures.</t>
  </si>
  <si>
    <t>SFD glove order</t>
  </si>
  <si>
    <t>Purchasing ordering 500 boxes of XX-Large Nitrile medical grade gloves.</t>
  </si>
  <si>
    <t xml:space="preserve"> -------------------------------------------------- Follow Up #2: 06/19/2020 11:54. Daniel.Brown / SEA - LOG - Staffer 1,000 boxes of 50 each were ordered per David on 6/18/20. -------------------------------------------------- Follow Up #1: 06/16/2020 11:53. Pam.Tokunaga / SEA - LOG - Supplies and Equipment Assigned to David M. He has issued a RFQ  </t>
  </si>
  <si>
    <t>STTL-c1c7eq</t>
  </si>
  <si>
    <t>Seattle Fire Department - Gloves</t>
  </si>
  <si>
    <t>Nitrile Gloves</t>
  </si>
  <si>
    <t>SFD - medical grade gloves  Small - 20 boxes Medium - 50 boxes Large - 50 boxes X Large - 50 boxes XX Large - 30 boxes</t>
  </si>
  <si>
    <t xml:space="preserve"> -------------------------------------------------- Follow Up #2: 06/19/2020 11:41. Daniel.Brown / SEA - LOG - Staffer Notified ready for pickup: XX Large - 30 boxes -------------------------------------------------- Follow Up #1: 06/05/2020 12:55. Matt.Rathke / SEA - LOG - Staffer Notified for delivery  Small - 20 boxes Medium - 50 boxes Large - 50 boxes X Large - 50 boxes  Remaining XX Large - 30 boxes </t>
  </si>
  <si>
    <t>Nitrile Gloves - Medical Grade  Small - 20 boxes Medium - 50 boxes Large - 50 boxes X Large - 50 boxes XX Large - 30 boxes  We may have an outstanding order on gloves, but we are needing to keep the supply up.</t>
  </si>
  <si>
    <t>STTL-4mw0md</t>
  </si>
  <si>
    <t>SFD - Nitrile gloves various sized</t>
  </si>
  <si>
    <t>Nitrile gloves</t>
  </si>
  <si>
    <t xml:space="preserve">150 boxes of Medium Public Safety Nitrile Gloves  150 boxes of X-Large Public Safety Nitrile Gloves  75 boxes of Small Public Safety Nitrile Gloves  75 boxes of XX-Large Public Safety Nitrile Gloves </t>
  </si>
  <si>
    <t xml:space="preserve"> -------------------------------------------------- Follow Up #2: 06/19/2020 11:37. Daniel.Brown / SEA - LOG - Staffer Notified ready for pickup: 75 boxes of XX-Large Public Safety Nitrile Gloves -------------------------------------------------- Follow Up #1: 05/20/2020 10:48. Matt.Rathke / SEA - LOG - Staffer Notified for pickup:  150 boxes of Medium Public Safety Nitrile Gloves  150 boxes of X-Large Public Safety Nitrile Gloves  75 boxes of Small Public Safety Nitrile Gloves  Remaining: 75 boxes of XX-Large Public Safety Nitrile Gloves </t>
  </si>
  <si>
    <t>150 boxes of Medium Public Safety Nitrile Gloves 150 boxes of X-Large Public Safety Nitrile Gloves 75 boxes of Small Public Safety Nitrile Gloves 75 boxes of XX-Large Public Safety Nitrile Gloves</t>
  </si>
  <si>
    <t>STTL-4kj4qq</t>
  </si>
  <si>
    <t>SDOT - PPE supplies</t>
  </si>
  <si>
    <t>SDOT COVID Supply Request</t>
  </si>
  <si>
    <t xml:space="preserve">100 thermometers  Supplies to order   MOLDEX N100, Disposable Respirator, Molded, M/L Item # 6KXU4 MFR Model #2730AN100 qty : 130 (each)   MOLDEX N100, Disposable Respirator, Molded, M/L, PK5 Item # 35ZC17 MFR Model #4700N100 Qty: 239 (pkg of 5)  </t>
  </si>
  <si>
    <t xml:space="preserve"> -------------------------------------------------- Follow Up #3: 06/19/2020 11:04. Daniel.Brown / SEA - LOG - Staffer Notified ready for pickup: 100 thermometers -------------------------------------------------- Follow Up #2: 06/10/2020 07:19. Daniel.Brown / SEA - LOG - Staffer Update to request: SDOT ordered the N100 masks/respirators from Grainger and will pay them directly and will be removed from this request.  This request now only has 100 Thermometers on the request.  -------------------------------------------------- Follow Up #1: 06/08/2020 10:00. Daniel.Brown / SEA - LOG - Staffer 100 Thermometers on backorder  Update from Crispina Sionson @ SDOT: For this order request, I want to clarify that I had already ordered online from Grainger the N100 masks that I referred to below and we are actually starting to receive some of this order at our Charles St warehouse. I was just told to add the N100 masks request through EOC so that it can be purchased that route and where we can obtain FEMA reimbursement. Pam Tokunaga in Purchasing is aware.   MOLDEX N100, Disposable Respirator, Molded, M/L Item # 6KXU4 MFR Model #2730AN100 qty : 130 (each)   MOLDEX N100, Disposable Respirator, Molded, M/L, PK5 Item # 35ZC17 MFR Model #4700N100 Qty: 239 (pkg of 5)  </t>
  </si>
  <si>
    <t xml:space="preserve">Good morning, Mike,  Can you please place this order through the WebEOC, we need: 	100 thermometers  Also, we have contacted Grainger and they have available N100 that have already been ordered (see attached for additional information on this order): 	MOLDEX N100, Disposable Respirator, Molded, M/L Item # 6KXU4 MFR Model #2730AN100 qty : 130 (each)  	MOLDEX N100, Disposable Respirator, Molded, M/L, PK5 Item # 35ZC17  MFR Model #4700N100 Qty: 239 (pkg of 5)  Grainger point of contact is: Andrea Whirt | Government Account Manager | OSHA 30 | W.W. Grainger, Inc. Cell: 206-496-7932 | 6141 4th Ave S, Seattle, WA  98108 | 1-800-GRAINGER (1-800-472-4643) andrea.whirt@grainger.com | www.grainger.com  SDOT needs the supplies to continue our Mission Essential Functions as part of the Citys continuity of operations plan (COOP):  	Maintain arterial operations and waterway operations  	Mitigate hazards in the right of way  	Maintain permitting function  	Disseminate critical transportation information 	Ensure the safety of the traveling public 	Maintain mobility with a focus on transit and emergency vehicles 	Keep goods moving, particularly on designated freight corridors  </t>
  </si>
  <si>
    <t>STTL-jd7tym</t>
  </si>
  <si>
    <t>SCL Surgial Mask Request</t>
  </si>
  <si>
    <t>Surgical Masks - box of 50; 100 Boxes</t>
  </si>
  <si>
    <t xml:space="preserve"> -------------------------------------------------- Follow Up #1: 06/19/2020 10:48. Daniel.Brown / SEA - LOG - Staffer Notified ready for pickup: Surgical Masks - box of 50; 100 Boxes </t>
  </si>
  <si>
    <t xml:space="preserve">SCL Request for 5000 Surgical Masks COVID 131, to cover Seattle area and remote locations. </t>
  </si>
  <si>
    <t>STTL-se94g3</t>
  </si>
  <si>
    <t>SHA - N95 masks</t>
  </si>
  <si>
    <t>Seattle Housing Authority - N95 masks</t>
  </si>
  <si>
    <t>Seattle Housing Authority needs N95 or KN95 masks, 10,000 ea</t>
  </si>
  <si>
    <t xml:space="preserve"> -------------------------------------------------- Follow Up #2: 06/18/2020 07:01. Daniel.Brown / SEA - LOG - Staffer Rich Needham called to say they have ordered KN95's from a vendor and do not need this order any longer.  Cancelling order and items pulled will be returned to stock. -------------------------------------------------- Follow Up #1: 06/17/2020 15:36. Daniel.Brown / SEA - LOG - Staffer Notified ready for pickup: N95 Masks - 3520  Still on backorder: 6,480 - N95 or KN95 masks </t>
  </si>
  <si>
    <t>Seattle Housing authority needs 10,000 N95 or KN95 masks  200 plus employees servicing work orders in occupied units</t>
  </si>
  <si>
    <t>STTL-cc97sy</t>
  </si>
  <si>
    <t>ITD - PPE needs</t>
  </si>
  <si>
    <t>PPE supply needs</t>
  </si>
  <si>
    <t>200 surgical mask  100 N95 mask  20 Tubes Disinfectant wipes  10 Purell (1200 ml stand refill)  20 Thermometers</t>
  </si>
  <si>
    <t xml:space="preserve"> -------------------------------------------------- Follow Up #4: 06/17/2020 15:07. Daniel.Brown / SEA - LOG - Staffer Notified ready for pickup: 100 N95 mask  Still on backorder: 10 Purell (1200 ml stand refil -------------------------------------------------- Follow Up #3: 06/15/2020 14:41. Daniel.Brown / SEA - LOG - Staffer Notified ready for pickup: Disinfectant wipes, 20 Tubes  Still on backorder: 100 N95 mask  10 Purell (1200 ml stand refill -------------------------------------------------- Follow Up #2: 06/11/2020 14:04. Daniel.Brown / SEA - LOG - Staffer Notified ready for pickup: 20 Thermometers  Remaining on backorder 100 N95 mask  Disinfectant wipes, 20 Tubes  10 Purell (1200 ml stand refill -------------------------------------------------- Follow Up #1: 05/20/2020 10:17. Matt.Rathke / SEA - LOG - Staffer Notified for Pickup: Masks, surgical 50 ea/box - 4 boxes - 200 ea  Remaining:  100 N95 mask  Disinfectant wipes, 20 Tubes  10 Purell (1200 ml stand refill)  20 Thermometers </t>
  </si>
  <si>
    <t xml:space="preserve">200 surgical mask 100 N95 mask 20  Tubes Disinfectant wipes  10 Purell (1200 ml stand refill) 20 Thermometers  </t>
  </si>
  <si>
    <t>STTL-y61xb4</t>
  </si>
  <si>
    <t>Waiting to deliver</t>
  </si>
  <si>
    <t>Police - N95 Small Mask</t>
  </si>
  <si>
    <t>Material receiveed, notified Chris Steel for pickup 9:53am</t>
  </si>
  <si>
    <t xml:space="preserve"> -------------------------------------------------- Follow Up #1: 06/17/2020 13:57. Daniel.Brown / SEA - LOG - Staffer Notified ready for pickup: 10 boxes of Small N95 masks </t>
  </si>
  <si>
    <t>Part # 3M8110S N95 Small Mask (Any Brand) and we need 3,000 of these small masks.</t>
  </si>
  <si>
    <t>STTL-ihommb</t>
  </si>
  <si>
    <t>National Guard modification to CoS food program</t>
  </si>
  <si>
    <t>National Guard Extension for Seattle Food Programs</t>
  </si>
  <si>
    <t xml:space="preserve">The City of Seattle, in partnership with the Seattle Food Committee, a network of 28 Seattle-based food banks, and the Meals Partnership Coalition, a network of 70 Seattle-based meal programs, requests the extension. Programs are experiencing a volunteer shortage at the same time community need for food has dramatically increased. Extending until July 31 fills a critical need until programs can replace/increase volunteers and staffing in conjunction with increased COVID-19 testing. City staff can be deployed to community-based programs.  The Guard placements fill staffing needs that have not been able to be met through comprehensive volunteer recruitment that includes individual program networks, United Way of King County volunteer portal, Craigslist, and Idealist volunteer placements, in addition to City staff deployments.  City of Seattle Contact is Natalie Thomson (natalie.thomson@seattle.gov) or 206-409-9651. </t>
  </si>
  <si>
    <t xml:space="preserve"> -------------------------------------------------- Follow Up #2: 06/17/2020 13:49. Elenka.Jarolimek / SEA - LOG - FAS The request shared up to the State EOC. Food Lifeline was able to cut enough Guardsmen that all requests should be filled.  Awaiting status of request for the new vehicle.  -------------------------------------------------- Follow Up #1: 06/17/2020 13:47. Elenka.Jarolimek / SEA - LOG - FAS Submitted request to King County ECC. </t>
  </si>
  <si>
    <t>7/28/20 Extension request to continue National Guard deployment at Seattle food programs through December 31 submitted by King County EOC. A spreadsheet is attached that details the placements for 50 Guard and 4 vehicles. No further action is needed by EOC Logistics/Seattle at this time.  6/12/20 See attached spreadsheet for details. Request extension until July 31 of 40 National Guard and 3 vehicles currently assigned to Seattle food banks and meal programs. Changes to this extension are: - REDUCE: Guard assignments from 45/51(actual) to 40 - NEW: Add 1 vehicle (truck) to Edible Hope for total of 4 vehicles assigned to Seattle food programs  Current assignments expire June 19.  The City of Seattle, in partnership with the Seattle Food Committee, a network of 28 Seattle-based food banks, and the Meals Partnership Coalition, a network of 70 Seattle-based meal programs, requests the extension. Programs are experiencing a volunteer shortage at the same time community need for food has dramatically increased. Extending until July 31 fills a critical need until programs can replace/increase volunteers and staffing in conjunction with increased COVID-19 testing. City staff can be deployed to community-based programs.  The Guard placements fill staffing needs that have not been able to be met through comprehensive volunteer recruitment that includes individual program networks, United Way of King County volunteer portal, Craigslist, and Idealist volunteer placements, in addition to City staff deployments.  City of Seattle Contact is Natalie Thomson (natalie.thomson@seattle.gov) or 206-409-9651.</t>
  </si>
  <si>
    <t>STTL-8yuoer</t>
  </si>
  <si>
    <t>Deploy Cots and Blankets from Cache</t>
  </si>
  <si>
    <t xml:space="preserve">50 Cots (10 Bariatric) + 50 Blankets to Fisher Pavilion </t>
  </si>
  <si>
    <t>Need 40 regular, 10 bariatric cots and 50 blankets from a Seattle shelter cache delivered to Seattle Center Fisher Pavilion at 305 Harrison St.  This site is currently a 24-hour shelter space opened to support COVID-19 guidance operated by The Salvation Army.</t>
  </si>
  <si>
    <t xml:space="preserve"> -------------------------------------------------- Follow Up #2: 06/17/2020 09:33. Daniel.Brown / SEA - LOG - Staffer The Cots and blankets have been delivered to Fisher Pavilion. -------------------------------------------------- Follow Up #1: 06/15/2020 14:54. Daniel.Brown / SEA - LOG - Staffer Warehouse Services has been assigned the pickup and deliver. </t>
  </si>
  <si>
    <t>Need 40 regular, 10 bariatric cots and 50 blankets from a Seattle shelter cache delivered to Seattle Center Fisher Pavilion at 305 Harrison St. This site is currently a 24-hour shelter space opened to support COVID-19 guidance operated by The Salvation Army.  Contact is Mary Flowers (HSD): mary.flowers@seattle.gov or 206-501-7859. Salvation Army on-site contacts are Troy Thomas or Robert Kent.</t>
  </si>
  <si>
    <t>STTL-wze390</t>
  </si>
  <si>
    <t>Submit City Weekly PPE</t>
  </si>
  <si>
    <t xml:space="preserve">City Consolidated Weekly PPE for June 19, 2020 </t>
  </si>
  <si>
    <t>Submit City consolidated weekly PPE request to King County ECC.  See attached.</t>
  </si>
  <si>
    <t xml:space="preserve"> -------------------------------------------------- Follow Up #1: 06/16/2020 13:13. Elenka.Jarolimek / SEA - LOG - FAS Request received by King County ECC. </t>
  </si>
  <si>
    <t>Submit City Consolidated Weekly PPE Request for June 19 to King County EEC. Items to be included:  Gowns, Disposable Large - 1,500 Gowns, Disposable X-Large - 1,500 Face Shield - 500 N95 Masks - 400 Masks (N95) small - 300 Eye protection goggles - 2,000 Clorox Wipes Tub - 1,000</t>
  </si>
  <si>
    <t>STTL-sgfyd2</t>
  </si>
  <si>
    <t>Purchase materials from Hardy Diagnostics</t>
  </si>
  <si>
    <t>COVID19 test vial transport media</t>
  </si>
  <si>
    <t xml:space="preserve">Contact provided by BRETT NORQUIST Director of Clinical Operations Department of Laboratory Medicine UW Medicine Phone: 206.520.4621  Hardy Diagnostics - Chuck Williams | Territory Account Manager  Phone: 206.556.1547  </t>
  </si>
  <si>
    <t xml:space="preserve"> -------------------------------------------------- Follow Up #2: 06/16/2020 12:23. Pam.Tokunaga / SEA - LOG - Supplies and Equipment Balance of the order has been received.  -------------------------------------------------- Follow Up #1: 05/04/2020 16:41. Pam.Tokunaga / SEA - LOG - Supplies and Equipment Order placed for 60 packs (20 each) 84.00 each total $5549.04, paid with credit card. Confirmation #1976259, quoted delivery of 2 weeks. </t>
  </si>
  <si>
    <t>Purchase 1200 vials of transport media for existing test kits</t>
  </si>
  <si>
    <t>STTL-hywm6o</t>
  </si>
  <si>
    <t>FAS Warehouse</t>
  </si>
  <si>
    <t>Disinfectant Sprayers</t>
  </si>
  <si>
    <t>Large Volume Disinfection tools</t>
  </si>
  <si>
    <t xml:space="preserve">Purchase disinfectant sprayers -  2 each Victory Coreless Handheld Sprayer 2 each Victory Cordless Backpack Sprayer 1 each Botanical Disinfectant Solution 55 Gallon drum 1 each Botanical Disinfectant Solution 5 Gallon Pail </t>
  </si>
  <si>
    <t xml:space="preserve"> -------------------------------------------------- Follow Up #3: 06/16/2020 12:19. Pam.Tokunaga / SEA - LOG - Supplies and Equipment order received  -------------------------------------------------- Follow Up #2: 05/11/2020 16:11. Pam.Tokunaga / SEA - LOG - Supplies and Equipment Order placed on 5/8/2020 with Stellar for 15 Milwaukee disinfectant sprayers and 15 batteries. ETA is 5/20/2020  Order placed with Home Depot on 5/8/2020 for disinfectant solution.  ETA is 6/9/2020 -------------------------------------------------- Follow Up #1: 05/01/2020 09:08. Matt.Rathke / SEA - LOG - Staffer Add 4 battery packs </t>
  </si>
  <si>
    <t>2 ea Victory Cordless handheld disinfectant sprayers 2 ea Victory Cordless backpack disinfectant sprayers</t>
  </si>
  <si>
    <t>STTL-z0styz</t>
  </si>
  <si>
    <t>Seattle Mayor's Office</t>
  </si>
  <si>
    <t>COVID-19 dna swab test kits</t>
  </si>
  <si>
    <t>COVID-19 test kits</t>
  </si>
  <si>
    <t>Obtain 50,000 COVID19 dna swab test kits</t>
  </si>
  <si>
    <t xml:space="preserve"> -------------------------------------------------- Follow Up #3: 06/16/2020 12:14. Pam.Tokunaga / SEA - LOG - Supplies and Equipment Test kits were received and invoice has been submitted for payment.  -------------------------------------------------- Follow Up #2: 05/18/2020 16:26. Pam.Tokunaga / SEA - LOG - Supplies and Equipment Per email dated 5/18/2020 - The test swab kits are processed and prepared for shipment. As they must be in a special transport unit, the processing and preparation for the order takes time, but is now done and is schedule for departure on 5/22. The items will be in US Customs by Monday the 25th and will be shipped to destination within 24 hours of clearing customs. Air freight space has been extremely limited for shipments out of South Korea but we were able to schedule a shipment date for this week.  Willy will send an update once the items have arrived at US Customs, once they clear customs he will update PC again to prepare for delivery.  -------------------------------------------------- Follow Up #1: 05/14/2020 09:24. Pam.Tokunaga / SEA - LOG - Supplies and Equipment Order placed with Huons USA, Inc. on 5/12/2020, ETA is 5/29/2020.  50,000 swab test kits </t>
  </si>
  <si>
    <t>50,000 covid 19 swap testing kits</t>
  </si>
  <si>
    <t>Seattle Center 90 PPE</t>
  </si>
  <si>
    <t>Please acquire -  50ea goggles - needs to seal around the eyes 50ea safety glasses 120 cases of JRT 1000-Jumbo Roll Tissue, 2 ply-12 rolls per case, 3.55" x 1000' 100 cases Roll Towels-RTK800(brown or white) - 6 rolls per case, 1000' roll -7.8" x 800'. 20 wall mount hand sanitizer dispensers 1 surgery mask pedestal dispenser</t>
  </si>
  <si>
    <t xml:space="preserve"> -------------------------------------------------- Follow Up #1: 06/16/2020 12:09. Pam.Tokunaga / SEA - LOG - Supplies and Equipment assigned to David M </t>
  </si>
  <si>
    <t>STTL-uyu9o7</t>
  </si>
  <si>
    <t>SPD - disinfectant sprayers</t>
  </si>
  <si>
    <t xml:space="preserve">POLICE - Sprayers </t>
  </si>
  <si>
    <t>Need 6 sprayers to be utilized with Q10 formula spray to sanitize patrol vehicles after transport and holding cells after use. (Milwaukee 2820-20PS M18 SWITCH TANK 4 Gallon Backpack Sprayer or similar product, with battery pack and/or accessories required to operationalize)</t>
  </si>
  <si>
    <t xml:space="preserve"> -------------------------------------------------- Follow Up #3: 06/16/2020 11:55. Daniel.Brown / SEA - LOG - Staffer Notified ready for pickup: 5 batteries -------------------------------------------------- Follow Up #2: 06/15/2020 11:39. Daniel.Brown / SEA - LOG - Staffer Notified ready for pickup: 5 sprayers  Remaining on Backorder: 5 batteries -------------------------------------------------- Follow Up #1: 05/20/2020 15:17. Matt.Rathke / SEA - LOG - Staffer Notified for pickup:  1 Sprayer 1 Battery  Remaining: 5 sprayers 5 batteries </t>
  </si>
  <si>
    <t xml:space="preserve">Need 6 sprayers to be utilized with Q10 formula spray to sanitize patrol vehicles after transport and holding cells after use.  (Milwaukee 2820-20PS M18 SWITCH TANK 4 Gallon Backpack Sprayer or similar product, with battery pack and/or accessories required to operationalize) </t>
  </si>
  <si>
    <t>STTL-xz9t4o</t>
  </si>
  <si>
    <t>Hand Sanitizer 55 gal drum - SDCI</t>
  </si>
  <si>
    <t>Hand Sanitizer - 55 gallon drum</t>
  </si>
  <si>
    <t>SDCI wants a 55 gallon drum of hand sanitizer for field and office staff</t>
  </si>
  <si>
    <t xml:space="preserve"> -------------------------------------------------- Follow Up #1: 06/16/2020 11:34. Daniel.Brown / SEA - LOG - Staffer Notified ready for pickup: 418 bottles (16.9oz) were substituted for this order in place of the 55 gallon drum of hand sanitizer. </t>
  </si>
  <si>
    <t>SDCI has a need for a 55 gallon drum of hand sanitizer for a staff of 400 (100 inspectors and 50 staff in the office or field currently).</t>
  </si>
  <si>
    <t>STTL-l14isf</t>
  </si>
  <si>
    <t>Submit SPD Weekly PPE request to KC ECC</t>
  </si>
  <si>
    <t>SPD Weekly PPE Request for June 19, 2020</t>
  </si>
  <si>
    <t>Submit SPD Weekly PPE request to KC ECC for 300 small N95s.</t>
  </si>
  <si>
    <t>Oh behalf of the Seattle Police Department, submit Weekly PPE Request to King County ECC for 300 small N95 masks.</t>
  </si>
  <si>
    <t>STTL-4y6my9</t>
  </si>
  <si>
    <t>Cots and blankets to Teen Life Center</t>
  </si>
  <si>
    <t>18 Cots (2 Bariatric) to SW Teen Life Center</t>
  </si>
  <si>
    <t>Need 16 regular and 2 bariatric cots from a Seattle shelter cache delivered to SPR's Southwest Teen Life Center</t>
  </si>
  <si>
    <t xml:space="preserve"> -------------------------------------------------- Follow Up #2: 06/15/2020 15:23. Daniel.Brown / SEA - LOG - Staffer Warehouse Services has complete cot delivery. The 16 standard cots and 2 bariatric cots have been delivered to the Southwest Teen Life Center as requested. The cots were delivered to the front desk. Herb Souza is a contact to verify the cots were delivered. He provided his email address which is herbert.souza@youthcare.org.  -------------------------------------------------- Follow Up #1: 06/15/2020 14:52. Daniel.Brown / SEA - LOG - Staffer Warehouse Services has been assigned to pickup and deliver. </t>
  </si>
  <si>
    <t>Need 16 regular and 2 bariatric cots from a Seattle shelter cache delivered to SPR's Southwest Teen Life Center at 2801 SW Thistle St, Seattle. This site is currently a 24-hour shelter space opened to support COVID-19 guidance operated by YouthCare for youth ages 18 to 24.  Contact is Rachel Reed (HSD): rachel.reed@seattle.gov or 217-722-5457</t>
  </si>
  <si>
    <t>STTL-1wy6hd</t>
  </si>
  <si>
    <t>HSD - meal program PPE needs</t>
  </si>
  <si>
    <t>Sanitation/Hygiene Supplies for Meal Programs 6-4-20</t>
  </si>
  <si>
    <t xml:space="preserve">COVID-100	Disinfecting wipes 	container	60 COVID-110	Facial Tissue (36/case)	case	0 	Masks - ear loop - does not need to be surgical (100/box)	box	290 COVID-140	Nitrile gloves - s (100/box)	box	40 COVID-141	Nitrile gloves - m (100/box)	box	30 COVID-142	Nitrile gloves - l (100/box)	box	30 COVID-143	Nitrile gloves - xl (100/box)	box	50 COVID-150	Paper Towels (12 packs/case)	case	10 COVID-160	Hand Sanitizer (desk size)	container	0 COVID-180	Toilet Paper (80/case)	case	10 COVID-230 	Hand Sanitizer	gallon	10 </t>
  </si>
  <si>
    <t xml:space="preserve"> -------------------------------------------------- Follow Up #2: 06/15/2020 14:49. Daniel.Brown / SEA - LOG - Staffer Notified ready for pickup: COVID-100	Disinfecting wipes 	container	60 -------------------------------------------------- Follow Up #1: 06/05/2020 14:41. Daniel.Brown / SEA - LOG - Staffer Following items have been filled and pickup notification sent. COVID-131	Masks - Surgical (50/box)	box	580 COVID-140	Nitrile gloves - s (100/box)	box	40 COVID-141	Nitrile gloves - m (100/box)	box	30 COVID-142	Nitrile gloves - l (100/box)	box	30 COVID-143	Nitrile gloves - xl (100/box)	box	50 COVID-150	Paper Towels (12 packs/case)	case	10 COVID-160	Hand Sanitizer (desk size) 80 16.9oz size were substituted for the 10 1 gallon size requested. COVID-180	Toilet Paper (80/case)	case	10  Following items are on backorder COVID-100	Disinfecting wipes 	container	60  </t>
  </si>
  <si>
    <t>See attached spreadsheet for items requested from the centrally procured list.  To provide Seattle meal programs with emergency sanitation and hygiene supplies and basic personal protective equipment and home delivery and meal serving supplies in order to follow the Public Health COVID-19 guidance. These agencies serve the most vulnerable residents (including homeless and very low-income seniors, children and families) with food and other basic needs. Agencies are having difficulty procuring these items needed to maintain services and health safety protocols while shifting services toward home delivery and to-go meals.  Items will be picked up by lead agency (OSL) supporting meal programs at the City warehouse.</t>
  </si>
  <si>
    <t>STTL-57acyn</t>
  </si>
  <si>
    <t>Seattle Office of Arts and Culture</t>
  </si>
  <si>
    <t>Office Arts and Culture PPE needs</t>
  </si>
  <si>
    <t>Seattle Arts and Culture PPE supplies</t>
  </si>
  <si>
    <t xml:space="preserve">PPE items  Surgical Mask (qty. 8 boxes) Nitrile glove (qty. 4 boxes)  (2 each Med, 2 Large) Disenfectant wipes (qty. 12 canisters) Purell 1200 ml refill bottles (qty. 8 bottles) Purell Dispensers (qty. 5) IR thermometers (qty. 4) Isopropyl Alcohol (qty. 6 botles) Facial Tissue (qty. 8 boxes) Face shields (qty. 2) </t>
  </si>
  <si>
    <t xml:space="preserve"> -------------------------------------------------- Follow Up #4: 06/15/2020 14:31. Daniel.Brown / SEA - LOG - Staffer Notified Ready for pickup: Disenfectant wipes (qty. 12 canisters)  Still on backorder: Purell 1200 ml refill bottles (qty. 8 bottles) Purell floor stand/dispenser 5 each  -------------------------------------------------- Follow Up #3: 06/11/2020 14:34. Daniel.Brown / SEA - LOG - Staffer Notified ready for pickup: IR thermometers (qty. 4)  Remaining on backorder: Disenfectant wipes (qty. 12 canisters) Purell 1200 ml refill bottles (qty. 8 bottles)  -------------------------------------------------- Follow Up #2: 06/03/2020 08:46. Matt.Rathke / SEA - LOG - Staffer Notified for pickup:  Isopropyl Alcohol (qty. 6 botles)  Remaining: Disenfectant wipes (qty. 12 canisters) Purell 1200 ml refill bottles (qty. 8 bottles) IR thermometers (qty. 4)  -------------------------------------------------- Follow Up #1: 05/26/2020 16:05. Matt.Rathke / SEA - LOG - Staffer Notified for pickup:  Facial Tissue (qty. 8 boxes) - 1 case Face shields (qty. 2) Surgical Mask (qty. 8 boxes)  Nitrile glove (qty. 4 boxes)  (2 each Med, 2 Large) Purell Dispensers (qty. 5)  Remaining: Disenfectant wipes (qty. 12 canisters) Purell 1200 ml refill bottles (qty. 8 bottles) IR thermometers (qty. 4) Isopropyl Alcohol (qty. 6 botles)  </t>
  </si>
  <si>
    <t xml:space="preserve">I will like to place an order for both of Arts facilities(Langston Hughes Performing Arts and King Street Station). Please let me know when the order is available for pick up  Surgical Mask (qty. 8 boxes) Nitrile glove (qty. 4 boxes) Disenfectant wipes (qty. 12 canisters) Purell 1200 ml refill bottles (qty. 8 bottles) Purell Dispensers (qty. 5)  IR thermometers (qty. 4) Isopropyl Alcohol (qty. 6 botles) Facial Tissue (qty. 8 boxes) Face shields (qty. 2) </t>
  </si>
  <si>
    <t>STTL-f5svj3</t>
  </si>
  <si>
    <t>Seattle Civil Service Commision</t>
  </si>
  <si>
    <t>PPE for Civil Service Commision</t>
  </si>
  <si>
    <t>Seattle Civil Service Commision - PPE request</t>
  </si>
  <si>
    <t>Cloth Masks - 27 ea (they never got their allotment) Hand Sanitizer, 24 bottles - 16 oz or equal Clorox Wipes, 6 ea Gloves, 2 boxes Med, 2 boxes Lrg, 1 box Xlrg</t>
  </si>
  <si>
    <t xml:space="preserve"> -------------------------------------------------- Follow Up #6: 06/15/2020 14:25. Daniel.Brown / SEA - LOG - Staffer Notified ready for pickup: Clorox Wipes, 6 ea -------------------------------------------------- Follow Up #5: 06/11/2020 14:16. Daniel.Brown / SEA - LOG - Staffer Notified ready for pickup: Thermometer, IR no touch, 1 ea  Remaining: Clorox Wipes, 6 ea -------------------------------------------------- Follow Up #4: 05/26/2020 14:56. Matt.Rathke / SEA - LOG - Staffer Notified ready to pickup:  Purell, 16 oz 24 ea  Remaining: Clorox Wipes, 6 ea Thermometer, IR no touch, 1 ea -------------------------------------------------- Follow Up #3: 05/19/2020 10:52. Matt.Rathke / SEA - LOG - Staffer Notified ready to pickup:  Masks, surgical one (1) box of 50 Masks, cloth, 27 ea Nitrile gloves, Med, 2 boxes Nitrile gloves, Lrg 2 boxes Nitrile gloves, Xlrg 1 box  Remaining: Clorox Wipes, 6 ea Purell, 16 oz 24 ea Thermometer, IR no touch, 1 ea  -------------------------------------------------- Follow Up #2: 05/19/2020 10:24. Matt.Rathke / SEA - LOG - Staffer Add 1 thermometer -------------------------------------------------- Follow Up #1: 05/18/2020 16:54. Matt.Rathke / SEA - LOG - Staffer Add 50 (1 box) surgical masks </t>
  </si>
  <si>
    <t>Seattle Civil Service Commission would like Cloth Masks - 27 ea (they never got their allotment) Hand Sanitizer, 24 bottles - 16 oz or equal Clorox Wipes, 6 ea Gloves, 2 boxes Med, 2 boxes Lrg, 1 box Xlrg</t>
  </si>
  <si>
    <t>STTL-fw3bvp</t>
  </si>
  <si>
    <t>FAS - License and Tax authority</t>
  </si>
  <si>
    <t>FAS - LTA PPE needs</t>
  </si>
  <si>
    <t>FAS - LTA division PPE needs</t>
  </si>
  <si>
    <t xml:space="preserve">24 Individual (8 oz.) Bottles of Hand Sanitizer 3 Large bottles of Hand Sanitizer (2 Liter size) 4 tubes of sanitation wipes 1 box of gloves - Large  </t>
  </si>
  <si>
    <t xml:space="preserve"> -------------------------------------------------- Follow Up #2: 06/15/2020 14:17. Daniel.Brown / SEA - LOG - Staffer Notified ready for pickup. 4 tubes of sanitation wipes  -------------------------------------------------- Follow Up #1: 06/09/2020 11:42. Daniel.Brown / SEA - LOG - Staffer Notified order ready for pickup 5/27/20 37 bottles totals of Hand Sanitizer to cover the 2 requested sizes 1 box of gloves - Large  Items on backorder: 4 tubes of sanitation wipes </t>
  </si>
  <si>
    <t xml:space="preserve">License and Tax Administration division needs -  24 Individual (8 oz.) Bottles of Hand Sanitizer 3 Large bottles of Hand Sanitizer (2 Liter size) 4 tubes of sanitation wipes 1 box of gloves </t>
  </si>
  <si>
    <t>STTL-jacnyn</t>
  </si>
  <si>
    <t>Seattle Office of Immigrant and Refugee Affairs</t>
  </si>
  <si>
    <t>OIRA PPE needs</t>
  </si>
  <si>
    <t>PPE materials for OIRA</t>
  </si>
  <si>
    <t xml:space="preserve">Hand Soap, 2 ea  Disinfectant wipes, 2 ea  Hand Sanitizer, 16 oz, 2 ea </t>
  </si>
  <si>
    <t xml:space="preserve"> -------------------------------------------------- Follow Up #2: 06/15/2020 14:09. Daniel.Brown / SEA - LOG - Staffer Notified ready for pickup: Disinfectant Wipes - 2 ea -------------------------------------------------- Follow Up #1: 05/20/2020 10:13. Matt.Rathke / SEA - LOG - Staffer Notified for delivery:  Hand Soap - 1 box Purell, 16 oz - 2 ea  Remainder - Disinfectant Wipes - 2 ea </t>
  </si>
  <si>
    <t>OIRA needs the following: Hand Soap, 2 ea Disinfectant wipes, 2 ea Hand Sanitizer, 16 oz, 2 ea</t>
  </si>
  <si>
    <t>National Guard food program modification</t>
  </si>
  <si>
    <t>The City of Seattle, in partnership with the Seattle Food Committee, a network of 28 Seattle-based food banks, and the Meals Partnership Coalition, a network of 70 Seattle-based meal programs, requests the extension. Programs are experiencing a volunteer shortage at the same time community need for food has dramatically increased. Extending until July 31 fills a critical need until programs can replace/increase volunteers and staffing in conjunction with increased COVID-19 testing. City staff can be deployed to community-based programs.  The Guard placements fill staffing needs that have not been able to be met through comprehensive volunteer recruitment that includes individual program networks, United Way of King County volunteer portal, Craigslist, and Idealist volunteer placements, in addition to City staff deployments.  City of Seattle Contact is Natalie Thomson (natalie.thomson@seattle.gov) or 206-409-9651.  Letter through Director to MO</t>
  </si>
  <si>
    <t>STTL-wen5f0</t>
  </si>
  <si>
    <t>SPU requesting 100 non contract IR thermometers</t>
  </si>
  <si>
    <t>Infrared thermometers order</t>
  </si>
  <si>
    <t>Distribute 100 non contact IR thermometers to SPU upon receipt.</t>
  </si>
  <si>
    <t xml:space="preserve"> -------------------------------------------------- Follow Up #1: 06/11/2020 15:05. Daniel.Brown / SEA - LOG - Staffer Notified the order is ready for pickup: 100 non contact IR thermometers </t>
  </si>
  <si>
    <t>100 pcs infrared thermometers</t>
  </si>
  <si>
    <t>SPU request for 100 non contact IR thermometers</t>
  </si>
  <si>
    <t>SPU operations requesting 100 non contact IR thermometers</t>
  </si>
  <si>
    <t xml:space="preserve"> -------------------------------------------------- Follow Up #3: 06/11/2020 15:04. Daniel.Brown / SEA - LOG - Staffer Using Thermometers from King County order for this request. -------------------------------------------------- Follow Up #2: 05/18/2020 16:39. Pam.Tokunaga / SEA - LOG - Supplies and Equipment Per email from the vendor, estimated delivery is now 6/15/2020 -------------------------------------------------- Follow Up #1: 05/11/2020 16:19. Pam.Tokunaga / SEA - LOG - Supplies and Equipment 5/6/2020 - 1000 are on order from Saryan's Arthur. ETA 5/29/2020 </t>
  </si>
  <si>
    <t>STTL-np72y0</t>
  </si>
  <si>
    <t>Seattle Fire Dept - No touch infrared thermometers</t>
  </si>
  <si>
    <t>Infrared Thermometers</t>
  </si>
  <si>
    <t>25 Infrared no touch thermometers</t>
  </si>
  <si>
    <t xml:space="preserve"> -------------------------------------------------- Follow Up #2: 06/11/2020 14:57. Daniel.Brown / SEA - LOG - Staffer Notified order is ready for pickup: 25 Infrared no touch thermometers -------------------------------------------------- Follow Up #1: 06/09/2020 12:58. Daniel.Brown / SEA - LOG - Staffer 25 Thermometers are currently on backorder. </t>
  </si>
  <si>
    <t>STTL-jab8nf</t>
  </si>
  <si>
    <t>Parks and Rec PPE supplies</t>
  </si>
  <si>
    <t>Seattle Parks and Recreation Covid-19 PPEs and Supplies</t>
  </si>
  <si>
    <t xml:space="preserve"> 2000 Disposable Face Mask  Parks Staff and Public Visitors  100 GAL.  Alcohol Base Surface Cleaner  SPR Community Centers, Shelters &amp; Facilities  20 Boxes (S) Nitrile Gloves  Grounds Crews &amp; Field Staff  20 Boxes (M) Nitrile Gloves  Grounds Crews &amp; Field Staff  30 Boxes (L) Nitrile Gloves  Grounds, Encampment Crews &amp; Field Staff  30 Boxes (XL) Nitrile Gloves  Grounds, Encampment Crews &amp; Field Staff  24 Non-Contact Thermometers  SPR Offices and Facilities  4  Backpack Disinfecting Sprayers  Public Restrooms, Comfort Stations and Facilities  100 GAL. Sterilizer Solution for Backpack Sprayers  Public Restrooms, Comfort Stations and Facilities </t>
  </si>
  <si>
    <t xml:space="preserve"> -------------------------------------------------- Follow Up #3: 06/11/2020 14:48. Daniel.Brown / SEA - LOG - Staffer Notified ready for pickup:  24 Non-Contact Thermometers  SPR Offices and Facilities -------------------------------------------------- Follow Up #2: 06/10/2020 09:16. Daniel.Brown / SEA - LOG - Staffer Notified ready for pickup: 400 bottles of Isopropyl Alcohol used to fill 100 GAL Alcohol based surface cleaner. 2 -  55 gallon drums of Bioesque disinfectant used for 100 GAL Sterilizer Solution for Backpack sprayers.  Items on backorder:  24 Non-Contact Thermometers  SPR Offices and Facilities -------------------------------------------------- Follow Up #1: 06/09/2020 11:48. Daniel.Brown / SEA - LOG - Staffer Notified order is ready for pickup on 5/19/20:  2000 Disposable Face Mask  Parks Staff and Public Visitors  100 GAL.  Alcohol Base Surface Cleaner  SPR Community Centers, Shelters &amp; Facilities  20 Boxes (S) Nitrile Gloves  Grounds Crews &amp; Field Staff  20 Boxes (M) Nitrile Gloves  Grounds Crews &amp; Field Staff  30 Boxes (L) Nitrile Gloves  Grounds, Encampment Crews &amp; Field Staff  30 Boxes (XL) Nitrile Gloves  Grounds, Encampment Crews &amp; Field Staff  4  Backpack Disinfecting Sprayers  Public Restrooms, Comfort Stations and Facilities  100 GAL. Sterilizer Solution for Backpack Sprayers  Public Restrooms, Comfort Stations and Facilities  Items on backorder:  24 Non-Contact Thermometers  SPR Offices and Facilities  </t>
  </si>
  <si>
    <t xml:space="preserve">	2000 Disposable Face Mask 	Parks Staff and Public Visitors 	100 GAL.  Alcohol Base Surface Cleaner 	SPR Community Centers, Shelters &amp; Facilities 	20 Boxes (S) Nitrile Gloves 	Grounds Crews &amp; Field Staff 	20 Boxes (M) Nitrile Gloves 	Grounds Crews &amp; Field Staff 	30 Boxes (L) Nitrile Gloves 	Grounds, Encampment Crews &amp; Field Staff 	30 Boxes (XL) Nitrile Gloves 	Grounds, Encampment Crews &amp; Field Staff 	24 Non-Contact Thermometers 	SPR Offices and Facilities 	4  Backpack Disinfecting Sprayers 	Public Restrooms, Comfort Stations and Facilities 	100 GAL. Sterilizer Solution for Backpack Sprayers 	Public Restrooms, Comfort Stations and Facilities </t>
  </si>
  <si>
    <t>STTL-go759a</t>
  </si>
  <si>
    <t>SCL needs non contact thermometers</t>
  </si>
  <si>
    <t>SCL Requests IR Thermometers</t>
  </si>
  <si>
    <t>SCL needs 200 non contact IR thermometers</t>
  </si>
  <si>
    <t xml:space="preserve"> -------------------------------------------------- Follow Up #3: 06/11/2020 14:41. Daniel.Brown / SEA - LOG - Staffer Notified the last 18 thermometers are now ready for pickup. -------------------------------------------------- Follow Up #2: 05/08/2020 12:10. Matt.Rathke / SEA - LOG - Staffer Notified ready for pickup  132 thermometers  Remaining:  18 units  -------------------------------------------------- Follow Up #1: 05/01/2020 15:33. Matt.Rathke / SEA - LOG - Staffer Notified ready for pickup  50 thermometers  Remaining:  150 units </t>
  </si>
  <si>
    <t>SCL is requesting 200 IR Thermometers for essential operations and continued compliance for job site work.</t>
  </si>
  <si>
    <t>STTL-ar6njk</t>
  </si>
  <si>
    <t xml:space="preserve">Seattle Fire Dept - Cavi wipes </t>
  </si>
  <si>
    <t>Cavi-wipes</t>
  </si>
  <si>
    <t>Seattle Fire Department needs 500 tubes of Cavi Wipes.  Should check to see if Clorox will do the job.</t>
  </si>
  <si>
    <t xml:space="preserve"> -------------------------------------------------- Follow Up #1: 06/11/2020 09:54. Daniel.Brown / SEA - LOG - Staffer Notified ready for pickup. 500 tubes of Cavi Wipes </t>
  </si>
  <si>
    <t>Cavi-wipes, tubs or equal</t>
  </si>
  <si>
    <t>STTL-wzd4co</t>
  </si>
  <si>
    <t>Submit to KC ECC</t>
  </si>
  <si>
    <t>SPD Weekly PPE Request for June 12, 2020</t>
  </si>
  <si>
    <t xml:space="preserve"> -------------------------------------------------- Follow Up #1: 06/10/2020 15:32. Elenka.Jarolimek / SEA - LOG - FAS KC ECC received request. </t>
  </si>
  <si>
    <t>Submit resource request to King County ECC to be included as part of the ESF 13 Law Enforcement Order.  300 Small N95 masks</t>
  </si>
  <si>
    <t>STTL-oww4fz</t>
  </si>
  <si>
    <t>Submit to King County ECC</t>
  </si>
  <si>
    <t>City Consolidated Weekly PPE for June 12, 2020</t>
  </si>
  <si>
    <t xml:space="preserve">Submit attached consolidated request to King County ECC </t>
  </si>
  <si>
    <t xml:space="preserve"> -------------------------------------------------- Follow Up #1: 06/10/2020 15:14. Elenka.Jarolimek / SEA - LOG - FAS King County ECC received resource request. </t>
  </si>
  <si>
    <t xml:space="preserve">The following items in the attached request include:  Gowns, Disposable, Large	1,500 Gowns, Disposable, X-Large	1,500 Face shield	1,000 N95 Masks	400 Masks (N95) - Small 	300 Eye protection glasses	2000 </t>
  </si>
  <si>
    <t>STTL-6yxsa4</t>
  </si>
  <si>
    <t>PPE supplies for ITD</t>
  </si>
  <si>
    <t>Multi Supply order</t>
  </si>
  <si>
    <t xml:space="preserve">ITD -  Disinfectant Wipes tube 40  Masks (N95) each 100  Masks (Surgical) each 300  Nitrile Gloves(X-large) (Public Safety) pair 1,000  Nitrile Gloves(large) (Public Safety) pair 1,000  Hand Sanitizer (12oz bottle or equiv) bottle 40  </t>
  </si>
  <si>
    <t xml:space="preserve">-------------------------------------------------- Follow Up #3: 05/26/2020 15:03. Matt.Rathke / SEA - LOG - Staffer Notified for pickup  Hand Sanitizer (12oz bottle or equiv) bottle 40 ea  -------------------------------------------------- Follow Up #2: 05/14/2020 15:28. Matt.Rathke / SEA - LOG - Staffer Notified for pickup  Masks (KN95) - 100 ea  Remaining:  Hand Sanitizer (12oz bottle or equiv) bottle 40 ea  -------------------------------------------------- Follow Up #1: 05/08/2020 12:14. Matt.Rathke / SEA - LOG - Staffer Notified ready for pickup:  Disinfectant Wipes tube 40  Masks (Surgical) each 300  Nitrile Gloves(X-large) (Public Safety) 10 boxes Nitrile Gloves(large) (Public Safety)  10 boxes  Remaining:  Masks (N95) each 100  Hand Sanitizer (12oz bottle or equiv) bottle 40 ea  </t>
  </si>
  <si>
    <t xml:space="preserve">Disinfectant Wipes tube 40  Masks (N95) each 100  Masks (Surgical) each 300 Nitrile Gloves(X-large) (Public Safety) pair 1,000  Nitrile Gloves(large) (Public Safety) pair 1,000  Hand Sanitizer (12oz bottle or equiv) bottle 40 </t>
  </si>
  <si>
    <t>STTL-63k7xc</t>
  </si>
  <si>
    <t>Sanitation/Hygiene supplies to food banks/meal programs</t>
  </si>
  <si>
    <t xml:space="preserve">Sanitation/Hygiene supplies to food banks/meal programs  SEE ATTACHED LIST  This needs to be shipped TO THE KC WAREHOUSE  HSD/YFE COVID-19 Seattle Food Bank and Meal Program Agency Supply Order			3/13/2020	 Quantity	Item	Description	Average/Agency	Substitutions 280	Bleach 	1 container (assume 1 gallon container)	4	Flexible (larger size) 700	Clorox Disinfecting Wipes	1 container (assume 150 wipes per container)	10	Flexible (similar size) 1050	Liquid Soap	1 container (various container sizes, ranging from 7-15 oz)	15	Flexible (larger size) 210	Disposable Gloves	size S - 1 box (assume 100 pairs of gloves per box)	3	 350	Disposable Gloves	size M - 1 box (assume 100 pairs of gloves per box)	5	 350	Disposable Gloves	size L - 1 box (assume 100 pairs of gloves per box)	5	 210	Disposable Gloves	size XL - 1 box (assume 100 pairs of gloves per box)	3	 700	Hand Sanitizer	1 container (between 8 oz and 15 oz)	10	Flexible (desk size) 280	Hand Sanitizer	1 container (assume liter container)	4	Flexible (larger size) 700	Paper towels	1 roll	10	 350	Spray Bottles	1 bottle (32 oz bottle)	5	Flexible (similar size) 70	Garbage Bags	1 box, 30-gallon (assume 100 bags per box)	1	Flexible  7000	Procedure Masks w/ ear loops	1 mask	100	 </t>
  </si>
  <si>
    <t xml:space="preserve"> -------------------------------------------------- Follow Up #13: 06/10/2020 14:21. Daniel.Brown / SEA - LOG - Staffer Update:  This is order has been completed and filled in full on 5/5/20. -------------------------------------------------- Follow Up #12: 05/08/2020 12:32. Matt.Rathke / SEA - LOG - Staffer Notified for pickup Clorox/Cavi Wipes, 166 ea  Remaining:  Clorox/Cavi Wipes, 214 ea -------------------------------------------------- Follow Up #11: 04/22/2020 14:16. Matt.Rathke / SEA - LOG - Staffer Notified for pickup Clorox/Cavi Wipes, 380 ea  Remaining: Clorox wipes, 166 ea Masks, surgical, 65 boxes -------------------------------------------------- Follow Up #10: 04/20/2020 12:45. Matt.Rathke / SEA - LOG - Staffer Notified for pickup: CaviWipes, 150 ea  Remaining: Clorox wipes, 546 ea Masks, surgical, 65 boxes -------------------------------------------------- Follow Up #9: 04/14/2020 11:11. Matt.Rathke / SEA - LOG - Staffer Notified ready for pickup - Masks, surgical, 65 boxes Purell, various sizes, 388 each  Remaining: Clorox wipes, 116 cases, 696 ea Masks, surgical, 65 boxes  -------------------------------------------------- Follow Up #8: 04/09/2020 14:34. Matt.Rathke / SEA - LOG - Staffer Ready for pickup:  Purell, various sizes, 160 bottles Purell, 1 gallon size, 50 ea  Remaining: Clorox wipes, 116 cases, 696 ea Masks, surgical, 130 boxes Purell, various sizes, 388 each  -------------------------------------------------- Follow Up #7: 04/03/2020 14:59. Matt.Rathke / SEA - LOG - Staffer Warehouse notified end user these are ready for pickup: Masks, surgical, 10 boxes Purell, Various sizes, 100 ea Purell, Gallon, 20 gallons  Remaining: Clorox wipes, 116 cases Masks, surgical, 130 boxes Purell, various sizes, 548 ea Purell, Gallon, 50 gallons -------------------------------------------------- Follow Up #6: 04/01/2020 15:33. Matt.Rathke / SEA - LOG - Staffer Filled  Hand Soap  - 80 cases Nitrile Gloves, Sm 210 boxes Nitirile Gloves, Med 350 boxes Nitrile Gloves, Lrg 350 boxes Nitrile Gloves, XLrg 210 boxes Paper Towels, 20 cases Purell, 12oz bottle, 5 cases  Remaining: Purell, Gallon, 70 each Purell, 12 oz, 54 cases Masks, surgical, 7000 each Clorox wipes, 116 cases  -------------------------------------------------- Follow Up #5: 03/20/2020 17:41. Presley.Palmer / SEA - LOG - Supplies and Equipment Sorry again, after placing the order, Vendor replied with supplier was sold out. Still looking. Zero bleach on order. -------------------------------------------------- Follow Up #4: 03/20/2020 11:14. Presley.Palmer / SEA - LOG - Supplies and Equipment Was able to place order with Keeney's for 282 bottles, 121 oz to be shipped to Mike Wong's Warehouse next week. Cost is $38.64/carton of 3. 94 cartons ordered. -------------------------------------------------- Follow Up #3: 03/19/2020 16:23. Pam.Tokunaga / SEA - LOG - Supplies and Equipment Sorry, when Keeney's went to place the order, the bleach was sold out, still looking for it. -------------------------------------------------- Follow Up #2: 03/19/2020 15:46. Pam.Tokunaga / SEA - LOG - Supplies and Equipment  Here's what's on order from Keeney's: 280	Bleach 	KIKBLEACH6 (Carton of 6 gallons)	18.22/ctn	48 ctn	Coming from KC  allow 1 week  350	Spray Bottles	1 ctn RCM35064773CT  48 ea $82.56/ctn 1 ctn  RCM35718573CT - 48 ea $114.82/ctn 96 ea - GJO85119 Nozzles 	$2.76 ea	 96	Total of 96 available Shipping from east coast  allow 5-7 business days aro  70	Garbage Bags	1 box, 30-gallon (assume 100 bags per box)	Flexible 	CLO78952 90/carton	37.83/ctn	1-4 days business days ARO  -------------------------------------------------- Follow Up #1: 03/19/2020 14:22. Pam.Tokunaga / SEA - LOG - Supplies and Equipment Requested quote from Keeney's </t>
  </si>
  <si>
    <t xml:space="preserve">See spreadsheet emailed to Sam Houghtaling 3/13 by Jill Watson for supply list. To provide sanitation and hygiene supplies to approximately 30 food banks and 40 meal programs in Seattle to help ensure agencies can continue serving vulnerable populations in accordance with public health authority recommendations to protect against COVID-19.  The order needs to be transferred to the King County warehouse (they will do the distribution to the agencies). The order does not need to be complete to transfer to King County warehouse for agency distribution. </t>
  </si>
  <si>
    <t>STTL-88kujw</t>
  </si>
  <si>
    <t>SFD order for bottles of rubbing alcohol</t>
  </si>
  <si>
    <t>SFD needs rubbing alcohol</t>
  </si>
  <si>
    <t>SFD would like to add rubbing alcohol at 70% on the purchase list for the City to get.  We need to order a minimum 5000 bottles. But we will take what we can get.</t>
  </si>
  <si>
    <t xml:space="preserve">-------------------------------------------------- Follow Up #5: 06/10/2020 12:26. Daniel.Brown / SEA - LOG - Staffer Updated: SFD was notified on 6/3/20 that 5,000 32oz bottles of Isopropyl Alcohol were ready for pickup. -------------------------------------------------- Follow Up #4: 06/09/2020 15:30. Matt.Rathke / SEA - LOG - Staffer SFD has received this 6/3/2020 -------------------------------------------------- Follow Up #3: 04/30/2020 15:34. Elenka.Jarolimek / SEA - LOG - FAS Assigned to KC ECC ESF 4 - Firefighting and ESF 6 Resource Management.  As of 4/22/20:  KC ECC OPS Fire and EMS contacted Sheila Kelly, SFD. She is in contact with 1 distillery, but have not been able to get their request filled. Provided Blackfish Distillery and their contact information as another potential option. -------------------------------------------------- Follow Up #2: 04/10/2020 07:32. Presley.Palmer / SEA - LOG - Supplies and Equipment Have not had any luck purchasing the alcohol; this is out of stock everywhere. We may have a source with Bartell's but it would be very minimal if any. -------------------------------------------------- Follow Up #1: 04/09/2020 07:38. Matt.Rathke / SEA - LOG - Staffer Still working on identifying possible sources - Bartells, Costco, ebay, Keeneys </t>
  </si>
  <si>
    <t xml:space="preserve">SFD would like to add rubbing alcohol at 70% on the purchase list for the City to get.  We need to order a minimum 5000 bottles. But we will take what we can get. </t>
  </si>
  <si>
    <t>STTL-uyf797</t>
  </si>
  <si>
    <t>Bioesque botanical disinfectant</t>
  </si>
  <si>
    <t>FAS Janitorial - Sprayer disinfectant</t>
  </si>
  <si>
    <t>FAS Janitorial needs five (5) 5-gallon containers of sprayer disinfectant</t>
  </si>
  <si>
    <t xml:space="preserve"> -------------------------------------------------- Follow Up #1: 06/10/2020 12:19. Daniel.Brown / SEA - LOG - Staffer Update: Was delivered on 5/30/20 </t>
  </si>
  <si>
    <t>FAS Janitorial services would like five (5) 5 gallon containers of Bioesque botanical disinfectant.</t>
  </si>
  <si>
    <t>STTL-aq52ix</t>
  </si>
  <si>
    <t>FAS warehouse sprayer disinfectant</t>
  </si>
  <si>
    <t>FAS warehouse - Sprayer disinfectant</t>
  </si>
  <si>
    <t>One (1) 5 gallon container of Bioesque botanical disinfectant</t>
  </si>
  <si>
    <t xml:space="preserve"> -------------------------------------------------- Follow Up #1: 06/10/2020 12:17. Daniel.Brown / SEA - LOG - Staffer Update:  Was delivered to Warehouse on 5/30/20. </t>
  </si>
  <si>
    <t>FAS warehouse would like one (1) 5 gallon container of Bioesque botanical disinfectant</t>
  </si>
  <si>
    <t>STTL-jdkhdb</t>
  </si>
  <si>
    <t>SFD Request PPE - Testing Sites</t>
  </si>
  <si>
    <t xml:space="preserve">Nitrile Gloves - Medical </t>
  </si>
  <si>
    <t>Medical Grade Nitrile Gloves  20 cases Large  20 cases X-Large</t>
  </si>
  <si>
    <t xml:space="preserve"> -------------------------------------------------- Follow Up #1: 06/10/2020 08:23. Daniel.Brown / SEA - LOG - Staffer Notified ready for pickup. Medical Grade Nitrile Gloves  20 cases Large  20 cases X-Large </t>
  </si>
  <si>
    <t>Medical Grade Nitrile Gloves 20 cases Large 20 cases X-Large  These are for the Test Sites (going through about a case a day)</t>
  </si>
  <si>
    <t>STTL-1w1gh3</t>
  </si>
  <si>
    <t>SFD PPE Request - Testing Sites</t>
  </si>
  <si>
    <t>face shields and kleenex</t>
  </si>
  <si>
    <t xml:space="preserve">Reqquested Items  10 - Cases of Kleenex 500 - face shield / full face coverage </t>
  </si>
  <si>
    <t xml:space="preserve"> -------------------------------------------------- Follow Up #1: 06/10/2020 08:18. Daniel.Brown / SEA - LOG - Staffer Notified order is ready for pickup. 10 - Cases of Kleenex 500 - face shield / full face coverage </t>
  </si>
  <si>
    <t>500 each face shields for Covid Testing sites 10 cases of kleenex for Covid Testing sites</t>
  </si>
  <si>
    <t>STTL-0549pb</t>
  </si>
  <si>
    <t xml:space="preserve">Police - Nitrile Gloves Large </t>
  </si>
  <si>
    <t>Police - Nitrile Gloves Large</t>
  </si>
  <si>
    <t>Purchase Large Nitrile Gloves</t>
  </si>
  <si>
    <t xml:space="preserve">-------------------------------------------------- Follow Up #2: 03/24/2020 14:44. sam.houghtaling / SEA - LOG - Chief Order complete 3/24/2020. Invoice attached below -------------------------------------------------- Follow Up #1: 03/23/2020 17:10. Matt.Rathke / SEA - LOG - Staffer Update assignment </t>
  </si>
  <si>
    <t>Part number 50708 Large	 Halyard Sterling Nitrile Gloves (Any Brand, but must be 3.8mil thickness and color gray)	100 pair /box	600 Boxes</t>
  </si>
  <si>
    <t>STTL-ilay06</t>
  </si>
  <si>
    <t>Thermometers for EOC</t>
  </si>
  <si>
    <t>When they arrive - ship a couple to the EOC</t>
  </si>
  <si>
    <t xml:space="preserve"> -------------------------------------------------- Follow Up #1: 06/09/2020 13:53. Daniel.Brown / SEA - LOG - Staffer 2 Thermometers were delivered to EOC on 5/2/20. </t>
  </si>
  <si>
    <t>Two (2) Thermometers for use at the EOC.</t>
  </si>
  <si>
    <t>STTL-g6d4r5</t>
  </si>
  <si>
    <t>Seattle Office of Sustainability &amp; Environment</t>
  </si>
  <si>
    <t>PPE for OSE building evaluators</t>
  </si>
  <si>
    <t>Building energy evaluation team</t>
  </si>
  <si>
    <t xml:space="preserve">Hand Sanitizer, various size, 4 ea Nitrile Gloves GP, Large, 1 box Nitrile Gloves GP, Small, 1 box  </t>
  </si>
  <si>
    <t xml:space="preserve">-------------------------------------------------- Follow Up #1: 04/24/2020 15:03. Matt.Rathke / SEA - LOG - Staffer Notified for pickup 4/10/2020  Hand Sanitizer, various size, 4 ea Nitrile Gloves GP, Large, 1 box Nitrile Gloves GP, Small, 1 box </t>
  </si>
  <si>
    <t>This team needs sanitizer and gloves for being out in the field reviewing building energy projects. 4 bottles of hand sanitizer, 1 box large gloves, 1 box small gloves.</t>
  </si>
  <si>
    <t>STTL-h3a9ug</t>
  </si>
  <si>
    <t xml:space="preserve">400 Disposable Masks for SDHR SPD and SFD Training </t>
  </si>
  <si>
    <t>400 Surgical Mask for SDHR</t>
  </si>
  <si>
    <t>SDHR is requesting 400 disposable masks (surgical) for Fire and Police candidate trainings held in June and July.</t>
  </si>
  <si>
    <t xml:space="preserve"> -------------------------------------------------- Follow Up #1: 06/09/2020 13:46. Daniel.Brown / SEA - LOG - Staffer Order was completed and 400 mask delivered on 4/27/20. </t>
  </si>
  <si>
    <t>SDHR is requesting 400 Disposable Masks for training's to be held in June and July for Fire and Police exams. The original need was 1200, SPD provided 800 for use.  400 remaining that are needed.</t>
  </si>
  <si>
    <t>STTL-dytxzz</t>
  </si>
  <si>
    <t>Seattle Animal Control</t>
  </si>
  <si>
    <t>Warehouse delivery truck pick-up and delivery</t>
  </si>
  <si>
    <t>Need a truck</t>
  </si>
  <si>
    <t>Pickup 2 pallets of pet food in SODO for delivery to SAS on Tuesday 5/5</t>
  </si>
  <si>
    <t xml:space="preserve"> -------------------------------------------------- Follow Up #1: 06/09/2020 13:43. Daniel.Brown / SEA - LOG - Staffer Truck was not needed. </t>
  </si>
  <si>
    <t>Seattle Animal Shelter needs to pick up two pallets of pet food in SODO for delivery to Seattle Animal Shelter in Interbay on Tuesday 5/5.  We can provide the driver unless the truck is large enough to require a CDL or Air Brake driver classification.  Must have tommy lift to offload pallets at SAS.</t>
  </si>
  <si>
    <t>STTL-7ua1dd</t>
  </si>
  <si>
    <t>Seattle Parks and Rec 50 IR thermometers</t>
  </si>
  <si>
    <t xml:space="preserve">Seattle Parks and Rec operations request for IR thermometers 50 thermometers for Shelters, Golf Courses, DOC, Admin buildings, Day Care centers </t>
  </si>
  <si>
    <t xml:space="preserve"> -------------------------------------------------- Follow Up #1: 06/09/2020 13:09. Daniel.Brown / SEA - LOG - Staffer Update:  Order was completed and Parks notified ready for pickup on 5/4/20 50 thermometers </t>
  </si>
  <si>
    <t>Requiring 50 Non Contact Thermometer (Infrared (IR) thermometer) to use at Shelters, Community Shelters, Golf Courses, DOC, Admin. Buildings, Day Care Centers</t>
  </si>
  <si>
    <t>STTL-x4iwb7</t>
  </si>
  <si>
    <t>FAS Consumer Protection Division</t>
  </si>
  <si>
    <t>FAS consumer protection division masks</t>
  </si>
  <si>
    <t>Would like 60 N95 masks if available, If they aren't available would like 60 KN95 masks, If they aren't available would like 600 surgical masks.</t>
  </si>
  <si>
    <t xml:space="preserve">-------------------------------------------------- Follow Up #1: 05/07/2020 15:11. Matt.Rathke / SEA - LOG - Staffer Notified to pickup:  600 surgical masks, 12 boxes </t>
  </si>
  <si>
    <t xml:space="preserve">Would like in order of preference:  1)	N95 model 8511  60 total masks, or 2)	Any KN95 60 total masks, or 3)	Surgical Masks  600 total masks </t>
  </si>
  <si>
    <t>STTL-11gc35</t>
  </si>
  <si>
    <t>Seattle Fire Dept protective gowns</t>
  </si>
  <si>
    <t>gowns</t>
  </si>
  <si>
    <t xml:space="preserve">15,000 gowns from current delivery </t>
  </si>
  <si>
    <t xml:space="preserve"> -------------------------------------------------- Follow Up #1: 06/09/2020 13:01. Daniel.Brown / SEA - LOG - Staffer Update:  Notified on 5/15/20 order was ready for pickup. 16,100 gowns </t>
  </si>
  <si>
    <t>15000 gowns from current delivery</t>
  </si>
  <si>
    <t>STTL-d9zz25</t>
  </si>
  <si>
    <t>Surgical Masks for staff</t>
  </si>
  <si>
    <t>Surgical Masks FAS facility operations</t>
  </si>
  <si>
    <t>FAS facility operations needs 120 boxes of surgical masks</t>
  </si>
  <si>
    <t xml:space="preserve"> -------------------------------------------------- Follow Up #1: 06/09/2020 12:55. Daniel.Brown / SEA - LOG - Staffer This has been completed.  120 Boxes were delivered. </t>
  </si>
  <si>
    <t>FAS Facility operations needs 120 boxes of surgical masks for facility staff</t>
  </si>
  <si>
    <t>STTL-4lsdev</t>
  </si>
  <si>
    <t>FAS janitorial services</t>
  </si>
  <si>
    <t>FAS Janitorial evaluation of disinfectant sprayer</t>
  </si>
  <si>
    <t>FAS Janitorial - disinfectant sprayer</t>
  </si>
  <si>
    <t>Provide one (1) disinfectant sprayer to the FAS janitorial group for evaluation</t>
  </si>
  <si>
    <t xml:space="preserve"> -------------------------------------------------- Follow Up #1: 06/09/2020 12:51. Daniel.Brown / SEA - LOG - Staffer 1 backpack spray with extra battery and 4 gallons of liquid sanitizer were delivered to City Hall Janitorial Services. </t>
  </si>
  <si>
    <t>FAS janitorial services will be evaluating disinfectant sprayers</t>
  </si>
  <si>
    <t>STTL-1jofa0</t>
  </si>
  <si>
    <t xml:space="preserve">FAS warehouse </t>
  </si>
  <si>
    <t>FAS Warehouse evaluation</t>
  </si>
  <si>
    <t>FAS warehouse evaluation of disinfectant sprayer</t>
  </si>
  <si>
    <t xml:space="preserve">Evaluate backpack disinfectant sprayer </t>
  </si>
  <si>
    <t xml:space="preserve"> -------------------------------------------------- Follow Up #1: 06/09/2020 12:48. Daniel.Brown / SEA - LOG - Staffer 1 backpack spray with extra battery sent to warehouse. </t>
  </si>
  <si>
    <t>FAS warehouse staff will be evaluating the operation and deployment of backpack disinfectant sprayers</t>
  </si>
  <si>
    <t>STTL-3q6cot</t>
  </si>
  <si>
    <t>FAS Janitorial</t>
  </si>
  <si>
    <t>FAS Janitorial - 6000 surgical masks</t>
  </si>
  <si>
    <t>Surgical Masks by FAS Janitorial</t>
  </si>
  <si>
    <t>FAS Janitorial needs 6000 surgical masks for cleaning operations.</t>
  </si>
  <si>
    <t xml:space="preserve"> -------------------------------------------------- Follow Up #1: 06/09/2020 12:43. Daniel.Brown / SEA - LOG - Staffer Notified order is ready and masks were delivered. 6000 surgical masks </t>
  </si>
  <si>
    <t>6,000 surgical masks needed by FAS Janitorial staff</t>
  </si>
  <si>
    <t>STTL-zmghym</t>
  </si>
  <si>
    <t>Masks</t>
  </si>
  <si>
    <t>Masks for Testing Sites</t>
  </si>
  <si>
    <t>20 Boxes of Surgical Masks</t>
  </si>
  <si>
    <t xml:space="preserve"> -------------------------------------------------- Follow Up #2: 06/09/2020 12:40. Daniel.Brown / SEA - LOG - Staffer 10 additional boxes of masks added to request.  Boxes delivered to South testing location.  -------------------------------------------------- Follow Up #1: 06/08/2020 08:57. Daniel.Brown / SEA - LOG - Staffer Update Masks were delivered to testing sites by FAS Warehouse Services  20 Boxes </t>
  </si>
  <si>
    <t>20 Boxes of Surgical Masks for SFD use at testing sites.</t>
  </si>
  <si>
    <t>STTL-0edjmy</t>
  </si>
  <si>
    <t>HSD cloth masks</t>
  </si>
  <si>
    <t>Cloth Face Coverings</t>
  </si>
  <si>
    <t>100 cloth masks for HSD to fill out their need for 3 masks per employee</t>
  </si>
  <si>
    <t xml:space="preserve"> -------------------------------------------------- Follow Up #1: 06/09/2020 12:06. Daniel.Brown / SEA - LOG - Staffer Notified order is ready for pickup:  100 cloth masks </t>
  </si>
  <si>
    <t>HSD needs 100 cloth face coverings with filters to be able to provide HSD staff with the allocated 3 cloth face coverings each.</t>
  </si>
  <si>
    <t>STTL-jwittd</t>
  </si>
  <si>
    <t>SHA - PPE needs</t>
  </si>
  <si>
    <t>Seattle Housing Authority - PPE needs</t>
  </si>
  <si>
    <t>500 bottles of hand sanitizer</t>
  </si>
  <si>
    <t xml:space="preserve"> -------------------------------------------------- Follow Up #1: 06/09/2020 11:36. Daniel.Brown / SEA - LOG - Staffer Notified order is ready for pickup on 5/27/20. 500 bottles of hand sanitizer  </t>
  </si>
  <si>
    <t>SHA -  500 bottles of hand sanitizer</t>
  </si>
  <si>
    <t>STTL-o87l7m</t>
  </si>
  <si>
    <t>Seattle Department of Education</t>
  </si>
  <si>
    <t>DEEL PPE needs</t>
  </si>
  <si>
    <t>Seattle DEEL PPE needs</t>
  </si>
  <si>
    <t xml:space="preserve">PPE needs for DEEL -  Hand Soap (6 bottles per case)			case	70 Cases Masks (surgical) (30 per box)			box	140 Boxes Nitrile gloves (Small)			box	140 Boxes Nitrile gloves (Med)			box	140 Boxes Nitrile gloves (Large)			box	140 Boxes Nitrile gloves (X-Large)			box	140 Boxes Purell 1 gallon size			gallon	40 Gallons Thermometers - no touch			each	30 Bleach 1 gallon size			gallon	40 Gallons </t>
  </si>
  <si>
    <t xml:space="preserve"> -------------------------------------------------- Follow Up #1: 06/09/2020 11:20. Daniel.Brown / SEA - LOG - Staffer Update: Notified ready for pickup on 5/20/20 Hand Soap (6 bottles per case)			case	70 Cases Masks (surgical) (30 per box)			box	140 Boxes Nitrile gloves (Small)			box	140 Boxes Nitrile gloves (Med)			box	140 Boxes Nitrile gloves (Large)			box	140 Boxes Nitrile gloves (X-Large)			box	140 Boxes Bleach 1 gallon size			gallon	40 Gallons  On 6/9/20 Following items were on backorder and notified by Leilani Bela Cruz they can now be canceled and removed from order.  The no longer needed. Purell 1 gallon size	40 Gallons Thermometers - no touch  each	30  </t>
  </si>
  <si>
    <t xml:space="preserve">DEEL needs the following -  Hand Soap (6 bottles per case)			case	70 Cases Masks (surgical) (30 per box)			box	140 Boxes Nitrile gloves (Small)			box	140 Boxes Nitrile gloves (Med)			box	140 Boxes Nitrile gloves (Large)			box	140 Boxes Nitrile gloves (X-Large)			box	140 Boxes Purell 1 gallon size			gallon	40 Gallons Thermometers - no touch			each	30 Bleach 1 gallon size			gallon	40 Gallons </t>
  </si>
  <si>
    <t>STTL-sagwig</t>
  </si>
  <si>
    <t>HSD Meal Program PPE</t>
  </si>
  <si>
    <t>Sanitation/Hygiene Supplies for Meal Programs 6-8-20</t>
  </si>
  <si>
    <t xml:space="preserve">COVID-140	Nitrile gloves - s (100/box)	box	40 COVID-141	Nitrile gloves - m (100/box)	box	150 COVID-142	Nitrile gloves - l (100/box)	box	200 COVID-143	Nitrile gloves - xl (100/box)	box	200 COVID-150	Paper Towels (12 packs/case)	case	15 COVID-170	Hand Sanitizer (12oz/16oz)	container	300 COVID-230 	Hand Sanitizer	gallon	40 </t>
  </si>
  <si>
    <t xml:space="preserve"> -------------------------------------------------- Follow Up #1: 06/09/2020 11:02. Daniel.Brown / SEA - LOG - Staffer Notified order is ready for pickup: COVID-140	Nitrile gloves - s (100/box)	box	40 COVID-141	Nitrile gloves - m (100/box)	box	150 COVID-142	Nitrile gloves - l (100/box)	box	200 COVID-143	Nitrile gloves - xl (100/box)	box	200 COVID-150	Paper Towels (12 packs/case)	case	15 COVID-170	Hand Sanitizer (12oz/16oz)	container	300 COVID-230 	Hand Sanitizer	gallon 40 was out of stock.  Talked with Javier and change the hand sanitizer to COVID-172 33.8oz bottles.  151 bottles  </t>
  </si>
  <si>
    <t xml:space="preserve">See attached spreadsheet for items requested from the centrally procured list.  To provide Seattle meal programs with emergency sanitation and hygiene supplies and basic personal protective equipment and home delivery and meal serving supplies in order to follow the Public Health COVID-19 guidance. These agencies serve the most vulnerable residents (including homeless and very low-income seniors, children and families) with food and other basic needs. Agencies are having difficulty procuring these items needed to maintain services and health safety protocols while shifting services toward home delivery and to-go meals.  Items will be picked up by lead agency (OSL) supporting meal programs at the City warehouse. </t>
  </si>
  <si>
    <t>STTL-x2vbj0</t>
  </si>
  <si>
    <t>SPU PPE Reguest</t>
  </si>
  <si>
    <t>Mask order</t>
  </si>
  <si>
    <t>We would like to order:  3,000 units of Santa Fe Masks (See attached photo) Surgical Masks 5,000 units of 5K Energy Masks (See attached photo) Cloth Masks</t>
  </si>
  <si>
    <t xml:space="preserve">-------------------------------------------------- Follow Up #1: 06/09/2020 09:13. Daniel.Brown / SEA - LOG - Staffer Notified ready for pickup: 3,000 units of Santa Fe Masks (See attached photo) Surgical Masks  On Backorder: 5,000 units of 5K Energy Masks (See attached photo) Cloth Masks </t>
  </si>
  <si>
    <t>We would like to order: 3,000 units of Santa Fe Masks (See attached photo) 5,000 units of 5K Energy Masks (See attached photo)</t>
  </si>
  <si>
    <t>STTL-sbbvgr</t>
  </si>
  <si>
    <t>FAS Warehouse Services</t>
  </si>
  <si>
    <t>FAS Warehouse PPE Supplies</t>
  </si>
  <si>
    <t>FAS Warehouse PPE Request</t>
  </si>
  <si>
    <t>10 Boxes Surgical Masks</t>
  </si>
  <si>
    <t xml:space="preserve"> -------------------------------------------------- Follow Up #1: 06/09/2020 08:39. Daniel.Brown / SEA - LOG - Staffer Update: 10 boxes of surgical masks delivered to warehouse. </t>
  </si>
  <si>
    <t>Need 10 Boxes of surgical masks for when surplus warehouse opens to public.</t>
  </si>
  <si>
    <t>STTL-trad0g</t>
  </si>
  <si>
    <t>Supplies</t>
  </si>
  <si>
    <t>Testing Supplies</t>
  </si>
  <si>
    <t>2 cases of Toilet Paper 2 case of paper towels</t>
  </si>
  <si>
    <t xml:space="preserve"> -------------------------------------------------- Follow Up #1: 06/08/2020 16:04. Daniel.Brown / SEA - LOG - Staffer Notified order is ready for pickup: 2 cases of Toilet Paper 2 case of paper towels </t>
  </si>
  <si>
    <t>Janitorial supplies for South testing center. 2 case Paper Towels 2 case toilet paper</t>
  </si>
  <si>
    <t>STTL-zmnfte</t>
  </si>
  <si>
    <t>Small N95 masks for Library</t>
  </si>
  <si>
    <t>Library Request for Small N95 Masks</t>
  </si>
  <si>
    <t>50 small N95 masks for staff</t>
  </si>
  <si>
    <t xml:space="preserve"> -------------------------------------------------- Follow Up #1: 06/08/2020 15:56. Daniel.Brown / SEA - LOG - Staffer Notified ready for pickup: 50 small N95 masks -------------------------------------------------- </t>
  </si>
  <si>
    <t xml:space="preserve">The Seattle Public Library requests small N95 masks to be used by staff in support of newly opened restroom services.  Needed as soon as can be delivered in order to deploy certain staff members. </t>
  </si>
  <si>
    <t>STTL-cldm1c</t>
  </si>
  <si>
    <t>FAS distribution services</t>
  </si>
  <si>
    <t>FAS distribution services - PPE</t>
  </si>
  <si>
    <t>FAS Distribution Services</t>
  </si>
  <si>
    <t>1 box of facial tissue 1 box of hand soap</t>
  </si>
  <si>
    <t xml:space="preserve"> -------------------------------------------------- Follow Up #2: 06/08/2020 15:05. Daniel.Brown / SEA - LOG - Staffer Order is ready for pickup.  Will be picked up  1 box of facial tissue 1 box of hand soap -------------------------------------------------- Follow Up #1: 06/08/2020 09:48. Daniel.Brown / SEA - LOG - Staffer Update Order sent to Warehouse to be pulled. </t>
  </si>
  <si>
    <t>Distribution Services needs 1 box of facial tissue, 1 box of hand soap</t>
  </si>
  <si>
    <t>Small sized N95 masks for SPL</t>
  </si>
  <si>
    <t>Seattle Public Library would like 50 smaller N95 masks.  None in stock.</t>
  </si>
  <si>
    <t xml:space="preserve"> -------------------------------------------------- Follow Up #4: 06/08/2020 12:19. Daniel.Brown / SEA - LOG - Staffer 50 small N95 mask arrived 6/4/2020 -------------------------------------------------- Follow Up #3: 05/11/2020 16:04. Pam.Tokunaga / SEA - LOG - Supplies and Equipment Order was placed on 4/28/2020 with Mallory Safety, ETA 6/5/2020 -------------------------------------------------- Follow Up #2: 04/27/2020 14:00. Pam.Tokunaga / SEA - LOG - Supplies and Equipment David M will follow up with Amanda/SPL to confirm they can take non 3M N95 masks. -------------------------------------------------- Follow Up #1: 04/23/2020 15:59. Pam.Tokunaga / SEA - LOG - Supplies and Equipment  David M will be sending out a RFQ  </t>
  </si>
  <si>
    <t>STTL-p0oc0q</t>
  </si>
  <si>
    <t>HSD Food Bank / Meal program</t>
  </si>
  <si>
    <t>Sanitation/Hygiene/Delivery supplies to food banks/meal programs</t>
  </si>
  <si>
    <t xml:space="preserve">Items requested to be filled by warehouse:  1100  Clorox Wipes, 150 wipe container 1050  Hand Soap, 7-15 oz container 1100  Hand Sanitizer, 8  15 oz  280  Hand Sanitizer, 1 liter or comparable 9500  Mask, surgical 700  Paper Towel, Rolls (check to see if flat packs OK) 70  Garbage Bags 30 gal, boxes  100 per box  </t>
  </si>
  <si>
    <t xml:space="preserve"> -------------------------------------------------- Follow Up #10: 06/08/2020 11:02. Daniel.Brown / SEA - LOG - Staffer Notified of Pickup 48, 1 gallon hand sanitizer was replaced with 364, 16.9oz bottles of hand sanitizer.  order is not compete. -------------------------------------------------- Follow Up #9: 05/27/2020 07:22. Matt.Rathke / SEA - LOG - Staffer Notified for pickup:  Purell, 12 oz, 720 ea  Remaining  Purell, 1 gallon, 48 ea  -------------------------------------------------- Follow Up #8: 05/12/2020 11:06. Matt.Rathke / SEA - LOG - Staffer Notified for pickup  Clorox/Cavi Wipes, 552 containers ea  Remaining  Purell, 1 gallon, 48 ea  Purell, 12 oz, 720 ea -------------------------------------------------- Follow Up #7: 04/22/2020 14:13. Matt.Rathke / SEA - LOG - Staffer Notified for pickup  Clorox/Cavi Wipes, 380 containers ea  Remaining Clorox wipes, 572 ea Purell, 1 gallon, 48 ea Purell, 12 oz, 720 ea -------------------------------------------------- Follow Up #6: 04/20/2020 13:08. Matt.Rathke / SEA - LOG - Staffer Notified for pickup: ClaviWipes, 150 ea  Remaining: Clorox wipes, 952 ea Purell, 1 gallon, 48 ea Purell, 12 oz, 720 ea -------------------------------------------------- Follow Up #5: 04/14/2020 11:05. Matt.Rathke / SEA - LOG - Staffer Notified ready for pickup: Masks surgical, 180 ea  Remaining: Clorox wipes, 1082 ea Purell, 1 gallon, 48 ea Purell, 12 oz, 720 ea  -------------------------------------------------- Follow Up #4: 04/10/2020 07:16. Matt.Rathke / SEA - LOG - Staffer Ready for Pickup: Purell, 12 oz bottle, 160 ea Purell, 1 gallon, 6 each  Remaining: Clorox wipes, 1082 ea Masks surgical, 180 ea Purell, 1 gallon, 48 ea Purell, 12 oz, 720 ea -------------------------------------------------- Follow Up #3: 04/02/2020 14:20. Presley.Palmer / SEA - LOG - Supplies and Equipment Following Items assigned to David Mclean to source:  	200 Paper Grocery Bags (large) 	37 Paper Grocery Bags (small) 	375 - To-Go Containers (cold food) 	400  To go Containers (hot food) 	280  Bleach (1 gallon)  -------------------------------------------------- Follow Up #2: 03/24/2020 08:52. Matt.Rathke / SEA - LOG - Staffer Ready for pickup: 18 boxes Clorox Wipes 1060 Hand Soap 120 bottles Purell 12oz 58 Cases toilet paper 76 Gallons Purell 1-gallon size  Remaining: 1082 boxes Clorox Wipes 190 surgical masks 980 12oz bottles Purell Notified Jill Watson @ 8:29am 3/24/20 -------------------------------------------------- Follow Up #1: 03/23/2020 15:15. Matt.Rathke / SEA - LOG - Staffer Updated order to be filled by Warehouse:  1100  Clorox Wipes, 150 wipe container 1050  Hand Soap, 7-15 oz container 1100  Hand Sanitizer, 8  15 oz  280  Hand Sanitizer, 1 liter or comparable 9500  Mask, surgical 700  Paper Towel, Rolls (check to see if flat packs OK) </t>
  </si>
  <si>
    <t>See attached resource request spreadsheet. To provide food banks and meal programs with emergency sanitation and hygiene supplies and basic home delivery and meal serving supplies during the first few weeks of the COVID-19 epidemic.  These agencies serve the most vulnerable Seattle residents (including very low-income seniors, children and those with disabilities) with food and other basic needs.  Agencies are scrambling to find these items while drastically shifting toward home delivery and to-go meals.  HSD recommends procuring compostable to-go containers for meal programs since meals will not be consumed in a congregate setting. Order needed by Mon., March 30.  Order does not need to be complete in order to ship.  Items will be picked up by lead agencies supporting food banks and meal programs at the city warehouse.</t>
  </si>
  <si>
    <t>STTL-g8nlzb</t>
  </si>
  <si>
    <t>SFD full face shields</t>
  </si>
  <si>
    <t>face masks - need by Friday 5/29 for testing sites</t>
  </si>
  <si>
    <t>SFD wants 200 full face covering.</t>
  </si>
  <si>
    <t xml:space="preserve">-------------------------------------------------- Follow Up #2: 06/02/2020 11:03. Matt.Rathke / SEA - LOG - Staffer Order completed - 6/2/2020 -------------------------------------------------- Follow Up #1: 05/27/2020 10:11. Matt.Rathke / SEA - LOG - Staffer Full coverage face shields - 200 each </t>
  </si>
  <si>
    <t>200 face masks</t>
  </si>
  <si>
    <t>STTL-nxpwdp</t>
  </si>
  <si>
    <t>PPE request for Seattle Center</t>
  </si>
  <si>
    <t>Seattle Center Weekly PPE order for May 6th</t>
  </si>
  <si>
    <t>Seattle Center needs: 50 - hand sanitizer dispensers  10 - 1-gallon hand sanitizer refill bottles  50 - containers of disinfectant wipes  10 - 16oz bottles of 70% isopropyl alcohol</t>
  </si>
  <si>
    <t xml:space="preserve"> -------------------------------------------------- Follow Up #5: 06/08/2020 08:30. Daniel.Brown / SEA - LOG - Staffer Updating Notified of pickup.  Changing the 10 - 1 Gallon hand sanitizer on backorder to 80 16.9oz bottles of hand sanitizer.  Request is now complete. -------------------------------------------------- Follow Up #4: 06/03/2020 08:43. Matt.Rathke / SEA - LOG - Staffer Notified for pickup 10 - 16oz bottles of 70% isopropyl alcohol  Remaining:  10 - 1-gallon hand sanitizer refill bottles  -------------------------------------------------- Follow Up #3: 05/26/2020 15:46. Matt.Rathke / SEA - LOG - Staffer Notified for pickup  50 - hand sanitizer dispensers various sizes  Remaining:  10 - 1-gallon hand sanitizer refill bottles  10 - 16oz bottles of 70% isopropyl alcohol  -------------------------------------------------- Follow Up #2: 05/19/2020 12:02. Matt.Rathke / SEA - LOG - Staffer Notified for pickup  Three (3) Milwaukee 2820 Sprayers Three (3) Milwaukee XC50 batteries  Remaining: 50 - hand sanitizer dispensers  10 - 1-gallon hand sanitizer refill bottles  10 - 16oz bottles of 70% isopropyl alcohol -------------------------------------------------- Follow Up #1: 05/12/2020 11:12. Matt.Rathke / SEA - LOG - Staffer Notified for pickup: 50 - containers of disinfectant wipes  Remaining: 50 - hand sanitizer dispensers  10 - 1-gallon hand sanitizer refill bottles  10 - 16oz bottles of 70% isopropyl alcohol </t>
  </si>
  <si>
    <t>50  - hand sanitizer dispensers 10  - 1-gallon hand sanitizer refill bottles  50  - containers of disinfectant wipes 10  - 16oz bottles of 70% isopropyl alcohol 3  - Backpack sprayers, Solo, 4gl or equivalent (Grainger Item # 3JEJ4)  https://www.grainger.com/product/3JEJ4?cm_mmc=PPC:+MSN+PLA&amp;s_kwcid=AL!2966!10!8973609494!1102900015712&amp;ef_id=XoI9DAAAAIw_oQgw:20200504184507:s  Used by frontline staff working with the public.</t>
  </si>
  <si>
    <t>STTL-dow7ca</t>
  </si>
  <si>
    <t>Seattle Center surgical masks, hand sanitizer tote</t>
  </si>
  <si>
    <t>Seattle Center Weekly PPE Request for 4/17/20</t>
  </si>
  <si>
    <t xml:space="preserve">300 surgical masks (used by frontline staff working with the public)  1 bulk hand sanitizer palletized tote (to refill smaller dispensers on campus) </t>
  </si>
  <si>
    <t xml:space="preserve"> -------------------------------------------------- Follow Up #3: 06/08/2020 08:15. Daniel.Brown / SEA - LOG - Staffer Updating Request 10, 1 gallon hand sanitizer on backorder was changed to 80, 16.9oz bottles and filled completing order.  Notified ready for pickup. -------------------------------------------------- Follow Up #2: 04/22/2020 11:51. Matt.Rathke / SEA - LOG - Staffer Notified for pickup Surgical masks, 6 boxes (300 ea) Purell, 1 gallon, 10 ea -------------------------------------------------- Follow Up #1: 04/20/2020 13:23. Matt.Rathke / SEA - LOG - Staffer Updating request - Changing Hand Sanitizer request to ten (10) 1 gallon containers. </t>
  </si>
  <si>
    <t>300 surgical masks (used by frontline staff working with the public) 1 bulk hand sanitizer palletized tote (to refill smaller dispensers on campus)</t>
  </si>
  <si>
    <t>STTL-0qf5ay</t>
  </si>
  <si>
    <t>Seattle Fire Department - N95 masks</t>
  </si>
  <si>
    <t>3M N95 - 8210</t>
  </si>
  <si>
    <t>SFD request  3M N95 respirator, model 8210, 3920 ea</t>
  </si>
  <si>
    <t xml:space="preserve"> -------------------------------------------------- Follow Up #1: 06/05/2020 11:26. Matt.Rathke / SEA - LOG - Staffer Notified for delivery -  Masks, N95 - 3M 8210, 196 boxes </t>
  </si>
  <si>
    <t>3920 N95 masks - 3M This is the number P. Saunders gave me that the warehouse has.  We only want the 8210 N95.</t>
  </si>
  <si>
    <t>STTL-c9mp18</t>
  </si>
  <si>
    <t>SPU solid waste - surgical masks</t>
  </si>
  <si>
    <t>Face Masks</t>
  </si>
  <si>
    <t>Surgical Masks, 200 ea</t>
  </si>
  <si>
    <t xml:space="preserve"> -------------------------------------------------- Follow Up #1: 06/05/2020 10:56. Matt.Rathke / SEA - LOG - Staffer Notified for pickup:  Masks, surgical - 4 boxes - 200 ea </t>
  </si>
  <si>
    <t>200 Units of disposable face masks (pleated type) for SPU Solid Waste. Pls see attached picture.</t>
  </si>
  <si>
    <t>STTL-buua4l</t>
  </si>
  <si>
    <t>Submit SPD Weekly PPE Request to King County</t>
  </si>
  <si>
    <t>SPD Weekly PPE Request for June 6, 2020</t>
  </si>
  <si>
    <t>Submit SPD Weekly PPE Request to King County for June 6 - 13, 2020</t>
  </si>
  <si>
    <t xml:space="preserve"> -------------------------------------------------- Follow Up #1: 06/03/2020 16:40. Elenka.Jarolimek / SEA - LOG - FAS ESF 13 Received </t>
  </si>
  <si>
    <t>Submit SPD weekly PPE request for June 6, 2020 to King County ECC.</t>
  </si>
  <si>
    <t>STTL-dgiqkc</t>
  </si>
  <si>
    <t>Seattle Fire Department - Isopropyl Alcohol 70%</t>
  </si>
  <si>
    <t>Rubbing Alcohol 70%</t>
  </si>
  <si>
    <t>500 - 16 oz bottles of Isopropyl Alcohol</t>
  </si>
  <si>
    <t xml:space="preserve"> -------------------------------------------------- Follow Up #1: 06/03/2020 08:48. Matt.Rathke / SEA - LOG - Staffer Notified for pickup  Isopropyl alcohol, 32 oz - 500 ea </t>
  </si>
  <si>
    <t>Rubbing Alcohol 70% or higher</t>
  </si>
  <si>
    <t>STTL-shm90d</t>
  </si>
  <si>
    <t>Super Sani-Cloths (purple top) for SFD</t>
  </si>
  <si>
    <t>Super Sani-Cloths or equal</t>
  </si>
  <si>
    <t xml:space="preserve">500 tubes of Super Sani-Cloths (purple top)  We are not finding them anywhere </t>
  </si>
  <si>
    <t xml:space="preserve"> -------------------------------------------------- Follow Up #3: 06/02/2020 11:00. Matt.Rathke / SEA - LOG - Staffer 120 shipped on 5/19/2020  Remaining 380 ea shipped 6/2/2020 -------------------------------------------------- Follow Up #2: 05/19/2020 12:28. Matt.Rathke / SEA - LOG - Staffer Notified ready for pickup:  Super Sani-Cloth (Purple Top) 500 ea -------------------------------------------------- Follow Up #1: 05/11/2020 16:34. Pam.Tokunaga / SEA - LOG - Supplies and Equipment Assigned to David M on 5/11/2020. </t>
  </si>
  <si>
    <t>500 tubes of Super Sani-Cloths (purple top)  We are not finding them anywhere</t>
  </si>
  <si>
    <t>STTL-fi5rsc</t>
  </si>
  <si>
    <t>SCL sprayers and disinfectant</t>
  </si>
  <si>
    <t>Disinfectant Backpack Sprayer with liquid</t>
  </si>
  <si>
    <t xml:space="preserve">Distribution of sprayers Notified for pickup  Three (3) Backpack sprayers Three (3) Battery packs for sprayers </t>
  </si>
  <si>
    <t xml:space="preserve"> -------------------------------------------------- Follow Up #1: 06/02/2020 10:33. Matt.Rathke / SEA - LOG - Staffer Notified for pickup  5 gallon buckets of Bioesque disinfectant - 4 ea </t>
  </si>
  <si>
    <t xml:space="preserve">Disinfectant Backpack Sprayer with liquid, we would like to acquire for our fleets and custodial staff the backpack sprayers and the approved disinfectant liquid. As we do not know what our burn rate will be we would request 10 backpack sprayers and 2 equivalent refills for each to total 20 refills until a burn rate can be determined.  Update: 2 each Victory Coreless Handheld Sprayer  Model# VP200ESK 2 each Victory Cordless Backpack Sprayer  Model# VP300ES 4 each Battery Packs  Model# VP20B 16.8V 2 each Battery Chargers  Model# VP10 16.8V 4 each Botanical Disinfectant Solution 5 Gallon Pail  Model# 310650025 </t>
  </si>
  <si>
    <t>SCL backpack disinfectant sprayer</t>
  </si>
  <si>
    <t>Jana is getting back with specifics for their needs.</t>
  </si>
  <si>
    <t xml:space="preserve"> -------------------------------------------------- Follow Up #3: 06/02/2020 10:31. Matt.Rathke / SEA - LOG - Staffer Materials are being distributed -------------------------------------------------- Follow Up #2: 05/11/2020 15:57. Pam.Tokunaga / SEA - LOG - Supplies and Equipment Combined this request with FAS standard order. Order was placed for 15 backpack sprayers. ETA is 5/20/2020. Order is for an equal product. This product will be part of the PPE essential list. -------------------------------------------------- Follow Up #1: 05/05/2020 14:57. Matt.Rathke / SEA - LOG - Staffer 2 each Victory Coreless Handheld Sprayer  Model# VP200ESK 2 each Victory Cordless Backpack Sprayer  Model# VP300ES 4 each Battery Packs  Model# VP20B 16.8V 2 each Battery Chargers  Model# VP10 16.8V 4 each Botanical Disinfectant Solution 5 Gallon Pail  Model# 310650025  </t>
  </si>
  <si>
    <t>Order Has Been Completed</t>
  </si>
  <si>
    <t>Order Has Been Completed.</t>
  </si>
  <si>
    <t>Order has been completed</t>
  </si>
  <si>
    <t>STTL-adgi6r</t>
  </si>
  <si>
    <t>COVID Test Kits request submitted to King ECC</t>
  </si>
  <si>
    <t>In Transit</t>
  </si>
  <si>
    <t>COVID TEST KITS</t>
  </si>
  <si>
    <t xml:space="preserve">Email sent 5/20 to King County ECC requesting COVID Test Kits  Single Items  SWABS	17,000 Single Items  VTM	17,000 Single Item (if possible) - specimen collection bags	17,000 Supplemental Information (required per State) Is request related to Cluster/Outbreak Response?	  No Priority Group Receiving testing	 Long Term Care	Yes  	First Responder	Yes  	People living homeless/shelter	Yes Do you intend to use a lab OTHER THAN Public Health Lab (PHL)?	  Yes  Univ of Washington </t>
  </si>
  <si>
    <t>Swabs - 17,000 VTM - 17,000 Specimen collection bags - 17,000  Swabs and VTM submitted through DOH Test Supply request portal.  Pick up will be at: 1st Ave Warehouse 3417 1st Ave S Seattle, WA 98134</t>
  </si>
  <si>
    <t>STTL-yzoykp</t>
  </si>
  <si>
    <t>SPU hand sanitizer</t>
  </si>
  <si>
    <t xml:space="preserve">Hand Sanitizer </t>
  </si>
  <si>
    <t xml:space="preserve">4,000 Hand sanitizer 12 ounces or equal. If the bottled ones are not available, 55 Gal drum will do. </t>
  </si>
  <si>
    <t xml:space="preserve"> -------------------------------------------------- Follow Up #2: 05/28/2020 10:37. Matt.Rathke / SEA - LOG - Staffer SPU cancelled this order upon fulfillment per Claudette CabralAure/Walter Vining -------------------------------------------------- Follow Up #1: 05/26/2020 15:06. Matt.Rathke / SEA - LOG - Staffer Notified ready for pickup  Purell, hand sanitizer 12 oz bottle, 4,000 ea </t>
  </si>
  <si>
    <t>4,000 Hand sanitizer 12 ounces or equal. If the bottled ones are not available, 55 Gal drum will do.</t>
  </si>
  <si>
    <t>STTL-z0kmo5</t>
  </si>
  <si>
    <t>SPU operations needs 50,000 N95 masks</t>
  </si>
  <si>
    <t>Face Masks Order</t>
  </si>
  <si>
    <t>Once the masks have been located DMB will be distributing them to SPU</t>
  </si>
  <si>
    <t xml:space="preserve"> -------------------------------------------------- Follow Up #1: 05/28/2020 09:12. Pam.Tokunaga / SEA - LOG - Supplies and Equipment Per email confirmation from Walter Vining dated 5/26/2020, order is cancelled.  </t>
  </si>
  <si>
    <t>50,000 N95 face masks</t>
  </si>
  <si>
    <t>SPU request for 50,000 N95 masks</t>
  </si>
  <si>
    <t xml:space="preserve"> -------------------------------------------------- Follow Up #2: 05/28/2020 09:11. Pam.Tokunaga / SEA - LOG - Supplies and Equipment Per email confirmation from Walter Vining dated 5/26/2020, order is cancelled.  -------------------------------------------------- Follow Up #1: 05/11/2020 16:16. Pam.Tokunaga / SEA - LOG - Supplies and Equipment Assigned to David M. RFQ issued, due back 5/12/2020, 4:00 PM </t>
  </si>
  <si>
    <t>STTL-4bfzyd</t>
  </si>
  <si>
    <t>SPU - 50000 N100 masks</t>
  </si>
  <si>
    <t>N100 Respirator</t>
  </si>
  <si>
    <t xml:space="preserve">50,000 units of 3M Particulate Respirator 8233 N100 - see attached PDF File for soecs </t>
  </si>
  <si>
    <t xml:space="preserve"> -------------------------------------------------- Follow Up #1: 05/28/2020 09:08. Pam.Tokunaga / SEA - LOG - Supplies and Equipment Per email confirmation with Walter Vining dated 5/26/2020, this request is cancelled.  </t>
  </si>
  <si>
    <t>50,000 units of  3M Particulate Respirator 8233 N100 - see attached PDF File for soecs</t>
  </si>
  <si>
    <t>STTL-blbddl</t>
  </si>
  <si>
    <t>Seattle Center masks</t>
  </si>
  <si>
    <t>Seattle Center Masks Order 0n 5/15/20</t>
  </si>
  <si>
    <t>700 cloth masks  300 surgical masks</t>
  </si>
  <si>
    <t xml:space="preserve">-------------------------------------------------- Follow Up #1: 05/18/2020 07:51. Matt.Rathke / SEA - LOG - Staffer Notified for pickup  Masks, cloth 700 units Masks, surgical, 6 boxes, 300 ea  </t>
  </si>
  <si>
    <t>700 cloth masks 300 surgery masks  Cloth masks for returning regular staff  Surgery Masks for face covering directive inside buildings.</t>
  </si>
  <si>
    <t>STTL-6kao9g</t>
  </si>
  <si>
    <t xml:space="preserve">Police - Liquid Hand Sanitizer </t>
  </si>
  <si>
    <t>Police - Liquid Hand Sanitizer</t>
  </si>
  <si>
    <t>Purchase hand sanitizer</t>
  </si>
  <si>
    <t xml:space="preserve">-------------------------------------------------- Follow Up #2: 05/26/2020 15:05. Matt.Rathke / SEA - LOG - Staffer Notified for pickup  Purell, 12 oz bottles, 10,000 ea -------------------------------------------------- Follow Up #1: 03/23/2020 17:09. Matt.Rathke / SEA - LOG - Staffer Update assignment </t>
  </si>
  <si>
    <t xml:space="preserve">Part # GOJ965212	 Desktop Bottle (Any Brand)	12 fluid oz. per bottle	10,000 Bottles </t>
  </si>
  <si>
    <t>STTL-4gtt6u</t>
  </si>
  <si>
    <t>Seattle Fire Department - Cloth Masks</t>
  </si>
  <si>
    <t>Additional 150 cloth masks for Seattle Fire Department  Distributed after 1st wave of masks completely distributed.</t>
  </si>
  <si>
    <t xml:space="preserve"> -------------------------------------------------- Follow Up #1: 05/27/2020 08:51. Matt.Rathke / SEA - LOG - Staffer Provided cloth masks  150 cloth masks </t>
  </si>
  <si>
    <t>150 cloth masks</t>
  </si>
  <si>
    <t>Seattle Fire Cloth mask</t>
  </si>
  <si>
    <t>Seattle Fire is looking for more cloth masks.  Holding request pending decision.</t>
  </si>
  <si>
    <t>STTL-cqib6v</t>
  </si>
  <si>
    <t>SPL 500 KN95 masks for staff</t>
  </si>
  <si>
    <t xml:space="preserve">KN95 Mask Request for Seattle Public Library </t>
  </si>
  <si>
    <t>The Seattle Public Library requests 500 KN95 masks for use by essential Security and Custodial personnel</t>
  </si>
  <si>
    <t xml:space="preserve"> -------------------------------------------------- Follow Up #1: 05/27/2020 07:30. Matt.Rathke / SEA - LOG - Staffer Supplied 10 boxes of KN95's to SPL on 5/12 </t>
  </si>
  <si>
    <t>The Seattle Public Library requests 500 KN95 masks for use by essential Security and Custodial personnel.</t>
  </si>
  <si>
    <t>STTL-hn2bgr</t>
  </si>
  <si>
    <t>Submit City Consolidated Weekly PPE Request to KC ECC</t>
  </si>
  <si>
    <t>City Consolidated Weekly PPE Order for May 29, 2020</t>
  </si>
  <si>
    <t>Submit attached City Consolidated Weekly PPE Request to KC ECC by noon on 5/27.</t>
  </si>
  <si>
    <t xml:space="preserve"> -------------------------------------------------- Follow Up #1: 05/26/2020 16:05. Elenka.Jarolimek / SEA - LOG - FAS Weekly PPE request received by KC ECC. </t>
  </si>
  <si>
    <t xml:space="preserve">See attached City of Seattle weekly PPE request for May 29 that includes the following items:  1,500 EA Clorox Wipes Tub or equivalent Sanitizing/Disinfectant Wipes Tub 200 EA Face Shields 1,200 EA Hand sanitizer bottles - 12oz  or equivalent hand sanitizer 100 EA Infrared Thermometers 400 EA KN95 Masks 300 EA Masks (N95)  Small 2,000 EA N95 Masks 5,000 EA Surgical Procedure Masks 100 EA Disinfectant Wipes (Gym Wipes) 1,000 EA Gloves, Nitrile Small 1,000 EA Gloves, Nitrile Med 1,000 EA Gloves, Nitrile Large 1,000 EA Gloves, Nitrile X-Large 300 EA Eye Protection Glasses 300 EA Dupont Tyvek Suits 100 EA Dupont Tyvek Suit Med 100 EA Dupont Tyvek Suit LG 100 EADupont Tyvek Suit 2XL  </t>
  </si>
  <si>
    <t>STTL-uq686s</t>
  </si>
  <si>
    <t>HSD meal program 6 week list</t>
  </si>
  <si>
    <t>Sanitation/Hygiene Supplies for Meal Programs</t>
  </si>
  <si>
    <t xml:space="preserve">Masks - earloop - does not need to be surgical (100/box) - 20 boxes Nitrile gloves - m (100/box) - 30 boxes Nitrile gloves - l (100/box) - 30 boxes Nitrile gloves - xl (100/box) - 50 boxes Paper Towels (12 packs/case) - 10 cases Toilet Paper 80 roll/case - 10 cases </t>
  </si>
  <si>
    <t xml:space="preserve"> -------------------------------------------------- Follow Up #1: 05/26/2020 15:15. Matt.Rathke / SEA - LOG - Staffer Picked up on 5/5  Masks, surgical - 40 boxes Nitrile gloves, 30 boxes, Med Nitrile Gloves, 30 boxes, Large Nitrile Gloves, 50 boxes, Xlarge Paper Towels, 12 cases Toilet Paper, 22 cases  </t>
  </si>
  <si>
    <t>See attached spreadsheet. Can a cost estimate be provided of centrally procured items coming from the warehouse?  Order is to provide Seattle meal programs with emergency sanitation and hygiene supplies, basic personal protective equipment, and home delivery and meal serving supplies during the COVID-19 epidemic. Agencies report difficulty procuring these items needed to maintain services and health safety protocols while shifting services toward home delivery and to-go meals.  Order does not need to be complete to be notified to pick up at warehouse.</t>
  </si>
  <si>
    <t>STTL-meal01</t>
  </si>
  <si>
    <t>Submit SPD Weekly PPE Request to KC ECC</t>
  </si>
  <si>
    <t>SPD Weekly PPE Request for May 29, 2020</t>
  </si>
  <si>
    <t>Submit attached SPD Weekly PPE Request to KC ECC by COB, 5/26</t>
  </si>
  <si>
    <t>On behalf of Seattle Police Dept, see attached request for 300 N95- Small to be included as part of the ESF 13 Law Enforcement Bulk Order for May 29, 2020.</t>
  </si>
  <si>
    <t>STTL-0nmv7h</t>
  </si>
  <si>
    <t>Submit SFD Weekly PPE Request to KC ECC</t>
  </si>
  <si>
    <t>SFD Weekly PPE Request for May 29, 2020</t>
  </si>
  <si>
    <t>Submit attached SFD Weekly PPE Request to KC ECC by noon, 5/27</t>
  </si>
  <si>
    <t xml:space="preserve">On behalf of the Seattle Fire Dept.,  include the following items for the Fire/EMA Weekly for May 29, 2020: 	5, 000 EA Surgical Procedure Masks 	1,000 EA medical grade, small nitrile gloves 	1,000 EA medical grade, medium nitrile gloves 	1,000 EA medical grade, Large nitrile gloves 	1,000 EA medical grade, XL nitrile gloves 	1,000 EA medical grade XXL nitrile gloves </t>
  </si>
  <si>
    <t>STTL-1ei06e</t>
  </si>
  <si>
    <t>Hand Sanitizer gel</t>
  </si>
  <si>
    <t>hand sanitizer - GEL</t>
  </si>
  <si>
    <t>requesting 300 16 oz hand sanitizer containers  SFD hand sanitizer - Gel type</t>
  </si>
  <si>
    <t xml:space="preserve"> -------------------------------------------------- Follow Up #2: 05/26/2020 15:01. Matt.Rathke / SEA - LOG - Staffer Notified for pickup  Purell, Gel, various sizes - 300 ea -------------------------------------------------- Follow Up #1: 05/11/2020 16:33. Pam.Tokunaga / SEA - LOG - Supplies and Equipment Order placed on 5/1/2020 with Procurement Services. ETA is 5/15/2020. </t>
  </si>
  <si>
    <t>requesting 300 16 oz hand sanitizer containers</t>
  </si>
  <si>
    <t>STTL-uywxa5</t>
  </si>
  <si>
    <t>SDOT weekly supplies</t>
  </si>
  <si>
    <t>SDOT Supply Order</t>
  </si>
  <si>
    <t xml:space="preserve"> 150 Non-contact Thermometers   30 boxes Nitrile Gloves (Med)   30 boxes Nitrile Gloves (Large)   30 boxes Nitrile Gloves (XL)   360 2oz hand sanitizers   100 bottles of 16oz hand sanitizers </t>
  </si>
  <si>
    <t xml:space="preserve"> -------------------------------------------------- Follow Up #4: 05/26/2020 14:59. Matt.Rathke / SEA - LOG - Staffer Notification for pickup  Purell various sizes, 460 each -------------------------------------------------- Follow Up #3: 05/08/2020 10:51. Matt.Rathke / SEA - LOG - Staffer Notified for pickup:  100 non contact IR thermometers  Remaining:  Purell, various sizes, 460 bottles. -------------------------------------------------- Follow Up #2: 05/01/2020 15:36. Matt.Rathke / SEA - LOG - Staffer Notified ready for pickup  50 IR non contact thermometers  Remaining:  100 IR non contact thermometers -------------------------------------------------- Follow Up #1: 04/29/2020 10:22. Matt.Rathke / SEA - LOG - Staffer Notified for delivery: Nitrile gloves, Med, Black, 30 boxes Nitrile gloves, Lrg, Black, 30 boxes Nitrile gloves, Xlrg, Black, 30 boxes  Remaining: Purell, Various sizes 460 ea Thermometers, Infrared, no touch 150 ea </t>
  </si>
  <si>
    <t xml:space="preserve">SDOT needs the supplies to continue our Mission Essential Functions as part of the Citys continuity of operations plan (COOP):  	Maintain arterial operations and mitigate hazards in the right-of-way (ROW)  	Maintain moveable bridge operations and maintenance  	Maintain structural assets due to unexpected failure (I.e. emergency inspections, repair, construction)  	Issue permits and conduct inspections only for essential work (note that while our Street Use and Traffic permit counters in SMT are currently closed to the public, permits are available by phone and online)  	Continue work on public works capital projects under construction where this can be done safely  Thus, we are asking for the following supplies  	150 Non-contact Thermometers  	30 boxes Nitrile Gloves (Med) 	30 boxes Nitrile Gloves (Large) 	30 boxes Nitrile Gloves (XL) 	360 2oz hand sanitizers  	100 bottles of 16oz hand sanitizers  </t>
  </si>
  <si>
    <t>STTL-ctjiw0</t>
  </si>
  <si>
    <t>SPU - 50000 3M N95 respirator</t>
  </si>
  <si>
    <t xml:space="preserve">N95 Respirators </t>
  </si>
  <si>
    <t xml:space="preserve">50,000 units (N95 Respirators 3M Particulate 8214 or 8212 with face seal and nuisance level.) see attached picture.  </t>
  </si>
  <si>
    <t xml:space="preserve"> -------------------------------------------------- Follow Up #1: 05/26/2020 12:05. Pam.Tokunaga / SEA - LOG - Supplies and Equipment 5/26/2020 - Per phone conversation with Walter Vining, this request is cancelled.  </t>
  </si>
  <si>
    <t>50,000 units (N95 Respirators 3M Particulate 8214 or 8212 with face seal and nuisance level.) see attached picture.</t>
  </si>
  <si>
    <t>STTL-22mm6h</t>
  </si>
  <si>
    <t>SPU - 50000 N95 masks</t>
  </si>
  <si>
    <t xml:space="preserve">N95 masks </t>
  </si>
  <si>
    <t>50,000 pieces (3M 8511) or equal.</t>
  </si>
  <si>
    <t xml:space="preserve"> -------------------------------------------------- Follow Up #1: 05/26/2020 12:04. Pam.Tokunaga / SEA - LOG - Supplies and Equipment 5/26/2020 - Per telephone conversation with Walter Vining, this order is cancelled.  </t>
  </si>
  <si>
    <t xml:space="preserve">50,000 pieces (3M 8511) or equal. </t>
  </si>
  <si>
    <t>STTL-41w63p</t>
  </si>
  <si>
    <t>SPU signs</t>
  </si>
  <si>
    <t>Facilities Signs</t>
  </si>
  <si>
    <t>FAS facilities should be able to get this done.  Contacted Mike Ashbrook</t>
  </si>
  <si>
    <t xml:space="preserve"> -------------------------------------------------- Follow Up #1: 05/22/2020 16:18. Matt.Rathke / SEA - LOG - Staffer Mike Ashbrook referred SPU to FAS vendor for fulfillment </t>
  </si>
  <si>
    <t xml:space="preserve">We were told that FAS created signs. Could we order 75 signs for each type please? See below...  &lt;Protective Face Covering Requirements and Exemptions.pdf&gt; &lt;How to Wear Protective Face Covering.pdf&gt; &lt;How to Dispose of a Protective Face Covering.pdf&gt; &lt;Mask sign 1--11x17.pdf&gt; &lt;Mask Sign 2--11x17.pdf&gt; </t>
  </si>
  <si>
    <t>STTL-e5syxy</t>
  </si>
  <si>
    <t>SPD needs cloth mask filter inserts</t>
  </si>
  <si>
    <t>POLICE - PAC [Cloth] 'Energy' Mask Filters</t>
  </si>
  <si>
    <t>15,000/each PM 2.5 filter inserts for PAC 'Energy' Mask (City provided cloth mask)</t>
  </si>
  <si>
    <t xml:space="preserve"> -------------------------------------------------- Follow Up #2: 05/22/2020 14:57. Matt.Rathke / SEA - LOG - Staffer Notified for pickup -  Masks, cloth - filters - 5,000 ea -------------------------------------------------- Follow Up #1: 05/22/2020 14:49. Matt.Rathke / SEA - LOG - Staffer Notified ready for pickup (5/20/20)  10,000 Mask, Cloth - filters ea </t>
  </si>
  <si>
    <t>STTL-asbijl</t>
  </si>
  <si>
    <t>SHA - surgical masks</t>
  </si>
  <si>
    <t>SHA - Surgical Masks</t>
  </si>
  <si>
    <t>Seattle Housing Authority needs 10,000 Surgical masks</t>
  </si>
  <si>
    <t xml:space="preserve"> -------------------------------------------------- Follow Up #1: 05/22/2020 14:54. Matt.Rathke / SEA - LOG - Staffer Notified ready for pickup (5/21/20)  Masks, surgical - 200 boxes (50 ea / box) = 10,000 </t>
  </si>
  <si>
    <t>Seattle Housing Authority needs 10,000 surgical masks</t>
  </si>
  <si>
    <t>STTL-le4ekq</t>
  </si>
  <si>
    <t>Seattle Animal Shelter - PPE</t>
  </si>
  <si>
    <t>Seattle Animal Shelter Supply Order</t>
  </si>
  <si>
    <t>Gloves needed:  Gloves	Nitrile	Small	20 Gloves	Nitrile	Med	10 Gloves	Nitrile	Lg	30 Gloves	Nitrile	XL boxes	10</t>
  </si>
  <si>
    <t xml:space="preserve"> -------------------------------------------------- Follow Up #1: 05/22/2020 11:11. Matt.Rathke / SEA - LOG - Staffer Notified for pickup  Gloves	Nitrile	Small	20 Gloves	Nitrile	Med	10 Gloves	Nitrile	Lg	30 Gloves	Nitrile	XL boxes	10  Purell stand is being taken care of by Facilities support. </t>
  </si>
  <si>
    <t>need to restock nitrile gloves, numbers # of indicate boxes needed</t>
  </si>
  <si>
    <t>STTL-o3uth7</t>
  </si>
  <si>
    <t>SPD - sprayer batteries</t>
  </si>
  <si>
    <t>POLICE - Battery Pack for Sprayers (Back-up)</t>
  </si>
  <si>
    <t xml:space="preserve">Requesting 6 [back-up] battery packs (1 each for sprayers previously requested- WebEOC tracking no. STTL-uyu9o7) </t>
  </si>
  <si>
    <t xml:space="preserve"> -------------------------------------------------- Follow Up #1: 05/21/2020 14:06. Matt.Rathke / SEA - LOG - Staffer Sprayers are already supplied with a spare battery.  Don't need three (3) per sprayer. </t>
  </si>
  <si>
    <t>Requesting 6 [back-up] battery packs (1 each for sprayers previously requested- WebEOC tracking no. STTL-uyu9o7)</t>
  </si>
  <si>
    <t>STTL-8v66nr</t>
  </si>
  <si>
    <t xml:space="preserve">Cloth Masks </t>
  </si>
  <si>
    <t>ITD requesting 760 masks</t>
  </si>
  <si>
    <t xml:space="preserve"> -------------------------------------------------- Follow Up #1: 05/21/2020 10:32. Matt.Rathke / SEA - LOG - Staffer Shiela cancelled this order - will be filled when remainder of ITD's disperssment happens </t>
  </si>
  <si>
    <t xml:space="preserve">I never received the first bulk order submitted to SDHR please provide 760 </t>
  </si>
  <si>
    <t>STTL-4tndi4</t>
  </si>
  <si>
    <t>SPD Weekly PPE Requests for May 8, 2020</t>
  </si>
  <si>
    <t>Submit attached SPD Weekly PPE Request to KC ECC ESF 13 Rep.</t>
  </si>
  <si>
    <t xml:space="preserve">-------------------------------------------------- Follow Up #2: 05/20/2020 13:29. Elenka.Jarolimek / SEA - LOG - FAS Reviewing King County consolidated Tier 2 weekly PPE order 5/8 - 5/15  (WA-20205913807)  The attached pick list shows small N95 masks and disposable surgical gowns - one size fits all is not in stock. -------------------------------------------------- Follow Up #1: 05/06/2020 10:38. Elenka.Jarolimek / SEA - LOG - FAS Order in Process  As of 5/4/20, SPD request added to 05/08/20 weekly ESF 13 order to state DOH. </t>
  </si>
  <si>
    <t>On behalf of Seattle Police Dept, submitting the attached weekly PPE request to include as part of the ESF 13 Law Enforcement Bulk Order.  The following items being requested include:  1,000 EA Gowns, One Size fits all 300 EA Masks (N95) - Small</t>
  </si>
  <si>
    <t>STTL-8eevbp</t>
  </si>
  <si>
    <t>SFD Weekly PPE Request for 05/15/20</t>
  </si>
  <si>
    <t>Submit SFD Weekly PPE request to King County ECC as part of the Fire/EMS bulk order for May 15, 2020</t>
  </si>
  <si>
    <t xml:space="preserve"> -------------------------------------------------- Follow Up #1: 05/20/2020 13:43. Elenka.Jarolimek / SEA - LOG - FAS Reviewed King County Consolidated Tier 1 Weekly 5/15 - 5/22 pick list Large and XL Disposable Gowns not in stock.  King County was allocated 57 packs Medium Disposable Gowns and 5 packs One size fits all disposable gowns, 2970 boxes Surgical Masks, 50 </t>
  </si>
  <si>
    <t xml:space="preserve">On behalf of the Seattle Fire Dept., please include the following items for the Fire/EMA Weekly for May 15, 2020.  5,400  EA  Gowns, Disposable, Large  5,400  EA  Gowns, Disposable, X-Large  </t>
  </si>
  <si>
    <t>STTL-ldat97</t>
  </si>
  <si>
    <t>On Going 30 day list</t>
  </si>
  <si>
    <t>Cleaning and other Supplies for DEEL Contracted Childcare Providers</t>
  </si>
  <si>
    <t xml:space="preserve">DEEL community center cleaning materials  Warehouse delivered 10 pallets of supplies to SMT Loading dock.  DEEL agreed to move supplies off loading dock by COB Friday, 3/27. </t>
  </si>
  <si>
    <t xml:space="preserve"> -------------------------------------------------- Follow Up #10: 05/20/2020 10:09. Matt.Rathke / SEA - LOG - Staffer Cancelling the remainder of items -  186 boxes of N95 Masks 70 cases of trash bags  80 Gallons of Purell 1 gallon size  Per Milissa Bookwalter email (5/20/2020) -------------------------------------------------- Follow Up #9: 05/04/2020 13:56. Matt.Rathke / SEA - LOG - Staffer Notified for pickup:  Infrared, non contact, thermometers - 90 ea -------------------------------------------------- Follow Up #8: 05/01/2020 15:30. Matt.Rathke / SEA - LOG - Staffer Notified for pickup:  50 non contact IR thermometers -------------------------------------------------- Follow Up #7: 04/30/2020 11:33. Matt.Rathke / SEA - LOG - Staffer Notified ready for pickup:  Masks, KN95, 14 boxes, 280 ea  Remaining: Clorox wipes, 590 ea Purell - 1 gallon, 80 ea Trash Bags, 70 ea -------------------------------------------------- Follow Up #6: 04/28/2020 11:37. Matt.Rathke / SEA - LOG - Staffer Notified ready for pickup  Masks, KN95, 80 boxes, 1,600 total -------------------------------------------------- Follow Up #5: 04/22/2020 14:19. Matt.Rathke / SEA - LOG - Staffer Notified ready for pickup Clorox/Cavi wipes, 380 ea  Remaining: Clorox wipes, 590 ea Masks N95, 210 Purell - 1 gallon, 10 ea -------------------------------------------------- Follow Up #4: 04/20/2020 12:36. Matt.Rathke / SEA - LOG - Staffer Notified to pickup Antiseptic Wipes, 150 each  Remaining: Clorox wipes, 970 ea Masks N95, 210 Purell - 1 gallon, 10 ea Trash bags, 70 cases -------------------------------------------------- Follow Up #3: 04/10/2020 11:27. Matt.Rathke / SEA - LOG - Staffer Notified for pickup: Clorox wipes, 70 each Masks N95, 70 boxes Hand Soap, 70 cases Purell - 1 gallon, 60 each  Remaining: Clorox wipes, 1120 ea Masks N95, 210 Purell - 1 gallon, 10 ea Trash bags, 70 cases -------------------------------------------------- Follow Up #2: 03/30/2020 14:01. Matt.Rathke / SEA - LOG - Staffer Filled: Facial Tissue		 70 cases Nitrile gloves (Small)	140 Boxes Nitrile gloves (Med)		140 Boxes Nitrile gloves (Large)	140 Boxes Nitrile gloves (X-Large)	140 Boxes Paper Towels		70 Cases		 Toilet Paper		70 Cases  Remaining: Misc. Clorox Wipes 6 / case	210 Cases Masks (N95)  350 Boxes Trash bags		70 Cases Purell 1 gallon size		140 Gallons  -------------------------------------------------- Follow Up #1: 03/26/2020 14:25. Elenka.Jarolimek / SEA - LOG - FAS DEEL received and  completed move of supplies off SMT loading dock. </t>
  </si>
  <si>
    <t xml:space="preserve">Cleaning, PPE and health screening supplies are needed by DEEL contracted childcare providers to stand up emergency childcare for health workers, first responders, and other essential staff. A full list of items has been emailed to Elenka Jarolimek. They are requesting a 30 day supply for 70 sites. DEEL should have the capacity to deliver supplies from FAS warehouse to individual sites. </t>
  </si>
  <si>
    <t>STTL-m3g4us</t>
  </si>
  <si>
    <t>HSD extension of WA National Guard</t>
  </si>
  <si>
    <t xml:space="preserve">Request for extension until June 24 of 45 current National Guard and 3 vehicles currently assigned to Seattle food banks and meal programs. Current assignments expire May 29. See attached.  The City of Seattle, in partnership with the Seattle Food Committee, a network of 28 Seattle-based food banks, and the Meals Partnership Coalition, a network of 70 Seattle-based meal programs, requests the extension. Programs are experiencing a volunteer shortage at the same time community need for food has dramatically increased. Extending until June 24 fills a critical need until programs receive AmeriCorps summer placements, COVID-19 testing improves so volunteers return, and City staff can be deployed to community-based programs.  The Guard placements fill staffing needs that have not been able to be met through comprehensive volunteer recruitment that includes individual program networks, United Way of King County volunteer portal, Craigslist, and Idealist volunteer placements.  City of Seattle Contact is Natalie Thomson (natalie.thomson@seattle.gov) or 206-409-9651.  </t>
  </si>
  <si>
    <t xml:space="preserve"> -------------------------------------------------- Follow Up #3: 05/19/2020 15:12. Elenka.Jarolimek / SEA - LOG - FAS COMPLETED.  This WebEOC WA-202051413752 was a blanket extension request applied to 10 Food Banks and 2 Meal Programs.  WA-20204713149 - Byrd Barr Place WA-20204810546  St. Vincent de Paul Georgetown WA-20204811474  White Center Food Bank WA-20204890835  Queen Anne Food Bank WA-2020489462  Salvation Army  Capitol Hill WA-2020488440  Ballard Food Bank WA-20204811813  West Seattle Food Bank WA-2020489846  Puget Sound Labor Agency WA-20204811578  U District Food Bank WA-20204810942  Solid Ground WA-20204191645  OSL WA-20204191645  Edible Hope Kitchen  This request WA-202051413752 was authorized by WNG Fragmentary Order (FRAGO) 47 published on 15MAY2020 which extended the mission for the above through 19JUN2020. WA-202051413752 is now completed. Tracking for these missions will continue under their original mission numbers as listed above. -------------------------------------------------- Follow Up #2: 05/15/2020 10:55. Elenka.Jarolimek / SEA - LOG - FAS ASSIGNED  WANG Received mission. -------------------------------------------------- Follow Up #1: 05/14/2020 13:34. Elenka.Jarolimek / SEA - LOG - FAS Request submitted to King County ECC for action.  Followed up with KC ECC via phone to let them know the request needs to be pushed up by 5/15/20. </t>
  </si>
  <si>
    <t>STTL-cajd8u</t>
  </si>
  <si>
    <t>Submit City Weekly PPE Request to KC ECC</t>
  </si>
  <si>
    <t>City Consolidated Weekly PPE Request for May 22, 2020</t>
  </si>
  <si>
    <t>Submit attached City consolidated weekly PPE request to KC ECC</t>
  </si>
  <si>
    <t xml:space="preserve"> -------------------------------------------------- Follow Up #2: 05/19/2020 12:16. Elenka.Jarolimek / SEA - LOG - FAS Received by KC ECC -------------------------------------------------- Follow Up #1: 05/19/2020 11:37. Elenka.Jarolimek / SEA - LOG - FAS Submitted weekly PPE request to KC ECC via email. </t>
  </si>
  <si>
    <t xml:space="preserve">see attached City of Seattle weekly PPE request for May 22.  The following items in the request include:  Clorox Wipes Tub or equivalent Sanitizing/Disinfectant Wipes Tub - 1,500 Face Shield - 200 Hand Sanitizer Bottles,12 oz  -1,200 Infrared Thermometers - 100 KN95 Masks - 400 Masks (N95) - Small - 300 N95 Masks - 2,000 Surgical Procedure Masks - 5,000 Disinfectant wipes (Gym Wipes) - 100 Gloves, Nitrile Small - 1,000 Gloves, Nitrile Med - 1,000 Gloves Nitrile Large - 2, 000 Gloves, Nitrile XL - 1,000 Eye Protection glasses - 300  </t>
  </si>
  <si>
    <t xml:space="preserve">Seattle Center PPE supplies </t>
  </si>
  <si>
    <t xml:space="preserve">Need to purchase:  3 - Backpack sprayers, Solo, 4gl or equivalent (Grainger Item # 3JEJ4)  https://www.grainger.com/product/3JEJ4?cm_mmc=PPC:+MSN+PLA&amp;s_kwcid=AL!2966!10!8973609494!1102900015712&amp;ef_id=XoI9DAAAAIw_oQgw:20200504184507:s  Used by frontline staff working with the public. </t>
  </si>
  <si>
    <t xml:space="preserve"> -------------------------------------------------- Follow Up #2: 05/19/2020 11:59. Matt.Rathke / SEA - LOG - Staffer Delivered. -------------------------------------------------- Follow Up #1: 05/11/2020 16:29. Pam.Tokunaga / SEA - LOG - Supplies and Equipment Order placed with Stellar on 5/8/2020 for Milwaukee sprayer. ETA is 5/20/2020. </t>
  </si>
  <si>
    <t>STTL-eicfef</t>
  </si>
  <si>
    <t>ARTS disinfectant sprayer</t>
  </si>
  <si>
    <t>Disinfectant Sprayer</t>
  </si>
  <si>
    <t xml:space="preserve">ARTS would like to request a sprayer  The machine would not only save time but cut down on the expense of keeping clorox wipes to sanitize because of the COVID-19 virus. </t>
  </si>
  <si>
    <t xml:space="preserve">-------------------------------------------------- Follow Up #1: 05/19/2020 10:42. Matt.Rathke / SEA - LOG - Staffer Notified ready for pickup  One (1) Milwaukee 2820 sprayer One (1) Milwaukee XC50 battery </t>
  </si>
  <si>
    <t>ARTS would like to request a sprayer to disinfect work stations and common area surfaces in their office. Arts has a public gallery and hand wiping all of the surfaces that the public comes in contact with would take too much time daily. The machine would not only save time but cut down on the expense of keeping clorox wipes to sanitize because of the COVID-19 virus.</t>
  </si>
  <si>
    <t>STTL-qlmz3w</t>
  </si>
  <si>
    <t>SCL requesting KN95 masks</t>
  </si>
  <si>
    <t>20 boxes (50 ea) of KN95 masks</t>
  </si>
  <si>
    <t xml:space="preserve">-------------------------------------------------- Follow Up #1: 05/19/2020 10:30. Matt.Rathke / SEA - LOG - Staffer Notified ready for pickup  Masks, KN95, 20 boxes (50 per box) 1000 ea </t>
  </si>
  <si>
    <t>Requesting KN95 Masks for employees working in capacity for proper PPE. 20 boxes (50 in each box)</t>
  </si>
  <si>
    <t>STTL-ysqmm7</t>
  </si>
  <si>
    <t>SPD Weekly PPE Request for May 22, 2020</t>
  </si>
  <si>
    <t xml:space="preserve">Submit SPD Weekly PPE Request to KC ECC via ESF 13 Coordinator, and included attached order. </t>
  </si>
  <si>
    <t xml:space="preserve">-------------------------------------------------- Follow Up #2: 05/18/2020 15:10. Elenka.Jarolimek / SEA - LOG - FAS Received by the ESF 13 Coordinator at King County ECC. -------------------------------------------------- Follow Up #1: 05/18/2020 15:09. Elenka.Jarolimek / SEA - LOG - FAS Submitted via email to the ESF 13 Coordinator at King County ECC. </t>
  </si>
  <si>
    <t xml:space="preserve">On behalf of Seattle Police Dept, please see attached weekly PPE request for May 22, 2020 to be included as part of the ESF 13 Law Enforcement Bulk Order.  The following items being requested include: 	1,000 EA Gowns, One Size fits all 	300 EA Masks (N95) - Small </t>
  </si>
  <si>
    <t>STTL-tx7hax</t>
  </si>
  <si>
    <t>SFD Weekly PPE Request for May 22, 2020</t>
  </si>
  <si>
    <t>Submit attached SFD Weekly PPE request for May 22, 2020 to KC ECC to be consolidated as part of Fire/EMS bulk order.</t>
  </si>
  <si>
    <t xml:space="preserve"> -------------------------------------------------- Follow Up #1: 05/18/2020 15:19. Elenka.Jarolimek / SEA - LOG - FAS Submitted Weekly PPE request to King County ECC. </t>
  </si>
  <si>
    <t xml:space="preserve"> On behalf of the Seattle Fire Dept., please include the following items for the Fire/EMA Weekly for May 22, 2020. 	5, 000 EA Surgical Procedure Masks 	500 EA Clorox Wipes Tub or equivalent </t>
  </si>
  <si>
    <t>STTL-3fxdqx</t>
  </si>
  <si>
    <t>FAS DOC</t>
  </si>
  <si>
    <t>Hand Sanitizer  order</t>
  </si>
  <si>
    <t>Hand Sanitizer</t>
  </si>
  <si>
    <t>Phillip is working on total numbers of products to order off of the 14 items list, he will action this item when it is filled</t>
  </si>
  <si>
    <t xml:space="preserve"> -------------------------------------------------- Follow Up #3: 05/18/2020 10:08. Pam.Tokunaga / SEA - LOG - Supplies and Equipment Order placed with Excel Supply on 5/13/2020, estimated delivery is 3 weeks. -------------------------------------------------- Follow Up #2: 05/11/2020 16:48. Pam.Tokunaga / SEA - LOG - Supplies and Equipment Assigned to David M - RFQ due 5/12/2020, 4:00 PM  Sent RFQ for stand, dispenser, mask holder and industrial type dispenser.  -------------------------------------------------- Follow Up #1: 05/05/2020 14:48. Matt.Rathke / SEA - LOG - Staffer Increase the amount of stands and sanitizer to 200 units. </t>
  </si>
  <si>
    <t xml:space="preserve">To reduce spread of virus increase availability of hand sanitizer stations with in FAS buildings request the following items ordered:  50 Total - Purell TFX Dispenser,  SKU #2720  (These are compatible with our current Purell TFX 1200mL refills)  50 Total of the following in any combination to be used with the Dispensers above. 50 - Purell TFX Dispenser Floor Stand, SKU #2424-DS  Or if unavailable in quantity needed will take:  25 -  Purell TFX Dispenser Floor Stand, SKU #2424-DS  25 -	Purell TFX Table Top Dispenser Stand,  SKU #2426-DS </t>
  </si>
  <si>
    <t>STTL-e87nv9</t>
  </si>
  <si>
    <t>Lysol Spray cans</t>
  </si>
  <si>
    <t>Lysol Spray 1,020</t>
  </si>
  <si>
    <t>Original Mis-assignment to warehouse, not part of the PPE list, sending to Supplies and Equipment</t>
  </si>
  <si>
    <t xml:space="preserve"> -------------------------------------------------- Follow Up #3: 05/15/2020 17:00. Pam.Tokunaga / SEA - LOG - Supplies and Equipment Per email from Walter Vining on 5/15/2020, he confirmed that we could cancel this request.  -------------------------------------------------- Follow Up #2: 05/11/2020 15:54. Pam.Tokunaga / SEA - LOG - Supplies and Equipment We still have not been able to find this item. Before we send out another request for quote, we wanted to confirm SPU still needed it.  Claudette is going to check with Ann Andres to see if they still need this many. Also to confirm whether or not they will accept an equal.  -------------------------------------------------- Follow Up #1: 04/09/2020 06:59. Presley.Palmer / SEA - LOG - Supplies and Equipment We have been working to get this but have had zero luck. Will continue </t>
  </si>
  <si>
    <t xml:space="preserve">Need Lysol Disinfectant Spray, 490-012-110, 19 oz cans 12/case 1,020 units=85 cases. We'll pick up when it's ready. </t>
  </si>
  <si>
    <t>STTL-las5w8</t>
  </si>
  <si>
    <t>Seattle Center disinfectant</t>
  </si>
  <si>
    <t>Weekly supply request - May 13</t>
  </si>
  <si>
    <t>(1)	case of 3M QUAT Disinfectant (4x One Gallon jugs)  For Seattle Center</t>
  </si>
  <si>
    <t xml:space="preserve"> -------------------------------------------------- Follow Up #1: 05/15/2020 16:57. Pam.Tokunaga / SEA - LOG - Supplies and Equipment Per email from Nate Brend to David McLean, this request is canceled. Another section of their maintenance crew had plenty for everyone.  </t>
  </si>
  <si>
    <t>(1) case of 3M QUAT Disinfectant (4x One Gallon jugs)</t>
  </si>
  <si>
    <t xml:space="preserve"> -------------------------------------------------- Follow Up #1: 05/15/2020 16:56. Pam.Tokunaga / SEA - LOG - Supplies and Equipment Per email from Nate Brend to David McLean, this request is canceled. Another section of their maintenance crew had plenty for everyone.  </t>
  </si>
  <si>
    <t>STTL-9p8lyi</t>
  </si>
  <si>
    <t>Seattle Weekly PPE Request for 4/17/20</t>
  </si>
  <si>
    <t>City of Seattle Weekly PPE Request for 4/17/20</t>
  </si>
  <si>
    <t>Submit City weekly ppe request for 4/17/20 up to King  County ECC.</t>
  </si>
  <si>
    <t xml:space="preserve">-------------------------------------------------- Follow Up #1: 04/30/2020 15:52. Elenka.Jarolimek / SEA - LOG - FAS Assigned. No further information provided. </t>
  </si>
  <si>
    <t xml:space="preserve">Submit the following critical PPE items to King County 3000 EA Alcohol Wipes 6000 EA Procedure Mask (Yellow)] 5400 EA Gowns, disposable, X-Large 5400 EA Gowns, disposable, Large 75  EA Thermometers (non-contact infrared) 300  EA Masks (N95) - Small 75  EA N-95 Respirators (L) 75  EA N-95 Respirators (M) 75  EA N-95 Respirators (S) 120  EA N95 Masks - Contour 1500 EA SaniHand Wipes 15  EA Sharps Containers 30  EA Faceshields 1500 EA Sanitizing/Disinfectant Wipes 2000 EA Lysol Disinfecting Spray </t>
  </si>
  <si>
    <t>STTL-ub7x7x</t>
  </si>
  <si>
    <t>OIRA - Office of Immigrant and Refugee Affairs</t>
  </si>
  <si>
    <t>Cloth masks for OIRA</t>
  </si>
  <si>
    <t>Cloth Face masks for employees</t>
  </si>
  <si>
    <t>40 cloth masks</t>
  </si>
  <si>
    <t xml:space="preserve">-------------------------------------------------- Follow Up #2: 05/15/2020 15:18. Matt.Rathke / SEA - LOG - Staffer Notified ready for pickup  39 cloth masks -------------------------------------------------- Follow Up #1: 05/15/2020 13:44. Matt.Rathke / SEA - LOG - Staffer Update number - 39 masks </t>
  </si>
  <si>
    <t>Office of Immigrant and Refugee Affairs needs 40 cloth face masks</t>
  </si>
  <si>
    <t>STTL-1hpn2b</t>
  </si>
  <si>
    <t>SPU - 100 cases of hand soap</t>
  </si>
  <si>
    <t>SPU would like 100 cases of hand soap</t>
  </si>
  <si>
    <t xml:space="preserve"> -------------------------------------------------- Follow Up #1: 05/15/2020 15:16. Matt.Rathke / SEA - LOG - Staffer Notified for pickup  100 boxes of hand soap </t>
  </si>
  <si>
    <t>100 cases of hand soap</t>
  </si>
  <si>
    <t>STTL-m03yfy</t>
  </si>
  <si>
    <t>FAS janitorial</t>
  </si>
  <si>
    <t>Cloth mask filter inserts</t>
  </si>
  <si>
    <t xml:space="preserve">FAS janitorial cloth mask filter inserts </t>
  </si>
  <si>
    <t>FAS janitorial needs 40 cloth mask filter inserts.</t>
  </si>
  <si>
    <t>Cloth mask filter inserts - 40 ea</t>
  </si>
  <si>
    <t>STTL-mo86b0</t>
  </si>
  <si>
    <t>FAS CPD PPE</t>
  </si>
  <si>
    <t>FAS CPD inspectors PPE needs</t>
  </si>
  <si>
    <t xml:space="preserve">	Clorox Wipes  12 Tubes 	Facial Tissue  1 Case 	KN95 Masks  6 Boxes 	Gloves, Small  10 Boxes 	Gloves, Med  10 Boxes 	Gloves, Large  20 Boxes 	Gloves, X-Large  20 Boxes 	Tyvek Suites/Hood, X-Large  25 each 	Tyvek Suites/Hood, 2X-Large  25 each 	Tyvek Suites/without Hood, X-Large  25 each 	Tyvek Suites/without Hood, 2X-Large  25 each </t>
  </si>
  <si>
    <t xml:space="preserve"> -------------------------------------------------- Follow Up #1: 05/14/2020 13:08. Matt.Rathke / SEA - LOG - Staffer Notified user order was ready  Complete </t>
  </si>
  <si>
    <t xml:space="preserve">  	Clorox Wipes  12 Tubes 	Facial Tissue  1 Case 	KN95 Masks  6 Boxes 	Gloves, Small  10 Boxes 	Gloves, Med  10 Boxes 	Gloves, Large  20 Boxes 	Gloves, X-Large  20 Boxes 	Tyvek Suites/Hood, X-Large  25 each 	Tyvek Suites/Hood, 2X-Large  25 each 	Tyvek Suites/without Hood, X-Large  25 each 	Tyvek Suites/without Hood, 2X-Large  25 each </t>
  </si>
  <si>
    <t>STTL-93gyx6</t>
  </si>
  <si>
    <t>FAS facilities operations</t>
  </si>
  <si>
    <t>FAS facilities disinfectant sprayer</t>
  </si>
  <si>
    <t>FAS Facility Operations - disinfectant sprayer</t>
  </si>
  <si>
    <t xml:space="preserve">1 disinfectant sprayer,  1 extra battery  120 boxes of surgical masks. </t>
  </si>
  <si>
    <t xml:space="preserve"> -------------------------------------------------- Follow Up #1: 05/14/2020 12:38. Matt.Rathke / SEA - LOG - Staffer Picked up by FAS  1-sprayer, extra battery 120 surgical masks </t>
  </si>
  <si>
    <t>1 disinfectant sprayer,  1 extra battery 120 boxes of surgical masks.</t>
  </si>
  <si>
    <t>STTL-u8254a</t>
  </si>
  <si>
    <t>Seattle Police N95 masks - small</t>
  </si>
  <si>
    <t>POLICE-N95 Respirators SMALL</t>
  </si>
  <si>
    <t xml:space="preserve"> Honeywell N95 Molded Cup, Small; SAF-T-FIT Plus Verify product number - want product with nose seal, similar to 3M respirator currently fit tested  Requesting 5,000 ea (250 bx or 25 cs)  Assigned to Distribution Management Branch  contact Purchasing to get these on order. </t>
  </si>
  <si>
    <t>Public Safety N95 Respirators size SMALL  Honeywell N95  Molded Cup, Small; SAF-T-FIT Plus Verify product number - want product with nose seal, similar to 3M respirator currently fit tested  Requesting 5,000 ea (250 bx or 25 cs) Honeywell SAF-T-FIT Plus N95 Molded Cup SMALL  (Verified Product No. N1115-14110390)</t>
  </si>
  <si>
    <t>STTL-glj0bp</t>
  </si>
  <si>
    <t>SFD Weekly PPE Request for 4/17/20</t>
  </si>
  <si>
    <t>Seattle Fire Weekly PPE Request for 4/17/20</t>
  </si>
  <si>
    <t>Order in Process. Request pushed up to the State.</t>
  </si>
  <si>
    <t xml:space="preserve"> -------------------------------------------------- Follow Up #1: 05/13/2020 13:35. Elenka.Jarolimek / SEA - LOG - FAS Received update from KC ECC PPE items requested with this order were included in Fire/EMS weekly PPE orders. </t>
  </si>
  <si>
    <t>On behalf of Seattle Fire submitting the following critical PPE items: 3600 EA disposable Gowns, X-Large</t>
  </si>
  <si>
    <t>STTL-44uxv7</t>
  </si>
  <si>
    <t>SDOT 55 gallon drum of hand sanitizer</t>
  </si>
  <si>
    <t>Hand Sanitizer Request</t>
  </si>
  <si>
    <t>SDOT would like one (1) 55 gallon drum of liquid hand sanitizer to be delivered to SDOT headquarters at 1010 S. Charles Street</t>
  </si>
  <si>
    <t xml:space="preserve"> -------------------------------------------------- Follow Up #1: 05/12/2020 15:57. Matt.Rathke / SEA - LOG - Staffer Notified 1 drum ready for pickup  Complete </t>
  </si>
  <si>
    <t>1  55 gallon drum liquid hand sanitizer</t>
  </si>
  <si>
    <t>STTL-xj68po</t>
  </si>
  <si>
    <t xml:space="preserve">Police - Surgical Gowns </t>
  </si>
  <si>
    <t>Police - Surgical Gowns</t>
  </si>
  <si>
    <t>Purchase gowns</t>
  </si>
  <si>
    <t xml:space="preserve"> -------------------------------------------------- Follow Up #4: 05/12/2020 15:55. Matt.Rathke / SEA - LOG - Staffer Notified for pickup  1,940 protective gowns from donated stock. -------------------------------------------------- Follow Up #3: 05/12/2020 15:52. Matt.Rathke / SEA - LOG - Staffer This request has been changed from 10,000 gowns to 2,000 -------------------------------------------------- Follow Up #2: 05/12/2020 12:14. Pam.Tokunaga / SEA - LOG - Supplies and Equipment Sent email to confirm SPD still wanted 10,000 surgical gowns. Per response from Deb Windsor, request has been reduced to 2000 surgical gowns. This should cover them for 6 - 7 months. -------------------------------------------------- Follow Up #1: 03/23/2020 16:23. Matt.Rathke / SEA - LOG - Staffer Assigned incorrectly - Now routed to FAS warehouse - Mike Wong </t>
  </si>
  <si>
    <t xml:space="preserve">Part number MCPE-50	Infectious Impervious Gowns (Any Brand)	unit of measurement Each	and we need 10,000 Gowns </t>
  </si>
  <si>
    <t>STTL-80o8wl</t>
  </si>
  <si>
    <t>Submit SPD Weekly Request to KC ECC</t>
  </si>
  <si>
    <t>SPD Weekly PPE Request for May 15, 2020</t>
  </si>
  <si>
    <t>Submit attached SPD Weekly PPE Request to King County ECC.</t>
  </si>
  <si>
    <t xml:space="preserve"> -------------------------------------------------- Follow Up #1: 05/12/2020 15:32. Elenka.Jarolimek / SEA - LOG - FAS Request added to 05/15/20 ESF 13 Law Enforcement weekly order to state DOH. </t>
  </si>
  <si>
    <t xml:space="preserve">On behalf of Seattle Police Dept,  see attached weekly PPE request to include as part of the ESF 13 Law Enforcement Bulk Order.  The following items being requested include: 	1,000 EA Gowns, One Size fits all 	300 EA Masks (N95) - Small </t>
  </si>
  <si>
    <t>STTL-3qx5be</t>
  </si>
  <si>
    <t>City Weekly PPE Request for May 15, 2020</t>
  </si>
  <si>
    <t xml:space="preserve">Submit attached City Weekly PPE Requet to King ECC via email to  RCECC Logistic &lt;rcecc.logs@kingcounty.gov&gt; </t>
  </si>
  <si>
    <t>City's Consolidated Weekly PPE Request for May 15, 2020 to include:  1,500 EA Clorox Wipes Tub 200  EA Face Shield 1,200 EA Hand Sanitizer Bottles, 12 oz 100  EA Infrared Thermometers 400  EA KN95 Masks 300  EA Masks (N95) - Small 2000 EA  N95 Masks 5,000 EA Surgical Procedure Masks 100  EA  Disinfectant Wipes (Gym Wipes) 1,000 EA Gloves, Nitrile Small 1,000 EA Gloves, Nitrile Medium 2,000 EA Gloves, Nitrile Large 1,000 EA Gloves, Nitrile XL 1,000 EA Hand Soap - 1 Gallon</t>
  </si>
  <si>
    <t>STTL-jecyzr</t>
  </si>
  <si>
    <t>Submit Weekly PPE Request for 5/1/20</t>
  </si>
  <si>
    <t>City Weekly PPE Request for 5/1/20</t>
  </si>
  <si>
    <t>Submit weekly PPE request to King County ECC.</t>
  </si>
  <si>
    <t xml:space="preserve"> -------------------------------------------------- Follow Up #2: 05/12/2020 12:23. Elenka.Jarolimek / SEA - LOG - FAS King County unable to fulfill 5/1 Weekly PPE request at this time.  They are currently working to fill orders sumbitted for the week ending May 8th. -------------------------------------------------- Follow Up #1: 04/28/2020 13:42. Elenka.Jarolimek / SEA - LOG - FAS Weekly PPE request submitted to King County ECC. </t>
  </si>
  <si>
    <t>Submit following critical items as part of weekly PPE request for 5/1/20: 1,500 EA Clorox Wipes Tub 30 EA Face Shield 5,400 EA Gowns, Disposable, Large 5,400 EA Gowns, Disposable, X-Large 1,000 EA Gowns, One size fits all 1,000 EA Hand sanitizer bottles, 12 oz 100 EA Infrared Thermometers 400 EA KN95 300 EA Masks (N95) - small 120 EA N95 Masks - Contour 5,000 EA Surgical Procedure Masks</t>
  </si>
  <si>
    <t>STTL-uc9dqf</t>
  </si>
  <si>
    <t>PPE for SPD and SFD</t>
  </si>
  <si>
    <t xml:space="preserve">PPE for SFD and SPD  </t>
  </si>
  <si>
    <t>In response to the SEOC email sent 4/16/20, submitting request for the following PPE items available in large quantities at the State Warehouse.  Forward request up to King County.</t>
  </si>
  <si>
    <t xml:space="preserve"> -------------------------------------------------- Follow Up #2: 05/11/2020 16:47. Elenka.Jarolimek / SEA - LOG - FAS King County unable to fulfill your request (WA-202041611507) for the week ending in April 24th at this time. Currently working to fill orders submitted for the week ending May 1st. -------------------------------------------------- Follow Up #1: 04/30/2020 16:22. Elenka.Jarolimek / SEA - LOG - FAS Order in Process. added to 4/24/20 weekly order to state DOH </t>
  </si>
  <si>
    <t xml:space="preserve">In response to the SEOC emailsent 4/16/20, submitting request for the following PPE items available in large quantities at the State Warehouse:  6,000 EA Procedure Masks (Yellow)  Preferred Models of N95: 3M 8511, 8010 or 8211 6,000 EA N95 Respirators (Small) 6,000 EA N95 Respirators (Medium) 6,000 EA N95 Respirators (Large) </t>
  </si>
  <si>
    <t>STTL-qglzty</t>
  </si>
  <si>
    <t>Cloth masks for city employees</t>
  </si>
  <si>
    <t>Cloth masks for Seattle employees</t>
  </si>
  <si>
    <t>Broken into 4 shipments</t>
  </si>
  <si>
    <t xml:space="preserve"> -------------------------------------------------- Follow Up #1: 05/11/2020 16:37. Pam.Tokunaga / SEA - LOG - Supplies and Equipment received all  -------------------------------------------------- Duplicate, cancelled original request STTL-tw297z  See original request for PO</t>
  </si>
  <si>
    <t>SDHR directed Logistics to procure cloth masks for employees, masks to meet CDC guidelines.</t>
  </si>
  <si>
    <t>STTL-30zf86</t>
  </si>
  <si>
    <t>ITD operations request</t>
  </si>
  <si>
    <t>Multiple item order</t>
  </si>
  <si>
    <t>These items will have to be purchased:  Home Depot : Item No: 310650027 Botanical Disinfectant Solution 1 Quart bottle 30  Home Depot :Item No: 310650028 Botanical Disinfectant Solution 1 Gallon Gallon Jug 10  Mask Dispensers each 11</t>
  </si>
  <si>
    <t xml:space="preserve"> -------------------------------------------------- Follow Up #1: 05/11/2020 16:26. Pam.Tokunaga / SEA - LOG - Supplies and Equipment Order placed with Home Depot on 5/8/2020. ETA is 6/9/2020 </t>
  </si>
  <si>
    <t xml:space="preserve">Disinfectant Wipes	tube	40 Masks (N95)	each	100 Masks (Surgical)	each	200 Nitrile Gloves(large) (Public Safety)	pair	1,000 Hand Sanitizer (12oz bottle or equiv)	bottle	40 Home Depot : Item No: 310650027 Botanical Disinfectant Solution 1 Quart	bottle	30 Home Depot :Item No: 310650028 Botanical Disinfectant Solution 1 Gallon	Gallon Jug	10 Mask Dispensers	each	11  </t>
  </si>
  <si>
    <t>STTL-uxd9k4</t>
  </si>
  <si>
    <t>Infrared facial temperature scanning camera</t>
  </si>
  <si>
    <t>Infrared non contact facial scanning thermometer camera</t>
  </si>
  <si>
    <t>Four (4) infrared temperature scanning camera forehead scanning for health screening at city building entrances.</t>
  </si>
  <si>
    <t xml:space="preserve"> -------------------------------------------------- Follow Up #1: 05/11/2020 16:13. Pam.Tokunaga / SEA - LOG - Supplies and Equipment Order placed with Platt on 5/6/2020. ETA is 5/4/2020 </t>
  </si>
  <si>
    <t>Four (4) infrared non contact facial scanning temperature cameras for health screening entrances to city buildings.  FAS facility operations shall be operating the devices</t>
  </si>
  <si>
    <t>STTL-jqk4ly</t>
  </si>
  <si>
    <t>Submit City Weekly PPE by 4/22/20</t>
  </si>
  <si>
    <t>City of Seattle Weekly PPE Request for 04/24/20</t>
  </si>
  <si>
    <t>Submit City Weekly PPE request by Noon 4/22/20</t>
  </si>
  <si>
    <t xml:space="preserve">-------------------------------------------------- Follow Up #3: 05/06/2020 10:32. Elenka.Jarolimek / SEA - LOG - FAS Order filled for week ending, 4/24/20. Recipient informed of delivery sent out, 5/4/20.  Order contains:  -face mask, x&amp;y type 1 - 50 per box (100)  Need to follow up with FAS Centralized Warehouse on type of face masks -------------------------------------------------- Follow Up #2: 04/30/2020 16:33. Elenka.Jarolimek / SEA - LOG - FAS As of 4/29/20:  Public Health Seattle King County will fulfill up to 70% of the requested items except for surgical gowns, which are in short supply. -------------------------------------------------- Follow Up #1: 04/30/2020 16:31. Elenka.Jarolimek / SEA - LOG - FAS Order in Process.  added to 4/24/20 weekly order to state DOH  </t>
  </si>
  <si>
    <t>Submit weekly PPE request to King County ECC for following critical items: 1,500 EA Clorox Wipes Tub 30 EA Face Shields 5,400 EA Gowns, Disposable, Large 5,400 EA gowns, Disposable, X-Large 1,000 EA Gowns, One size fits all 1,000 EA Hand sanitizer bottles-12 oz 100 EA Infrared Themometers 400 EA KN95 Masks 300 EA Masks (N95) - Small 120 EA N95 - Contour 5,000 EA Surgical Procedure Masks</t>
  </si>
  <si>
    <t>STTL-ow7i5x</t>
  </si>
  <si>
    <t>Seattle Weekly PPE Request for May 8, 2020</t>
  </si>
  <si>
    <t>Submit Weekly PPE Request to KC ECC (see attached spreadsheet)</t>
  </si>
  <si>
    <t xml:space="preserve">-------------------------------------------------- Follow Up #2: 05/08/2020 13:28. Elenka.Jarolimek / SEA - LOG - FAS Update from KC ECC that request will be fulfilled as long as intended for City of Seattle employees, not including SFD and SPD, Their orders are part of Tier 1-Fire/EMS and Tier 2- KC ESF 13 Law Enforcement Bulk Orders to State. -------------------------------------------------- Follow Up #1: 05/06/2020 10:40. Elenka.Jarolimek / SEA - LOG - FAS Order in Process  As of 5/5/20, City request added to 05/08/20 weekly King County order to state DOH. </t>
  </si>
  <si>
    <t xml:space="preserve">Submit the City's Consolidated Weekly PPE Request for the following items:  1,500  EA  Clorox Wipes Tub 200  EA  Face Shields 5,400 EA  Gowns, Disposable, Large 5,400  EA  Gowns, Disposable, X-Large 1,000 EA  Gowns, One size fits all 1,200 EA  Hand sanitizer bottles - 12oz  100  EA  Infrared Thermometers 400  EA  KN95 Masks 300  EA  Masks (N95)  Small 2,000 EA  N95 Masks 5,000 EA  Surgical Procedure Masks 100  EA  Disinfectant Wipes (Gym Wipes) 1,000 EA  Gloves, Nitrile Small 1,000 EA  Gloves, Nitrile Med 1,000 EA Gloves, Nitrile Large 1,000 EA  Gloves, Nitrile X-Large 1,000 EA  Hand Soap,  1 Gallon 300  EA  Eye Protection Glasses  </t>
  </si>
  <si>
    <t>STTL-wnfdjn</t>
  </si>
  <si>
    <t xml:space="preserve">70 Respiratory Therapy Staff </t>
  </si>
  <si>
    <t>Respiratory Therapist staff</t>
  </si>
  <si>
    <t>UW Medical system needing medical staff, local resources exhausted</t>
  </si>
  <si>
    <t xml:space="preserve">-------------------------------------------------- Follow Up #2: 05/08/2020 13:09. Elenka.Jarolimek / SEA - LOG - FAS Order cancelled by on-site POC, Danica Little -------------------------------------------------- Follow Up #1: 04/30/2020 15:21. Elenka.Jarolimek / SEA - LOG - FAS As of April 16 assigned to King County ECC Logistics Deploy and Planning Branch ESF 8-Health and Medical Servic </t>
  </si>
  <si>
    <t>70 Respiratory Therapist staff Across 4 hospitals UWMC Montlake Harborview UWMC Northwest and Valley Medical</t>
  </si>
  <si>
    <t>STTL-f6x8al</t>
  </si>
  <si>
    <t>PPE items for HSD</t>
  </si>
  <si>
    <t>Supplies to Support Human Service Agencies COVID-19 PH Guidelines</t>
  </si>
  <si>
    <t>Clarification of resource request between Supplies and Equipment, and Distribution Management Branch Clorox Disinfecting Wipes	100 cases / 6 canisters/case Liquid Soap	100 Cases /6 bottles per case Disposable Gloves	1,000 boxes / 100 per box  50 boxes S, 450 boxes M, 450 boxes L, 50 boxes XL  Large Hand Sanitizer	500 cases/  2000 bottles total Paper towels	50 Cases  -30 rolls per case Procedure Masks w/ ear loops	20,000 masks  Order from Keeney's involved per email from Pam to Mike and (David Mclean)</t>
  </si>
  <si>
    <t xml:space="preserve">-------------------------------------------------- Follow Up #1: 05/08/2020 12:25. Matt.Rathke / SEA - LOG - Staffer Notification to pickup:  Clorox Disinfecting Wipes	100 cases / 6 canisters/case - 720 ea Liquid Soap	100 Cases /6 bottles per case - 88 cases Nitrile Gloves	- 210 boxes, Small Nitrile Gloves - 350 boxes, Med Nitrile Gloves - 350 boxes, Large Nitrile Gloves - 350 boxes, X-Large Paper towels	50 Cases  -30 rolls per case Large Hand Sanitizer	700 bottles total  </t>
  </si>
  <si>
    <t xml:space="preserve">Order the following Supplies to support human service agencies adherence to COVID-19 Public Health Guidelines. There is some flexibility in quantity and packaging.Asking EOC Logistics to help identify where product will be delivered and stored. Approximately half the product will be distributed to agencies asap with agencies coming to site to pick up (HSD will have a lead on site to coordinate distribution). The remainder of the product would be distributed within weeks. Product is needed asap, but some flexibility. Human Services Department is the lead on this order. See itemized email sent to Chris Wiley.  </t>
  </si>
  <si>
    <t>STTL-ssyncg</t>
  </si>
  <si>
    <t>Hand Soap, 1,000 units</t>
  </si>
  <si>
    <t>SPU would like 1,000 units of antibacterial hand soap</t>
  </si>
  <si>
    <t xml:space="preserve"> -------------------------------------------------- Follow Up #1: 05/08/2020 12:07. Matt.Rathke / SEA - LOG - Staffer Notified to be picked up  Hand Soap, 84 boxes </t>
  </si>
  <si>
    <t>We would like to order 1,000 units of hand soap.</t>
  </si>
  <si>
    <t>STTL-kekqxo</t>
  </si>
  <si>
    <t>No touch temporal thermometers</t>
  </si>
  <si>
    <t>Infrared Thermometer</t>
  </si>
  <si>
    <t>110 no touch temporal thermometers</t>
  </si>
  <si>
    <t xml:space="preserve"> -------------------------------------------------- Follow Up #3: 05/08/2020 10:47. Matt.Rathke / SEA - LOG - Staffer Notified for pickup 110 non contact IR thermometers -------------------------------------------------- Follow Up #2: 05/05/2020 15:01. Matt.Rathke / SEA - LOG - Staffer Notified for pickup:  29 IR non contact thermometers  Remaining:  81 IR non contact thermometers -------------------------------------------------- Follow Up #1: 04/27/2020 12:02. Pam.Tokunaga / SEA - LOG - Supplies and Equipment Placed multiple orders for no touch thermometers. should arrive in 2 weeks.  </t>
  </si>
  <si>
    <t>SFD would like 110 infrared thermometers.</t>
  </si>
  <si>
    <t>STTL-9l7pa2</t>
  </si>
  <si>
    <t>FAS directors office</t>
  </si>
  <si>
    <t>Surgical masks for FAS directors office</t>
  </si>
  <si>
    <t>Surgical masks - FAS</t>
  </si>
  <si>
    <t>50 surgical masks, SMT 5200</t>
  </si>
  <si>
    <t>FAS directors office needs 50 surgical masks</t>
  </si>
  <si>
    <t>STTL-h8f49j</t>
  </si>
  <si>
    <t>SFD gloves</t>
  </si>
  <si>
    <t>20 cases of Medium (Blue) Nitrile Gloves  40 cases of Large Nitrile Gloves - blue</t>
  </si>
  <si>
    <t xml:space="preserve"> -------------------------------------------------- Follow Up #1: 05/07/2020 15:05. Matt.Rathke / SEA - LOG - Staffer Notified for pickup:  Nitrile gloves, Med, blue - 20 cases Nitrile gloves, Lrg, blue - 40 cases </t>
  </si>
  <si>
    <t xml:space="preserve">20 cases of Medium (Blue) Nitrile Gloves 40 cases of Large Nitrile Gloves  Public Safety </t>
  </si>
  <si>
    <t>STTL-9ukn99</t>
  </si>
  <si>
    <t>SDOT critcal supply list</t>
  </si>
  <si>
    <t>SDOT Critical Supply Request</t>
  </si>
  <si>
    <t xml:space="preserve"> 100 Bottles &amp; Caps, 16 oz Empty   540 bottles Hand Soap   540 rolls Paper Towels </t>
  </si>
  <si>
    <t xml:space="preserve"> -------------------------------------------------- Follow Up #1: 05/07/2020 15:03. Matt.Rathke / SEA - LOG - Staffer Notified for pickup:   540 bottles Hand Soap - 45 boxes  540 rolls Paper Towels - 54 cases  100 Bottles &amp; Caps, 16 oz Empty - 100 ea. </t>
  </si>
  <si>
    <t xml:space="preserve">	100 Bottles &amp; Caps, 16 oz Empty 	540 bottles Hand Soap 	540 rolls Paper Towels </t>
  </si>
  <si>
    <t>Parks department PPE</t>
  </si>
  <si>
    <t xml:space="preserve">Tyvek suits w/hood White, Lrg, 210 ea Yellow, Lrg, 12 ea White, XLrg, 12 ea Yellow, XLrg, 10 ea White, XXLrg, 217 ea Yellow, XXLrg, 15 ea White, XXXLrg, 15 ea Yellow, XXXLrg, 10 ea White, XXXXLrg, 15 ea Yellow, XXXXLrg, 15 ea  </t>
  </si>
  <si>
    <t xml:space="preserve"> -------------------------------------------------- Follow Up #3: 05/06/2020 13:19. Matt.Rathke / SEA - LOG - Staffer Notified for pickup:  Tyvek Suit, w/hood, Lrg, yellow 12 ea  Remaining of this item:  108 back order -------------------------------------------------- Follow Up #2: 04/22/2020 12:20. Pam.Tokunaga / SEA - LOG - Supplies and Equipment Per Jon, for the encampment portion of the request for white Tyvek suits from with hoods to w/o hoods. Warehouse will fill XL and XXL and PC will look for the balance.  -------------------------------------------------- Follow Up #1: 04/22/2020 07:58. Pam.Tokunaga / SEA - LOG - Supplies and Equipment I've talked with Jon Jainga regarding his order. He is checking to see if he can find a part number for the yellow suits. </t>
  </si>
  <si>
    <t>STTL-cwadbk</t>
  </si>
  <si>
    <t>Two (2) cargo passenger vans for SFD mobile testing</t>
  </si>
  <si>
    <t>Seattle Fire department mobile testing vehicle</t>
  </si>
  <si>
    <t>Seattle Fire department needs two (2) vans to initiate their mobile COVID testing of facilities.  Looking for volunteers from the vehicle reduction list.</t>
  </si>
  <si>
    <t xml:space="preserve"> -------------------------------------------------- Follow Up #1: 05/05/2020 15:59. Matt.Rathke / SEA - LOG - Staffer Vans 74477 and 74481 are being turned over from SCL to the FAS shops at SSC and Haller Lake to remove the BCKM modules related to ignition interlock for their motor pool, and removing the SCL motor pool decals. Should have these ready by Friday at Charles Street. </t>
  </si>
  <si>
    <t>Seattle Fire Department is in need of passenger vans with cargo capacity or cargo vans that carry 3-4 people and cargo space of 44" x 32".  They need four (4) of these vans, two (2) have been identified: 34145, and 80401.  Two (2) more need to be identified, ideally from the fleet reduction list that Fleet Administration is working off of.</t>
  </si>
  <si>
    <t>ITD operations supplies</t>
  </si>
  <si>
    <t>Warehouse portion of items:  Disinfectant Wipes tube 40  Masks (N95) each 100  Masks (Surgical) each 200  Nitrile Gloves(large) (Public Safety) pair 1,000  Hand Sanitizer (12oz bottle or equiv) bottle 40</t>
  </si>
  <si>
    <t xml:space="preserve"> -------------------------------------------------- Follow Up #2: 05/05/2020 15:55. Matt.Rathke / SEA - LOG - Staffer Notified to pickup  Masks (N95) each 50, 5 boxes -------------------------------------------------- Follow Up #1: 05/04/2020 15:11. Matt.Rathke / SEA - LOG - Staffer Notified ready for pickup Disinfectant Wipes tube 40  Masks (N95) each 50  Masks (Surgical) each 200  Nitrile Gloves(large) (Public Safety) pair 1,000  Hand Sanitizer (12oz bottle or equiv) bottle 40  Remaining: Masks (N95) each 50 </t>
  </si>
  <si>
    <t>STTL-bu7n1k</t>
  </si>
  <si>
    <t>N95 masks - 1,000 units</t>
  </si>
  <si>
    <t>N95 Masks</t>
  </si>
  <si>
    <t>SPU is requesting 1000 N95 masks.</t>
  </si>
  <si>
    <t xml:space="preserve"> -------------------------------------------------- Follow Up #1: 05/05/2020 15:52. Matt.Rathke / SEA - LOG - Staffer Notified for pickup  Masks, N95 (3M 8511), 100 boxes, 1000 units  Complete </t>
  </si>
  <si>
    <t xml:space="preserve">We need 1,000 pcs of N95 masks. </t>
  </si>
  <si>
    <t>STTL-mz08hq</t>
  </si>
  <si>
    <t>Hand Soap, antibacterial - two sizes for SCL</t>
  </si>
  <si>
    <t>SCL Request for Antibacterial Soap</t>
  </si>
  <si>
    <t>SCL Request for Antibacterial Soap in dispensers as described:  Number requested 120, 12 cases  Dial Hypoallergenic Hand pump 16oz  Number requested 120, 12 cases  Dial Hypoallergenic Hand Pump 7.5 oz</t>
  </si>
  <si>
    <t xml:space="preserve"> -------------------------------------------------- Follow Up #1: 05/05/2020 15:03. Matt.Rathke / SEA - LOG - Staffer Notified for pickup:  Covid-120 Hand Soap, 24 cases </t>
  </si>
  <si>
    <t xml:space="preserve">SCL Request for Antibacterial Soap in dispensers as  described: Number requested 120, 12 cases  Dial Hypoallergenic Hand pump 16oz Number requested 120, 12 cases  Dial Hypoallergenic Hand Pump 7.5 oz </t>
  </si>
  <si>
    <t>STTL-gyrbar</t>
  </si>
  <si>
    <t>Parks and Recreation need hand sanitizer</t>
  </si>
  <si>
    <t>Seattle Parks and Rec. PPE Request</t>
  </si>
  <si>
    <t>Need 15 of the 16.9 FL. OZ bottles of hand sanitizers for Golf center cashiers stations, Shelter Reception Desks, Daycare Reception Desks</t>
  </si>
  <si>
    <t xml:space="preserve"> -------------------------------------------------- Follow Up #1: 05/04/2020 15:06. Matt.Rathke / SEA - LOG - Staffer Notified ready for pickup  Hand Sanitizer, 16.9 fl oz, 15 bottles </t>
  </si>
  <si>
    <t>Need 15 of the 16.9 FL. OZ bottles of hand sanitizers for Golf center cashiers stations, Shelter Reception Desks, Daycare Reception Desks  I am available to pick these up today @ 3:00PM</t>
  </si>
  <si>
    <t>STTL-2bnbv6</t>
  </si>
  <si>
    <t>Seattle Center needs 10 IR thermometers</t>
  </si>
  <si>
    <t>Seattle Center IR non contact thermometers</t>
  </si>
  <si>
    <t>Seattle Center needs ten (10) non contact IR thermometers for operations support.</t>
  </si>
  <si>
    <t xml:space="preserve"> -------------------------------------------------- Follow Up #1: 05/04/2020 13:58. Matt.Rathke / SEA - LOG - Staffer Notified for pickup:  Infrared non contact thermometers, 10 ea </t>
  </si>
  <si>
    <t xml:space="preserve">Seattle Center is reviewing our need internally, but at this point we expect to need 5 thermometers for on-site screening of our essential crew members. </t>
  </si>
  <si>
    <t>STTL-0wvmsp</t>
  </si>
  <si>
    <t>Surgical Masks</t>
  </si>
  <si>
    <t>surgical masks</t>
  </si>
  <si>
    <t>990 donated masks,  50,000 masks requested over all</t>
  </si>
  <si>
    <t xml:space="preserve">-------------------------------------------------- Follow Up #1: 05/04/2020 08:11. Matt.Rathke / SEA - LOG - Staffer Notified for delivery:  Surgical Masks, 1,000 boxes  Complete </t>
  </si>
  <si>
    <t>would like 990 surgical masks for SFD Was told there are 990 surgical masks, would like these.  We are looking for 50,000 surgical masks in all.</t>
  </si>
  <si>
    <t>STTL-mq52iz</t>
  </si>
  <si>
    <t>Seattle Parks and Recreateion</t>
  </si>
  <si>
    <t>Parks and Recreation thermometers</t>
  </si>
  <si>
    <t>Parks - Infrared non contact thermometers</t>
  </si>
  <si>
    <t>Seattle Parks and Recreation needs 25 infrared non contact thermometers for health screening.</t>
  </si>
  <si>
    <t xml:space="preserve"> -------------------------------------------------- Follow Up #1: 05/01/2020 15:40. Matt.Rathke / SEA - LOG - Staffer Notified ready for pickup:  25 IR non contact thermometers </t>
  </si>
  <si>
    <t>Parks department needs 25 non contact infrared thermometers</t>
  </si>
  <si>
    <t>STTL-mh1qau</t>
  </si>
  <si>
    <t>ITD - 20 thermometers</t>
  </si>
  <si>
    <t>20 temporal infrared no-touch thermometers</t>
  </si>
  <si>
    <t xml:space="preserve"> -------------------------------------------------- Follow Up #1: 05/01/2020 15:38. Matt.Rathke / SEA - LOG - Staffer Notified for pickup:  20 IR non contact thermometers </t>
  </si>
  <si>
    <t>20</t>
  </si>
  <si>
    <t>STTL-04jp3c</t>
  </si>
  <si>
    <t>Seattle Office of the Waterfront</t>
  </si>
  <si>
    <t>10 thermometers for Seattle Office of the Waterfront</t>
  </si>
  <si>
    <t>Office of the Waterfront - Infrared thermometers</t>
  </si>
  <si>
    <t xml:space="preserve"> -------------------------------------------------- Follow Up #1: 05/01/2020 15:32. Matt.Rathke / SEA - LOG - Staffer Notified ready for pickup  10 thermometers </t>
  </si>
  <si>
    <t>Seattle Office of the Waterfront will need 10 infrared non contact thermometers</t>
  </si>
  <si>
    <t>STTL-m0qqhg</t>
  </si>
  <si>
    <t>FAS operations</t>
  </si>
  <si>
    <t>FAS operations thermometers</t>
  </si>
  <si>
    <t>FAS operations IR thermometers</t>
  </si>
  <si>
    <t>FAS Operations needs 100 IR thermometers for health screening at city buildings.</t>
  </si>
  <si>
    <t>FAS operations needs 100 IR thermometers for health screening purposes</t>
  </si>
  <si>
    <t>STTL-n8aysu</t>
  </si>
  <si>
    <t>SPU request for thermometers, surgical masks</t>
  </si>
  <si>
    <t>Thermometers and Surgical Masks</t>
  </si>
  <si>
    <t xml:space="preserve">200 Thermometers 500 Surgical Masks </t>
  </si>
  <si>
    <t xml:space="preserve"> -------------------------------------------------- Follow Up #2: 05/01/2020 09:41. Matt.Rathke / SEA - LOG - Staffer 200 IR Thermometers ready to pickup  Order completed -------------------------------------------------- Follow Up #1: 04/22/2020 10:55. Matt.Rathke / SEA - LOG - Staffer Notified of partial fill:  Surgical masks, 10 boxes (50 mask per box)  Remaining 200 Thermometers </t>
  </si>
  <si>
    <t>200 Thermometers 500 Surgical Masks</t>
  </si>
  <si>
    <t>STTL-oddadx</t>
  </si>
  <si>
    <t>Submit request to KC ECC</t>
  </si>
  <si>
    <t>Security for Harborview Medical Center</t>
  </si>
  <si>
    <t>Filled per King County ECC Security assistance in Emergency Department, 24/7</t>
  </si>
  <si>
    <t>Need two security officers to work at the emergency department.  Can be uniformed or contact security.  2 man shift ... 24/7 coverage for at least 90 days.(duration of COVID outbreak).  Unable to source of contract or through Seattle Police.</t>
  </si>
  <si>
    <t>STTL-5fg1lu</t>
  </si>
  <si>
    <t>Submit Test Kit request to King County ECC</t>
  </si>
  <si>
    <t>TEST KIT REQUEST TO THE STATE</t>
  </si>
  <si>
    <t>Seattle Fire requesting two weeks supply of test kits to be submitted to State.</t>
  </si>
  <si>
    <t xml:space="preserve"> -------------------------------------------------- Follow Up #2: 04/30/2020 16:53. Elenka.Jarolimek / SEA - LOG - FAS Elevated to State. -------------------------------------------------- Follow Up #1: 04/29/2020 10:55. Elenka.Jarolimek / SEA - LOG - FAS Submitted  into WebEOC Resource Tracker board as WA-202042910221.  Confirmed with King County ECC to push request up to the State.  </t>
  </si>
  <si>
    <t>Requesting a 2 week supply of test kits to facilitate testing of personnel attached to Seattle Fire Departments' mobile testing teams.  This includes testing at fixed sites, adult family homes, skilled nursing/assisted living, City employees, and shelters/homlessness encampments.  Current estimated burn rate to support these teams is 2500 test kits per week.  Kits should be compatible with UW testing facilities and include  NP swabs per UW specifications and vials with non-inactivating viral transport media non-inactivating viral transport media non-inactivating viral transport media)</t>
  </si>
  <si>
    <t>STTL-4eohug</t>
  </si>
  <si>
    <t>Submit SFD Request to State</t>
  </si>
  <si>
    <t>COVID TEST KITS FOR SEATTLE FIRE</t>
  </si>
  <si>
    <t>Elevated to State</t>
  </si>
  <si>
    <t xml:space="preserve">Requesting a 6 week supply of test kits to facilitate testing of personnel attached to Seattle Fire Departments' mobile testing teams.  This includes testing at fixed sites, adult family homes, skilled nursing/assisted living,  City employees, and shelters/homelessness encampments.  Delivery would take place on or around 5/15/2020  Current estimated burn rate to support these teams is 2500 test kits per week.  Kits should be compatible with UW testing facilities and include  NP swabs per UW specifications and vials with non-inactivating viral transport media non-inactivating viral transport media non-inactivating viral transport media) </t>
  </si>
  <si>
    <t>STTL-rd9d5l</t>
  </si>
  <si>
    <t>Submit SFD Weekly PPE Request</t>
  </si>
  <si>
    <t>SFD Weekly PPE Request for 5/1/20</t>
  </si>
  <si>
    <t>Submit SFD Weekly PPE Request for 2,500 EA Surgical Procedure Masks to King County ECC.</t>
  </si>
  <si>
    <t xml:space="preserve">-------------------------------------------------- Follow Up #2: 04/30/2020 16:42. Elenka.Jarolimek / SEA - LOG - FAS Order in Process.  SFD Weekly PPE order for 5/1/20 not included with Fire/EMS Bulk Order.  Added to 5/8/20 weekly order to DOH -------------------------------------------------- Follow Up #1: 04/28/2020 14:06. Elenka.Jarolimek / SEA - LOG - FAS Weekly request submitted to King County ECC. </t>
  </si>
  <si>
    <t>Submit Weekly PPE Request on behalf of SFD for 2,500 EA Surgical Procedure Masks</t>
  </si>
  <si>
    <t>STTL-v3p4f4</t>
  </si>
  <si>
    <t>HSD request for SHARE to gain access to commercial washing/drying facility</t>
  </si>
  <si>
    <t>Access to Commercial Washers/Dryers for Homeless Provider SHARE</t>
  </si>
  <si>
    <t>SHARE, a homeless provider, needs access to commercial washer and dryer facilities.</t>
  </si>
  <si>
    <t xml:space="preserve"> -------------------------------------------------- Follow Up #3: 04/30/2020 16:42. Matt.Rathke / SEA - LOG - Staffer Sent email to Jill, and Lisa listing our recommendations. -------------------------------------------------- Follow Up #2: 04/30/2020 16:19. Matt.Rathke / SEA - LOG - Staffer Possibilities for commercial laundry service in the Seattle area:  https://www.corryscleaning.com/commercial-laundry/  https://www.servicelinen.com/about-us/contact-us/  http://seattlelaundryservice.com/pricing  Most of the services mention that they handle commercial accounts, linens for hospitals, blankets etc.  They also list pickup and delivery on a scheduled basis as a service as well. -------------------------------------------------- Follow Up #1: 04/30/2020 15:12. Elenka.Jarolimek / SEA - LOG - FAS Disinfecting and Sickness-related Cleaning Services: Walker Specialty Construction Services (#3598): http://www.wsconline.net/  Northwest Center Services: (multiple blanket contracts)  https://www.nwcenter.org/  Stratus Building Solutions: https://www.stratusbuildingsolutions.com/</t>
  </si>
  <si>
    <t xml:space="preserve">SHARE, a homeless provider, needs access to commercial washer and dryer facilities. The facilities that they have used since 1991 is currently blocked due to a coronavirus outbreak. They are looking for donated or free use of facilities (philanthropic group?). One idea was whether they can use the commercial washers and dryers at the downtown hotel that the City has leased. The information is:  	What programs would be covered?  SHARE Indoor shelters  all locations are now 24 hour due to COVID 19; WHEEL Womens Shelter and Tent City. 	Volume expected:  The Agency estimates approximately 600 blankets per week  - each person get 2 blankets. 	Washing requirements (i.e. Heat treatment:  All blankets would be washed and dried.) 	Frequency / schedule:  Blankets need to be cleaned once per week. 	Location restrictions (how far would they go): No reasonable restrictions. 	Logistics (they wash or need it to be done for them) they could have the blanket washers They would launder the blankets (each site was doing the laundry at Aloha Inn). 	Costs:  They have no additional funds for laundry.  SHARE contact: (206) 448-7889 or (206) 956-0334 to discuss this further. </t>
  </si>
  <si>
    <t>HSD request for SHARE access to commercial washing/drying</t>
  </si>
  <si>
    <t xml:space="preserve">-------------------------------------------------- Follow Up #1: 04/30/2020 16:40. Matt.Rathke / SEA - LOG - Staffer Provided contacts for COVID cleaning services used in the past </t>
  </si>
  <si>
    <t>Research Commercial Laundry facility Contracts</t>
  </si>
  <si>
    <t>Discuss at 4/30 Logistics Meeting</t>
  </si>
  <si>
    <t>STTL-8k2ptv</t>
  </si>
  <si>
    <t>Submit SFD Weekly PPE Request for 4/24/20</t>
  </si>
  <si>
    <t>SFD Weekly PPE Request for 04/24/20</t>
  </si>
  <si>
    <t>Submit SFD weekly PPE request to King County ECC by Noon 4/22/20</t>
  </si>
  <si>
    <t xml:space="preserve"> -------------------------------------------------- Follow Up #3: 04/30/2020 16:38. Elenka.Jarolimek / SEA - LOG - FAS Order in Process. added to 4/24/20 weekly order to state DOH -------------------------------------------------- Follow Up #2: 04/28/2020 14:05. Elenka.Jarolimek / SEA - LOG - FAS The ESF 4 rep at King County ECC did not include as part of Fire/EMS Bulk Order for 4/24/20.  King County ECC submitted separate request to the State with this request for 5,000 EA Surgical Procedure Masks -------------------------------------------------- Follow Up #1: 04/28/2020 08:36. Elenka.Jarolimek / SEA - LOG - FAS SFD Weekly PPE Request part of King County Fire/EMS bulk order to the SEOC </t>
  </si>
  <si>
    <t>Submit on behalf of SFD the following critical item as part of Weekly PPE request: 5,000 EA Surgical Procedure Masks</t>
  </si>
  <si>
    <t>STTL-86f0k9</t>
  </si>
  <si>
    <t>SPD Weekly PPE Order for 4/24/20</t>
  </si>
  <si>
    <t>SPD Weekly PPE Request for 4/24/20</t>
  </si>
  <si>
    <t>Request cancelled. No details provided</t>
  </si>
  <si>
    <t>Submit on behalf of SPD critical item for Weekly ESF 13 PPE Request: 1,000 Gowns, One size fits all</t>
  </si>
  <si>
    <t>STTL-d769im</t>
  </si>
  <si>
    <t>Submit WANG Extension Request to SEOC</t>
  </si>
  <si>
    <t>National Guard Extension for Seattle Food System Support</t>
  </si>
  <si>
    <t>WANG On Scene.  As of 4/26: Three Foodbanks are now included with the original 7 requesting extension of support from the WNG through the end of MAY. These food banks include (WA-20204713149) Byrd Barr Place, (WA-20204810546) St Vincent De Paul, and (WA-20204811474) White Center Food Bank.  WebEOC Request# WA-20204191645 Extension has been authorized in WNG Fragmentary Order 25 (FRAGO 25). The end date of the following missions have been extended to 30MAY2020:  (WA-20204713149) Byrd Barr Place (WA-2020488440) Ballard Food Bank (WA-2020489835) Queen Anne Food Bank (WA-2020489846) Puget Sound Labor Agency (WA-2020489462) Salvation Army (WA-20204810942) Solid Ground Transportation (WA-20204810546) St Vincent De Paul (WA-20204811578) Seattle U-District Food Bank (WA-20204811813) West Seattle Food Bank (WA-20204811474) White Center Food Bank  This mission has received 15 additional personnel as specified in WNG Fragmentary Order 26 and 27 (FRAGO 26 and FRAGO 27). 5 personnel were placed with (WA-20204810942) Solid Ground Food Banks, 2 personnel with OSL Meals Partnership Coalition, and 8 personnel with Edible Hope Kitchen.  WebEOC# WA-20204191638's request for 5 PAX to Solid Ground Transportation, 8 PAX to Edible Hope, 1 PAX to OSL, and the addition of 1 extra PAX to OSL have been fulfilled in WebEOC# WA-20204191645. The total request for 15 PAX was fulfilled in Framentary Orders 26 and 27 (FRAGO 26 and 27. The addition of 1 extra PAX to OSL is not addressed in WebEOC# WA-2020191638, but was requested through WebEOC#WA-20204191645. This shows why an increase from the original 14 PAX requested to the new 15 PAX requested.</t>
  </si>
  <si>
    <t>Request for 30 day extension for current National Guard placements at Seattle Food Banks by Solid Ground Food System Support. Attached are two files which detail the initial requests made to the Governors Office for Seattle. Current assignments expire at various dates.  City of Seattle Contact is Natalie Thomson (natalie.thomson@seattle.gov) or 206-409-9651.</t>
  </si>
  <si>
    <t>STTL-s7p66z</t>
  </si>
  <si>
    <t xml:space="preserve">4 National Guard for Food Bank/Meal Program Support  </t>
  </si>
  <si>
    <t>14 National Guard for Food Bank/Meal Program Support</t>
  </si>
  <si>
    <t>Push request up to King County ECC by  4/21/20 COB for National Guard support.  Attachment included.</t>
  </si>
  <si>
    <t xml:space="preserve"> -------------------------------------------------- Follow Up #1: 04/30/2020 16:24. Elenka.Jarolimek / SEA - LOG - FAS As of 4/27/20:  WebEOC# WA-20204191638's request for 5 PAX to Solid Ground Transportation, 8 PAX to Edible Hope, 1 PAX to OSL, and the addition of 1 extra PAX to OSL have been fulfilled in WebEOC# WA-20204191645. The total request for 15 PAX was fulfilled in Framentary Orders 26 and 27 (FRAGO 26 and 27. The addition of 1 extra PAX to OSL is not addressed in WebEOC# WA-2020191638, but was requested through WebEOC#WA-20204191645. This shows why an increase from the original 14 PAX requested to the new 15 PAX requested. </t>
  </si>
  <si>
    <t xml:space="preserve">This City of Seattle request for National Guard placement is submitted in partnership with the Seattle Food Committee, a network of 28 Seattle-based food banks, and the Meals Partnership Coalition, a network of 70 Seattle-based meal programs. Seattle food and meals programs report anywhere between 25% - 300% increase in the number of individuals and families they are seeing as a result of COVID-19. We are making a joint request for 14 National Guard to keep the food system operational and to meet the growing number of people visiting food banks and free meal programs.  Comprehensive volunteer recruitment and placement has already been done through individual program networks, United Way of King County volunteer portal and Idealist volunteer placements. Recently, voluntarism has waned. This joint request is for: 	5 National Guard for Solid Ground Food System Support (food banks) and 1 refrigerated 26 boxed truck 	1 National Guard and vehicle for OSL (Meals Partnership Coalition) 	8 National Guard for Meals Partnership Coalition member Edible Hope Kitchen (critical location and population serving 175-200 meals/day)  See attached for details. </t>
  </si>
  <si>
    <t>STTL-iy2vay</t>
  </si>
  <si>
    <t>Small N95 Masks (3M 8110s)</t>
  </si>
  <si>
    <t xml:space="preserve">SPD - Small N95 Masks (3M 8110s) </t>
  </si>
  <si>
    <t xml:space="preserve">Submit to King County request for Seattle Police Dept in need of 300 EA small N95 masks part nr. 3M 8110S </t>
  </si>
  <si>
    <t xml:space="preserve"> -------------------------------------------------- Follow Up #1: 04/30/2020 16:21. Elenka.Jarolimek / SEA - LOG - FAS canceled this request as items have been added to King County Fire bulk order; WA-202042111405 </t>
  </si>
  <si>
    <t xml:space="preserve">Seattle Police Dept in need of 300 EA small N95 masks part nr. 3M 8110S </t>
  </si>
  <si>
    <t>STTL-a9tbm7</t>
  </si>
  <si>
    <t>SPD Weekly PPE Request for 4/17/20</t>
  </si>
  <si>
    <t xml:space="preserve">Seattle Police Dept Weekly PPE Request for 4/17/20 </t>
  </si>
  <si>
    <t>Submit weekly PPE request to King County</t>
  </si>
  <si>
    <t xml:space="preserve"> -------------------------------------------------- Follow Up #2: 04/30/2020 15:57. Elenka.Jarolimek / SEA - LOG - FAS Order in Process.  As of 4/22/20: ESF 4 Fire/EMA checking with the KC Fire Coordinators on possible gowns in stock. Request pushed to State. -------------------------------------------------- Follow Up #1: 04/30/2020 15:54. Elenka.Jarolimek / SEA - LOG - FAS No PPE currently in stock. Request added to weekly bulk King County law enforcement order and submitted to Logistics department. </t>
  </si>
  <si>
    <t xml:space="preserve">On behalf of Seattle Police Dept submitting the following critical item as part of the ESF 13 bulk order  300 EA N95 - Small Particulate Respirator (preferred part nr. 3M 8110s) </t>
  </si>
  <si>
    <t>STTL-xz9uci</t>
  </si>
  <si>
    <t>SPD Weekly PPE Request for 4/10/20</t>
  </si>
  <si>
    <t>Seattle Police Dept. Weekly PPE Request for 04/10/20</t>
  </si>
  <si>
    <t>Send SPD weekly PPE request to King County Via webeoc</t>
  </si>
  <si>
    <t xml:space="preserve"> -------------------------------------------------- Follow Up #1: 04/30/2020 15:42. Elenka.Jarolimek / SEA - LOG - FAS Received delivery: 4 boxes Safety Goggles/Eye Safety Protection glasses ?? boxes N95 Masks </t>
  </si>
  <si>
    <t>300 EA Masks (N95) - Small 828 EA Eye Protection Glasses</t>
  </si>
  <si>
    <t>STTL-yn4ngg</t>
  </si>
  <si>
    <t>SFD Weekly PPE Request</t>
  </si>
  <si>
    <t>Seattle Fire Dept Weekly PPE Request for 04/10/2020</t>
  </si>
  <si>
    <t>Push SFD Weekly PPE Request up to King County Logistics via King County WebEOC</t>
  </si>
  <si>
    <t xml:space="preserve">-------------------------------------------------- Follow Up #1: 04/30/2020 15:28. Elenka.Jarolimek / SEA - LOG - FAS KC ECC Logistics unable to fulfill the request at this time.  Resubmit request. </t>
  </si>
  <si>
    <t>SFD  critical supplies needs include: 3000 EA Alcohol Wipes  6000 EA Procedure Mask - (Yellow) 5900 EA Gowns, Disposable, Large</t>
  </si>
  <si>
    <t>STTL-4mm71i</t>
  </si>
  <si>
    <t>Submit Seattle Weekly PPE Request for 4/10/20</t>
  </si>
  <si>
    <t>City of Seattle Weekly PPE Request for 04/10/2020</t>
  </si>
  <si>
    <t>Push request up to King county EOC</t>
  </si>
  <si>
    <t xml:space="preserve"> -------------------------------------------------- Follow Up #1: 04/30/2020 15:26. Elenka.Jarolimek / SEA - LOG - FAS KC ECC Logistics unable to fulfill the request at this time. Resubmit request. </t>
  </si>
  <si>
    <t xml:space="preserve">Submtting Weekly PPE Request to King County 3000 EA Alcohol Wipes 6000 EA Procedure Mask - (Yellow)  12,000 EA Gowns, Disposable, Large  75 EA Thermometers (Non-Contact infrared) 1,500 EA Masks (N95) - Small  75 EA N-95 Respirators (L) 75 EA N-95 Respirators  (M) 75 EA N-95 Respirators (S) 120 EA N95 Masks - Contour 7,500 EA Surgical Masks 1,500 EA Sani Hand Instant wipes 75 EA Bleach 15 EA Sharps Containers 100 EA Gloves, Nitrile (S) 100 EA Gloves, Nitrile (M) 100 EA Gloves, Nitrile (L) 30 EA Faceshields 1,320 EA Eye protection glasses 1,500 EA Sanitizing/Disinfectant Wipes 2,000 EALysol Disinfecting Spray </t>
  </si>
  <si>
    <t>STTL-wiqtfh</t>
  </si>
  <si>
    <t>Weekly PPE request up to King County EOC</t>
  </si>
  <si>
    <t>City of Seattle Weekly PPE Request</t>
  </si>
  <si>
    <t xml:space="preserve">Escalate attached request to King County EOC </t>
  </si>
  <si>
    <t xml:space="preserve"> -------------------------------------------------- Follow Up #1: 04/30/2020 15:23. Elenka.Jarolimek / SEA - LOG - FAS Was Delivered by King County 4/11: 1 box of Face Shield 1 box of Exam Gloves, Small 4 boxes of Safety Goggles - MMC180-12MSDO 46 boxes of N95 Respirator Masks - Case 1 box of Regular N95 Respirator Masks 1 box of Sanitizing Disinfectant Wipes 3 boxes of Surgical Procedural Masks 49 boxes of Surgical Masks 36 boxes of Face Masks 1 box of Nitrile Powder-Free Exam Gloves, Medium 1 box of Nitrile Powder-Free Exam Gloves, Large 75 boxes of Germicidal Ultra Bleach  </t>
  </si>
  <si>
    <t>PPE request for City of Seattle includes both Seattle Fire Dept and Seattle Police Dept items.</t>
  </si>
  <si>
    <t>STTL-5u0x6v</t>
  </si>
  <si>
    <t>Security for Harborview Hall</t>
  </si>
  <si>
    <t>Secuirty Asstance at Harborview Hall</t>
  </si>
  <si>
    <t>Starting 4/6/2020 24/7 security assistance for 6 months  Danica Little - UW Medicine Preparedness - Director, 206-947-5565  POC for Delivery:  Alieu Ann,  206-744-4913, or cell 206-473-2548</t>
  </si>
  <si>
    <t xml:space="preserve"> -------------------------------------------------- Follow Up #1: 04/02/2020 16:47. Matt.Rathke / SEA - LOG - Staffer Reached out to Danica - provided contact information for our security vendor.  Request being referred to King County </t>
  </si>
  <si>
    <t>Security assistance needed at Harborview Hall Starting Monday 4/6/2020 for 24/7 shifts, for approximately 6 months</t>
  </si>
  <si>
    <t>Law Enforcement Support from SPD</t>
  </si>
  <si>
    <t>SPD is unable to assist  with this request.  They suggest looking into private security to support this need.</t>
  </si>
  <si>
    <t xml:space="preserve"> -------------------------------------------------- Follow Up #1: 04/01/2020 15:39. Elenka.Jarolimek / SEA - LOG - FAS Transfer to Facility Support Unit to provide assistance on private security contract. </t>
  </si>
  <si>
    <t>STTL-jla811</t>
  </si>
  <si>
    <t>Elevate SFD PPE Request to KC ECC</t>
  </si>
  <si>
    <t>Seattle Fire Dept. Weekly PPE request for 04/03/20</t>
  </si>
  <si>
    <t>Elevate SFD weekly PPe request to KC ECC to the ESF 4 rep.</t>
  </si>
  <si>
    <t>Submit to ESF 4 Rep at King County.  This request is for Seattle Fire Dept PPE required needs unavailable through regular vendor channels.  This request is related to the City of Seattle Weekly PPE Request for 04/03/20 (see STTL-wiqtfh)</t>
  </si>
  <si>
    <t>STTL-ozzh1s</t>
  </si>
  <si>
    <t>300 Surgical masks for Seattle Center staff</t>
  </si>
  <si>
    <t>Seattle Center Weekly PPE order for April 29</t>
  </si>
  <si>
    <t xml:space="preserve">300 surgical masks  (used by frontline staff working with the public) </t>
  </si>
  <si>
    <t xml:space="preserve"> -------------------------------------------------- Follow Up #1: 04/29/2020 14:00. Matt.Rathke / SEA - LOG - Staffer Notified ready for pickup  Masks, surgical, 50 ea/box - 6 boxes </t>
  </si>
  <si>
    <t>300 surgical masks  (used by frontline staff working with the public)</t>
  </si>
  <si>
    <t>STTL-yqmr3a</t>
  </si>
  <si>
    <t>Surgical Masks for SDCI inspectors</t>
  </si>
  <si>
    <t>Surgical Masks for SDCI</t>
  </si>
  <si>
    <t>2000 surgical masks for field staff.</t>
  </si>
  <si>
    <t xml:space="preserve"> -------------------------------------------------- Follow Up #1: 04/29/2020 13:59. Matt.Rathke / SEA - LOG - Staffer Notified for pickup -  Masks, surgical 50ea/box - 40 boxes </t>
  </si>
  <si>
    <t>Charles Evens requesting 2000 surgical masks.</t>
  </si>
  <si>
    <t>Submit request to Test kit to State</t>
  </si>
  <si>
    <t>Submit request for 25,000 EA COVID Test Kits to State through KC ECC.</t>
  </si>
  <si>
    <t xml:space="preserve"> -------------------------------------------------- Follow Up #1: 04/29/2020 11:32. Elenka.Jarolimek / SEA - LOG - FAS Submitted into WebEOC Resource Tracker board as WA-202042911103. Confirmed with King County ECC to push request up to the State. </t>
  </si>
  <si>
    <t>STTL-5f9t9x</t>
  </si>
  <si>
    <t>Submit Weekly PPE Request for SPD</t>
  </si>
  <si>
    <t>SPD Weekly PPE Request for May 1, 2020</t>
  </si>
  <si>
    <t xml:space="preserve">Submit on behalf of SPD critical item for Weekly ESF 13 PPE Request to King County ECC:  1,000 Gowns, One size fits all  300 EA Masks (N95) Small </t>
  </si>
  <si>
    <t xml:space="preserve"> -------------------------------------------------- Follow Up #1: 04/28/2020 13:45. Elenka.Jarolimek / SEA - LOG - FAS Weekly PPE request submitted to King County ECC </t>
  </si>
  <si>
    <t xml:space="preserve">Submit on behalf of SPD critical item for Weekly ESF 13 PPE Request: 1,000 Gowns, One size fits all  300 EA Masks (N95) Small </t>
  </si>
  <si>
    <t>STTL-x7691h</t>
  </si>
  <si>
    <t>SPU - n95 mask request</t>
  </si>
  <si>
    <t>N95 masks - Drainage &amp; Waste Water/Solid Waste</t>
  </si>
  <si>
    <t>Add SPU's request to the queue  1,000 N95 masks</t>
  </si>
  <si>
    <t xml:space="preserve"> -------------------------------------------------- Follow Up #1: 04/28/2020 11:33. Matt.Rathke / SEA - LOG - Staffer Notified for pickup  Masks, KN95, 50 boxes, 1000 ea </t>
  </si>
  <si>
    <t>Need 50 boxes of N95 masks (3M 8210 or equivalent) for our Drainage Waste Water &amp; Solid Waste crew.</t>
  </si>
  <si>
    <t>STTL-kcpt40</t>
  </si>
  <si>
    <t>PPE for SDCI</t>
  </si>
  <si>
    <t>PPE order SDCI</t>
  </si>
  <si>
    <t>See attached spreadsheet (highlighted column) for details</t>
  </si>
  <si>
    <t xml:space="preserve"> -------------------------------------------------- Follow Up #5: 04/28/2020 11:25. Matt.Rathke / SEA - LOG - Staffer Notified for pickup  Masks, KN95, 20 boxes, 400 ea  Complete -------------------------------------------------- Follow Up #4: 04/20/2020 12:38. Matt.Rathke / SEA - LOG - Staffer Notified to pickup: ClaviWipes, 88 ea  Remaining: Masks N95, 20 boxes -------------------------------------------------- Follow Up #3: 04/14/2020 11:02. Matt.Rathke / SEA - LOG - Staffer Notified ready for pickup: Hand Sanitizer, various sizes, 400 ea  Remaining: Clorox wipes, 88 ea Masks N95, 20 boxes -------------------------------------------------- Follow Up #2: 04/06/2020 07:17. Matt.Rathke / SEA - LOG - Staffer Attached order form from previous entry. -------------------------------------------------- Follow Up #1: 04/06/2020 07:16. Matt.Rathke / SEA - LOG - Staffer Ready for pickup 07:00 4/6/20 Clorox wipes, 12 ea Facial tissue, 5 cases Hand Soap, 9 boxes Masks, Surgical, 8 boxes Nitrile Gloves, Sm, 50 boxes Nitrile Gloves, Med, 50 boxes Nitrile Gloves, Lrg, 200 boxes Nitrile Gloves, Xlrg, 200 boxes Paper Towels, 10 cases Purell, 12 oz, 100 each Tyvek Suits w/hood, Xlrg, 200 ea Tyvek Suits w/hood, XXL, 200 ea  Remaining: Clorox wipes, 88 ea Masks N95, 20 boxes Purell, 12 oz, 400 ea </t>
  </si>
  <si>
    <t>Clorox Wipes, 100 tube Facial Tissue, 100 boxes Hand Soap (std), 100 bottles Masks, N95, 400 ea Masks, Surgical, 400 ea Nitrile Gloves, 500 pair Paper Towels, 100 pack Purell, 12 oz bottle, 500 Toilet Paper, 100 ea Small Trash Bags, 100 box Trash Can, 15 Tyvek Suit w/hood 400</t>
  </si>
  <si>
    <t>STTL-8xo0cn</t>
  </si>
  <si>
    <t>DPR PPE and Hand Sanitizer</t>
  </si>
  <si>
    <t xml:space="preserve">Surgical masks  150 ea Masks N95, 500 ea Hand Sanitizer, 1 gallon, 45  </t>
  </si>
  <si>
    <t xml:space="preserve"> -------------------------------------------------- Follow Up #2: 04/28/2020 11:22. Matt.Rathke / SEA - LOG - Staffer Notification of pickup  Masks, KN95, 25 boxes, 500 ea -------------------------------------------------- Follow Up #1: 04/16/2020 15:20. Matt.Rathke / SEA - LOG - Staffer Notifiied Jon of items ready for pickup  Masks, surgical 3 boxes (150 per box) Hand Sanitizer, 1 gallon, liquid - 45 ea  Remaining: Masks, N95 25 boxes </t>
  </si>
  <si>
    <t xml:space="preserve">Need: 150 - Disposable Face Mask for Recreation Div. Childcare 500 - N-95 Face Mask for Encampment Crew cleaning at citywide park location (direct contact with homeless population and cleaning the Hepatitis outbreak in SPR park location) 45  1Gal Hand Sanitizer Jugs  	25 for Encampment Crew 	20 for SE Parks Ground Crews  Note: SPR Crews can pick up and Deliver items to Divisions </t>
  </si>
  <si>
    <t>STTL-x6wg1j</t>
  </si>
  <si>
    <t>SPL weekly PPE materials</t>
  </si>
  <si>
    <t>Library Request for Additional PPE (4/17)</t>
  </si>
  <si>
    <t xml:space="preserve">The Library requires 500 surgical masks and 500 KN95 masks to cover staff needs through 5/7. </t>
  </si>
  <si>
    <t xml:space="preserve">-------------------------------------------------- Follow Up #2: 04/28/2020 11:04. Matt.Rathke / SEA - LOG - Staffer Notified for delivery -  Masks, KN95, 25 boxes, 500 ea  SPL previously picked up Surgical Masks -------------------------------------------------- Follow Up #1: 04/22/2020 11:58. Matt.Rathke / SEA - LOG - Staffer Notified ready for pickup  Masks, surgical, 10 boxes (500 ea)  Remaining Masks, KN95, 25 boxes </t>
  </si>
  <si>
    <t>The Library requires 500 surgical masks and 500 KN95 masks to cover staff needs through 5/7.</t>
  </si>
  <si>
    <t>Purchasing has this</t>
  </si>
  <si>
    <t xml:space="preserve">-------------------------------------------------- Follow Up #4: 04/14/2020 15:09. Matt.Rathke / SEA - LOG - Staffer Delivered to Crown Hill warehouse -------------------------------------------------- Follow Up #3: 04/14/2020 15:01. Matt.Rathke / SEA - LOG - Staffer Invoice from Performance Health (SO-3677826)  100 PAWS Antimicrobial Towelettes, Case of 12 Pop-up dispensers of 160 $107.35 ea 100 PAWS Antimicrobial Towelettes, Case of 10 boxes of 100  $74.05 -------------------------------------------------- Follow Up #2: 04/13/2020 10:26. evan.cobb / SEA - LOG - FAS Order revised to 430 CaviWipes vs. requested PAWS. Change OK'd by SFD. Order is compiled for pickup and is now complete. -------------------------------------------------- Follow Up #1: 03/22/2020 21:03. Presley.Palmer / SEA - LOG - Supplies and Equipment Is there a maximum number of wipes that we should not exceed? Many times we may get a vendor that claims to have millions... Do you need millions? </t>
  </si>
  <si>
    <t>STTL-giqu1o</t>
  </si>
  <si>
    <t>Clorox wipes</t>
  </si>
  <si>
    <t>Disinfectant Wipes for Seattle Emergency Operations Center</t>
  </si>
  <si>
    <t>Sent note back to Elenka on how many</t>
  </si>
  <si>
    <t xml:space="preserve">-------------------------------------------------- Follow Up #2: 03/24/2020 14:31. Matt.Rathke / SEA - LOG - Staffer Daniel has some from Customer Service desk that is vacant, will be delivered to the EOC. -------------------------------------------------- Follow Up #1: 03/24/2020 14:00. Elenka.Jarolimek / SEA - LOG - Deputy Chief 10 containers that contains between 75 to 105 wipes.  Will take any quantity for general office environment use. </t>
  </si>
  <si>
    <t>Need disinfectant wipes for cleaning equipment and furniture at EOC.</t>
  </si>
  <si>
    <t>STTL-wx8df2</t>
  </si>
  <si>
    <t>CL N95 masks for CL 3 boxes of 20, 60 total</t>
  </si>
  <si>
    <t>Dust Masks</t>
  </si>
  <si>
    <t xml:space="preserve"> -------------------------------------------------- Follow Up #1: 04/28/2020 09:34. Matt.Rathke / SEA - LOG - Staffer Notified ready for pickup 3/20/20  Surgical Masks, 3 boxes </t>
  </si>
  <si>
    <t>Masks for employees who enter work locations with absetos and lead particles. N-95 Dust Mask 3M or Substitute box of 20 3</t>
  </si>
  <si>
    <t>STTL-uuumfg</t>
  </si>
  <si>
    <t>Seattle Dept of Transportation</t>
  </si>
  <si>
    <t>50 Face Shields for SDOT Road Crews</t>
  </si>
  <si>
    <t>50 disposable face shields</t>
  </si>
  <si>
    <t>SDOT requires 50 surgical masks for road and maintenance crews.</t>
  </si>
  <si>
    <t xml:space="preserve"> -------------------------------------------------- Follow Up #2: 04/28/2020 08:39. Matt.Rathke / SEA - LOG - Staffer Notified ready for pickup  Changed to face shields 50 masks with face shields -------------------------------------------------- Follow Up #1: 04/28/2020 07:11. Matt.Rathke / SEA - LOG - Staffer Notified for pickup  Surgical masks, 1 box, 50 masks </t>
  </si>
  <si>
    <t xml:space="preserve">SDOT needs the supplies to continue our Mission Essential Functions as part of the Citys continuity of operations plan (COOP):  	Maintain arterial operations and mitigate hazards in the right-of-way (ROW)  	Maintain moveable bridge operations and maintenance  	Maintain structural assets due to unexpected failure (I.e. emergency inspections, repair, construction)  	Issue permits and conduct inspections only for essential work (note that while our Street Use and Traffic permit counters in SMT are currently closed to the public, permits are available by phone and online)  	Continue work on public works capital projects under construction where this can be done safely  </t>
  </si>
  <si>
    <t>STTL-1gl548</t>
  </si>
  <si>
    <t>Seattle Fire Dept XXL Nitrile Gloves</t>
  </si>
  <si>
    <t>XXL Nitrile Gloves</t>
  </si>
  <si>
    <t>10 cases of nitrile gloves = 10000 gloves  Ansell MicroFlex UltraSense USE-880 XXL</t>
  </si>
  <si>
    <t xml:space="preserve">-------------------------------------------------- Follow Up #2: 04/28/2020 07:22. Matt.Rathke / SEA - LOG - Staffer Transferred to the Distribution Management Branch for delivery -------------------------------------------------- Follow Up #1: 04/27/2020 11:31. Pam.Tokunaga / SEA - LOG - Supplies and Equipment Assigned to David McLean  Order placed with Grainer on 4/23, confirmation #1381509568, PO # FA0-STTL-1gl548. Invoice will go to SFD.  Estimated delivery date of 5/5. </t>
  </si>
  <si>
    <t>10 cases of nitrile gloves = 10000 gloves</t>
  </si>
  <si>
    <t>Nitrile gloves for Seattle Fire Department</t>
  </si>
  <si>
    <t xml:space="preserve">10 cases of nitrile gloves = 10000 gloves </t>
  </si>
  <si>
    <t xml:space="preserve"> -------------------------------------------------- Follow Up #1: 04/28/2020 07:23. Matt.Rathke / SEA - LOG - Staffer Notified for delivery  Nitrile Gloves, XXL, Blue 200 boxes </t>
  </si>
  <si>
    <t>STTL-ir7unn</t>
  </si>
  <si>
    <t>SDOT 14 Day Resource request</t>
  </si>
  <si>
    <t>SDOTs 14 day supply request</t>
  </si>
  <si>
    <t xml:space="preserve">SDOT need the supplies (Clorox wipes, Facial Tissue, Hand Soap, N95 Masks, Surgical Masks, small/medium/large Nitrile Gloves, paper towels, Purrell, Toilet paper, Trash Bags, Trash Cans, XL/XXL Tyvek Suits, XL/XXL Tyvek Suits with boots, surgical gloves) (listed in the attached spreadsheet) to be able to continue to fill potholes, street cleaning, operate and maintain bridges, maintain landscape areas, pave streets and sidewalks, traffic signal operations, and operate the Transportation Operations Center and SDOT Response Team and maintain the business and essential services of SDOT. </t>
  </si>
  <si>
    <t xml:space="preserve"> -------------------------------------------------- Follow Up #7: 04/28/2020 07:20. Matt.Rathke / SEA - LOG - Staffer Notified for pickup  Masks, Surgical, 20 boxes  -------------------------------------------------- Follow Up #6: 04/20/2020 11:38. Matt.Rathke / SEA - LOG - Staffer Notified of supplies 476 CaviWipes  Remaining items on order include: - 50 boxes N95 (COVID-130) -------------------------------------------------- Follow Up #5: 04/13/2020 11:06. evan.cobb / SEA - LOG - FAS Crispina Sioson/SDOT removed request for Purell refills and surgical gowns on 4/13/20. Remaining items on order include: - 50 boxes N95 (COVID-130) - 476 Clorox wipes (COVID-100) -------------------------------------------------- Follow Up #4: 04/03/2020 10:33. Matt.Rathke / SEA - LOG - Staffer Delivered: Masks (surgical) 2 boxes Purell (1200 ml stand refills)	16 ea Tyvek Suits / hood (X-large) 150 ea Tyvek Suits / hood (2X-large) 150 ea  Remaining: Purell (1200 ml stand refills) 3 ea  -------------------------------------------------- Follow Up #3: 03/31/2020 12:19. Matt.Rathke / SEA - LOG - Staffer Notified 12:00 Clorox wipes - 100 each Purell various  Remaining:  Masks, N95 Masks, surgical -------------------------------------------------- Follow Up #2: 03/26/2020 20:59. Matt.Rathke / SEA - LOG - Staffer Delivered - Clorox wipes 6/box, 24 Hand Soap, 6 boxes Facial tissue, 8 cases Nitrile gloves, Sm 13 boxes Nitrile gloves, Med 16 boxes Nitrile gloves, Lrg 18 boxes Nitrile gloves, X-Lrg 16 boxes Paper Towels, 11 cases Toilet Paper, 27 cases Tyvek suits w/hood, X-large 25 each Tyvek suits w/hood, Lrg 25 each Tyvek suits wout hood, X-lrg 25 each Tyvek suits w/out hood, Lrg 25 each  Remaining: Clorox wipes 6/box, 576 each Masks, N95, 50 boxes Masks, surgical, 9 boxes Purell, 1.2 liter, 19 each Purell, 12 oz 12ea box, 623 box Purell, 1 gallon, 1  -------------------------------------------------- Follow Up #1: 03/25/2020 10:59. Matt.Rathke / SEA - LOG - Staffer Updated assignment </t>
  </si>
  <si>
    <t>SDOT need the supplies (Clorox wipes, Facial Tissue, Hand Soap, N95 Masks, Surgical Masks, small/medium/large Nitrile Gloves, paper towels, Purrell, Toilet paper, Trash Bags, Trash Cans, XL/XXL Tyvek Suits, XL/XXL Tyvek Suits with boots, surgical gloves) (listed in the attached spreadsheet) to be able to continue to fill potholes, street cleaning, operate and maintain bridges, maintain landscape areas, pave streets and sidewalks, traffic signal operations, and operate the Transportation Operations Center and SDOT Response Team and maintain the business and essential services of SDOT.</t>
  </si>
  <si>
    <t>STTL-tw297z</t>
  </si>
  <si>
    <t>Cloth face masks for city personel</t>
  </si>
  <si>
    <t>SDHR cloth face masks</t>
  </si>
  <si>
    <t xml:space="preserve">28,000 ea  Cloth Masks, Antimicrobial Fabric,chip inside PM2.5 - 5 layers. 100% Cotton 28,000 at $ 4.65  Total is $ 130,200.00 </t>
  </si>
  <si>
    <t xml:space="preserve"> -------------------------------------------------- Follow Up #1: 04/27/2020 11:52. Pam.Tokunaga / SEA - LOG - Supplies and Equipment See STTL-qglzty </t>
  </si>
  <si>
    <t>28,000 ea Cloth face masks to be issued to all city personnel</t>
  </si>
  <si>
    <t>28,000 Masks for reception and distribution</t>
  </si>
  <si>
    <t>Receipt of masks upon delivery Distribution of masks to city operations</t>
  </si>
  <si>
    <t xml:space="preserve"> -------------------------------------------------- Follow Up #2: 04/27/2020 11:49. Pam.Tokunaga / SEA - LOG - Supplies and Equipment Duplicate, see STTL-qglzty -------------------------------------------------- Follow Up #1: 04/15/2020 16:58. Presley.Palmer / SEA - LOG - Supplies and Equipment Order Assigned to Julie Salinas and placed on 4/9. ETA for all masks are due between 4/22-4/24. Shipping UPS from China </t>
  </si>
  <si>
    <t>STTL-3sblox</t>
  </si>
  <si>
    <t>Hand Sanitizer bottles and caps</t>
  </si>
  <si>
    <t>Hand Sanitizer dispenser bottles</t>
  </si>
  <si>
    <t>16 oz hand sanitizer dispensing bottles and flip top caps</t>
  </si>
  <si>
    <t>Bottles and Caps from Aarons distributing  Honey bear size and caps</t>
  </si>
  <si>
    <t>Order 2000 units</t>
  </si>
  <si>
    <t>Order 16 oz bottles and caps for hand sanitizer dispensing</t>
  </si>
  <si>
    <t>STTL-3fui0f</t>
  </si>
  <si>
    <t>SC notified of partial order</t>
  </si>
  <si>
    <t>PPE Items for Emergency Services &amp; Front Line Staff</t>
  </si>
  <si>
    <t xml:space="preserve">COVID-130	Masks (N95)			box	10 Boxes	10 Boxes Tyvek Suits / hood (X-large)			each	30 Each	25 Each Tyvek Suits / hood (2X-large)			each	30 Each	25 Each </t>
  </si>
  <si>
    <t xml:space="preserve">-------------------------------------------------- Follow Up #1: 04/02/2020 10:41. Matt.Rathke / SEA - LOG - Staffer re-assigning to warehouse </t>
  </si>
  <si>
    <t>These items are needed for staff responding to emergency calls on SC Campus &amp; Jantorial/Trade Staff.  12  - Surgical Gowns 200  - N95 Masks  24  - Clorox Wipes Containers  50  - Pair of Goggles  60  - Tyvek suits in various sizes (can make do with what is sent)  6  - Face Shields</t>
  </si>
  <si>
    <t>STTL-2tt3p5</t>
  </si>
  <si>
    <t>PPE for SPL cleaning staff</t>
  </si>
  <si>
    <t>Library Request for PPE</t>
  </si>
  <si>
    <t>500 Surgical masks 80 Face Shields</t>
  </si>
  <si>
    <t xml:space="preserve"> -------------------------------------------------- Follow Up #2: 04/24/2020 15:16. Matt.Rathke / SEA - LOG - Staffer Notified for pickup 4/16/20 Surgical masks 500 Masks w/visor 80 -------------------------------------------------- Follow Up #1: 04/22/2020 11:56. Matt.Rathke / SEA - LOG - Staffer Notified ready for pickup Donated items - Masks, w/visor face shield, 80 ea  Remaining Surgical masks, 500 ea </t>
  </si>
  <si>
    <t>The Seattle Public Library requests 500 base-level surgical masks and 40 clear face shields to support Priority 1/2 taskings.</t>
  </si>
  <si>
    <t>STTL-tnmlqh</t>
  </si>
  <si>
    <t>ITD staff PPE - masks and gloves</t>
  </si>
  <si>
    <t>Surgical mask -X-Large gloves</t>
  </si>
  <si>
    <t xml:space="preserve">Surgical Masks, 4 boxes -(200)  X-large Gloves 10 boxes  </t>
  </si>
  <si>
    <t xml:space="preserve">-------------------------------------------------- Follow Up #1: 04/15/2020 15:30. Matt.Rathke / SEA - LOG - Staffer Notified Sheila that items are ready for pickup  Masks, surgical - 4 boxes Nitrile Gloves, Xlarge, 10 bxes </t>
  </si>
  <si>
    <t xml:space="preserve">pc's and phone installation field techs  use masks  Mask 4 boxes -(200) X-large Gloves 10 boxes </t>
  </si>
  <si>
    <t>STTL-muny3z</t>
  </si>
  <si>
    <t>Parks Hand Sanitizer</t>
  </si>
  <si>
    <t>Hand Sanitizer for DPR cleaning crews</t>
  </si>
  <si>
    <t>Parks department urgently needs hand sanitizer will be picking up 10 one gallon containers</t>
  </si>
  <si>
    <t xml:space="preserve"> -------------------------------------------------- Follow Up #1: 04/24/2020 15:06. Matt.Rathke / SEA - LOG - Staffer Picked up on issue </t>
  </si>
  <si>
    <t>Parks needs a resupply of 10 one gallon containers of Handsanitizer</t>
  </si>
  <si>
    <t>STTL-9as5he</t>
  </si>
  <si>
    <t>PPE for cleaning</t>
  </si>
  <si>
    <t xml:space="preserve">Supplies for Community Center Shelter Operations:PPE to Clean Showers  </t>
  </si>
  <si>
    <t xml:space="preserve">This is DPR cleaning request - </t>
  </si>
  <si>
    <t xml:space="preserve"> -------------------------------------------------- Follow Up #3: 04/24/2020 14:55. Matt.Rathke / SEA - LOG - Staffer completed 4/7/2020 per email -------------------------------------------------- Follow Up #2: 04/08/2020 07:15. Matt.Rathke / SEA - LOG - Staffer Remaining - 12 boxes surgical gowns. -------------------------------------------------- Follow Up #1: 03/31/2020 16:16. Matt.Rathke / SEA - LOG - Staffer 2nd reminder for Parks to pickup (Will Beatie, Larry Henderson) 3/31 - 15:00 </t>
  </si>
  <si>
    <t xml:space="preserve">Need PPE for assigned city workers to clean showers at potential City shelters that get set up at City recreation centers for a 2-4 week operation  ****	Face shield preferred to keep contaminants off face. Which also negate the need for N95s and staying out of the respirator program 	Rubber, latex, or vinyl gloves are required 	Tyvek suit is recommended to protect workers clothes and can be disposed of after clean up </t>
  </si>
  <si>
    <t>STTL-2m57c3</t>
  </si>
  <si>
    <t>Office of Sustainabilty &amp; Environment</t>
  </si>
  <si>
    <t>PPE for OSE folks delivering meals</t>
  </si>
  <si>
    <t>PPE for grocery delivery</t>
  </si>
  <si>
    <t>5 bottles Purell, 3 boxes medium gloves and 2 boxes large gloves  General purpose gloves.</t>
  </si>
  <si>
    <t xml:space="preserve">-------------------------------------------------- Follow Up #1: 04/24/2020 14:50. Matt.Rathke / SEA - LOG - Staffer Filled request on 4/7/2020 Gloves, Nitrile Med, 3 boxes Gloves, Nitrile Lrg, 2 boxes Purell, 12 oz bottles, 5 ea </t>
  </si>
  <si>
    <t>Five OSE staff will be doing grocery shopping &amp; delivery for emergency food voucher recipients who have requested this service from the City. Grocery vouchers are a Tier 1 activity for OSE's COOP.  We need 5 bottles Purell, 3 boxes medium gloves and 2 boxes large gloves.</t>
  </si>
  <si>
    <t>STTL-jyn259</t>
  </si>
  <si>
    <t>500 Masks for HSD field work</t>
  </si>
  <si>
    <t>Masks for Staff at City Shelter Facilities</t>
  </si>
  <si>
    <t>HSD staff in the field need masks, KN95, dust, any type  500 ea,  Can be 100 ea at a time.</t>
  </si>
  <si>
    <t xml:space="preserve"> -------------------------------------------------- Follow Up #1: 04/24/2020 14:45. Matt.Rathke / SEA - LOG - Staffer Filled request 4/7/2020  16 boxes of N95 3M 8000 masks </t>
  </si>
  <si>
    <t>Provide masks for HSD staff working at City shelter facilities. Need 500 masks, does not need to be surgical or N95. Earloop face masks or similar masks would work. Could use a smaller amount (e.g. 100 for this week) if 500 are not available.</t>
  </si>
  <si>
    <t>STTL-7ss5gd</t>
  </si>
  <si>
    <t>SFD protective gowns</t>
  </si>
  <si>
    <t>PPE Gowns</t>
  </si>
  <si>
    <t>ATTN: Phillip Saunders  Request for 188 cases of gowns from the FAS Warehouse. They have received the first shipment of gowns and we can go pick them up today.</t>
  </si>
  <si>
    <t xml:space="preserve"> -------------------------------------------------- Follow Up #1: 04/24/2020 13:32. Matt.Rathke / SEA - LOG - Staffer Gowns from the state request STTL-q19sxq  WA-20203109414 (state request #) State has indicated the request has been fulfilled </t>
  </si>
  <si>
    <t xml:space="preserve">ATTN:  Phillip Saunders  Request for 188 cases of gowns from the FAS Warehouse.  They have received the first shipment of gowns and we can go pick them up today.  </t>
  </si>
  <si>
    <t>STTL-roq5lc</t>
  </si>
  <si>
    <t>Rubbing alcohol</t>
  </si>
  <si>
    <t>alcohol 70%</t>
  </si>
  <si>
    <t>Any rubbing alcohol in the warehouse 80 bottles?</t>
  </si>
  <si>
    <t xml:space="preserve"> -------------------------------------------------- Follow Up #2: 04/24/2020 10:01. Matt.Rathke / SEA - LOG - Staffer Alcohol picked up by Seattle Fire -------------------------------------------------- Follow Up #1: 04/23/2020 08:53. Matt.Rathke / SEA - LOG - Staffer Warhouse has two 5 gallon containers of alcohol </t>
  </si>
  <si>
    <t>10 gallons of isopropyl alcohol (2 - 5 gallon buckets).</t>
  </si>
  <si>
    <t>Distribute to all city employees</t>
  </si>
  <si>
    <t>Receive and distribute to all city departments</t>
  </si>
  <si>
    <t>STTL-cfviy6</t>
  </si>
  <si>
    <t>SPD needs 3M 8110S N95 masks</t>
  </si>
  <si>
    <t>Small N95 masks</t>
  </si>
  <si>
    <t>SPD supply is limited  Need 100 3M 8110s N95 masks</t>
  </si>
  <si>
    <t xml:space="preserve"> -------------------------------------------------- Follow Up #1: 04/23/2020 15:52. Pam.Tokunaga / SEA - LOG - Supplies and Equipment Issued PO to Mallory for 100 Small Moldex N95, approved by Deb Winsor. Estimated delivery is 5/28/2020 </t>
  </si>
  <si>
    <t>SPD needs 100 3M 8110S masks</t>
  </si>
  <si>
    <t>STTL-74n91v</t>
  </si>
  <si>
    <t>Surgical Masks, 2000 for SDCI</t>
  </si>
  <si>
    <t>Surgical masks for SDCI</t>
  </si>
  <si>
    <t>SDCI is asking for 2000 ea, Masks surgical</t>
  </si>
  <si>
    <t xml:space="preserve"> -------------------------------------------------- Follow Up #1: 04/22/2020 12:44. Matt.Rathke / SEA - LOG - Staffer Notified ready for pickup  Masks, surgical, 40 boxes, (50 per box) 2000 ea </t>
  </si>
  <si>
    <t>SDCI requested 2000 surgical masks</t>
  </si>
  <si>
    <t>STTL-nr1vf2</t>
  </si>
  <si>
    <t>SPL 250 surgical gowns</t>
  </si>
  <si>
    <t>Library Request for Disposable Gowns</t>
  </si>
  <si>
    <t>Surgical Gowns, 250 - not tyvek</t>
  </si>
  <si>
    <t xml:space="preserve">-------------------------------------------------- Follow Up #1: 04/22/2020 12:41. Matt.Rathke / SEA - LOG - Staffer Notified ready for pickup From Donated items  Surgical Gowns, 250 ea </t>
  </si>
  <si>
    <t>The Seattle Public Library would like 250 disposable, sleeved gowns (tie-back), which will be used for cleaning (not Tyvek).</t>
  </si>
  <si>
    <t>Warehouse has some of this in stock</t>
  </si>
  <si>
    <t>Warehouse will reach out to SC</t>
  </si>
  <si>
    <t xml:space="preserve"> -------------------------------------------------- Follow Up #2: 04/22/2020 11:19. Matt.Rathke / SEA - LOG - Staffer Additional items from Donations  10 ea Surgical Gowns -------------------------------------------------- Follow Up #1: 04/02/2020 10:42. Matt.Rathke / SEA - LOG - Staffer Notice for delivery 12 boxes - surgical gowns </t>
  </si>
  <si>
    <t>STTL-c8r06o</t>
  </si>
  <si>
    <t>ITD face shields</t>
  </si>
  <si>
    <t xml:space="preserve">Face Shields </t>
  </si>
  <si>
    <t>10 Shields  I need face shields for our staff that go to MEDIC one and Facilities where first responders are working.</t>
  </si>
  <si>
    <t xml:space="preserve"> -------------------------------------------------- Follow Up #1: 04/22/2020 11:16. Matt.Rathke / SEA - LOG - Staffer Notified for pickup -  10 masks with visor/shields  Donated items. </t>
  </si>
  <si>
    <t xml:space="preserve">10 Shields  I need face shields for our staff that go to MEDIC one and Facilities where first responders are working. </t>
  </si>
  <si>
    <t>STTL-rbo2l6</t>
  </si>
  <si>
    <t xml:space="preserve">Police - Surgeon Mask W/Eyeshield </t>
  </si>
  <si>
    <t>Police - Surgeon Mask W/Eyeshield</t>
  </si>
  <si>
    <t xml:space="preserve">Purchase Police - Surgeon Mask W/Eyeshield </t>
  </si>
  <si>
    <t xml:space="preserve">-------------------------------------------------- Follow Up #2: 04/22/2020 10:46. Matt.Rathke / SEA - LOG - Staffer Notified 250 masks, with face shields ready for pickup  From Donated items -------------------------------------------------- Follow Up #1: 03/23/2020 17:12. Matt.Rathke / SEA - LOG - Staffer Update assignment - new part of the 14 PPE </t>
  </si>
  <si>
    <t>Part number 811382015298 Surgeon Mask with eye shield.  We can use any brand.  Usually 25 per box and we need 10 boxes.</t>
  </si>
  <si>
    <t>STTL-54h49n</t>
  </si>
  <si>
    <t>Parks 5 - 55 gallon drums of hand sanitizer</t>
  </si>
  <si>
    <t>Five - 55 gallon drums of hand sanitizer</t>
  </si>
  <si>
    <t xml:space="preserve"> -------------------------------------------------- Follow Up #1: 04/22/2020 10:50. Matt.Rathke / SEA - LOG - Staffer Notified for pickup -  5 - 55 gallon drums of hand sanitizer </t>
  </si>
  <si>
    <t xml:space="preserve">Requesting 5 of the 55 gallon drums of liquid hand sanitizer for Seattle Parks and Recreation Crews  </t>
  </si>
  <si>
    <t>Parks Hand Sanitizer 55 gallon drums</t>
  </si>
  <si>
    <t>5 - 55 gallon drums of hand sanitizer</t>
  </si>
  <si>
    <t xml:space="preserve"> -------------------------------------------------- Follow Up #1: 04/22/2020 08:07. Pam.Tokunaga / SEA - LOG - Supplies and Equipment We let the supplier know we would not be returning the 10 - 55 gallon drums, Parks will take them. Nothing more for PC to do. </t>
  </si>
  <si>
    <t>STTL-4oaajh</t>
  </si>
  <si>
    <t>Covid19 virus detection kits, nasal swab</t>
  </si>
  <si>
    <t>Covid19 virus test kits</t>
  </si>
  <si>
    <t>Purchasing 30,270 kits from 3rd party vendor Three By Three info@threebythree.com 206.784.5839</t>
  </si>
  <si>
    <t xml:space="preserve"> -------------------------------------------------- Follow Up #1: 04/21/2020 13:54. Pam.Tokunaga / SEA - LOG - Supplies and Equipment Order was cancelled on 4/20/2020. </t>
  </si>
  <si>
    <t>Disposable Virus Sampling kit, tube w/cab + nasal swab, 3ml preservation fluid 30000 units</t>
  </si>
  <si>
    <t>STTL-tba3ml</t>
  </si>
  <si>
    <t>PPE cleaning for Seattle Center staff</t>
  </si>
  <si>
    <t>50 tubes of Clorox Wipes</t>
  </si>
  <si>
    <t>Clorox wipes, 50 each</t>
  </si>
  <si>
    <t xml:space="preserve"> -------------------------------------------------- Follow Up #1: 04/20/2020 11:36. Matt.Rathke / SEA - LOG - Staffer Notified Walt  50 tubes CaviWipes to pickup  None remaining </t>
  </si>
  <si>
    <t>For frontline essential staff working onsite in crews to maintain and operate Seattle Center campus and facilities activated as shelters.</t>
  </si>
  <si>
    <t>STTL-u2jp9x</t>
  </si>
  <si>
    <t>requesting 50 Coronavirus test kits</t>
  </si>
  <si>
    <t>Police - CORONAVIRUS Test Kits</t>
  </si>
  <si>
    <t>SPD has been approved for EMT's to administer tests, requesting 50 Coronavirus test kits</t>
  </si>
  <si>
    <t xml:space="preserve"> -------------------------------------------------- Follow Up #4: 04/17/2020 14:00. Matt.Rathke / SEA - LOG - Staffer King County Health was able to provide 1000 test kits for initial rounds. -------------------------------------------------- Follow Up #3: 03/14/2020 16:46. TJ.McDonald / WebEOC Coordinator Seattle [TJ edit - merging two assignments - this is from 3/12 from the Mutual Aid Unit]  These test kits need to come from the KC Health -------------------------------------------------- Follow Up #2: 03/13/2020 09:20. sam.houghtaling / SEA - LOG - Chief This needs to be pushed up to the county -------------------------------------------------- Follow Up #1: 03/13/2020 08:52. sam.houghtaling / SEA - LOG - Chief  The vendor for getting any COVID19 test kits for Seattle PD would be through Seattle Public Health or King County Public Health.  </t>
  </si>
  <si>
    <t xml:space="preserve">SPD has been authorized to use EMT's for our employee testing and we are requesting 50 Coronavirus test kits.  I do not have access to make, model or cost.  </t>
  </si>
  <si>
    <t>STTL-1uj5ro</t>
  </si>
  <si>
    <t>SPD quarantine for effected staff</t>
  </si>
  <si>
    <t xml:space="preserve">Housing for Firefighters </t>
  </si>
  <si>
    <t>SPD is asking for housing for staff that needs quarantine</t>
  </si>
  <si>
    <t xml:space="preserve"> -------------------------------------------------- Follow Up #1: 04/17/2020 13:58. Matt.Rathke / SEA - LOG - Staffer https://www.seattletimes.com/seattle-news/health/seattle-has-booked-an-entire-downtown-hotel-for-first-responders-to-isolate-and-quarantine-during-coronavirus-pandemic/ </t>
  </si>
  <si>
    <t xml:space="preserve">Official follow up request to FAS to provide 5 separate buildings to house up to 4 fire department members each for a total of 20 members. Separate living quarters such as hotel room with private shower facilities is preferred but congregate living facilities would be acceptable.  Other requirements: restroom, shower, wifi, TV, kitchen or food service, physical security or ability to keep identification limited.  This is a follow up to verbal request yesterday afternoon. </t>
  </si>
  <si>
    <t>SFD staff quarantine housing</t>
  </si>
  <si>
    <t>FAS Purchasing and contracting is working on finding quarantine housing</t>
  </si>
  <si>
    <t xml:space="preserve"> -------------------------------------------------- Follow Up #2: 04/17/2020 13:58. Matt.Rathke / SEA - LOG - Staffer https://www.seattletimes.com/seattle-news/health/seattle-has-booked-an-entire-downtown-hotel-for-first-responders-to-isolate-and-quarantine-during-coronavirus-pandemic/  Executive Hotel Pacific -------------------------------------------------- Follow Up #1: 03/11/2020 14:48. Pam.Tokunaga / SEA - LOG - Supplies and Equipment See attachment below, if you have questions, please call Liz Alzeer at 206-327-2402. NOTE: Reservations have not bee made. </t>
  </si>
  <si>
    <t>STTL-evadcl</t>
  </si>
  <si>
    <t xml:space="preserve">Warehouse delivery van </t>
  </si>
  <si>
    <t>Cargo-delivery van needed for PPE</t>
  </si>
  <si>
    <t>Cargo van 33694 has been made available.</t>
  </si>
  <si>
    <t xml:space="preserve"> -------------------------------------------------- Follow Up #1: 04/17/2020 07:31. Matt.Rathke / SEA - LOG - Staffer Completed Friday 4/10 7:00 PM </t>
  </si>
  <si>
    <t>1 Full size cargo delivery van to pickup and deliver donated PPE to the consolidated warehouse.  Leah Tivoli will be driving</t>
  </si>
  <si>
    <t>STTL-a50y2i</t>
  </si>
  <si>
    <t>DON masks, sanitizer, gloves</t>
  </si>
  <si>
    <t xml:space="preserve">Masks, disposible gloves and hand sanitizer </t>
  </si>
  <si>
    <t xml:space="preserve">25  50 masks and 1 gallon of hand sanitizer and a box of disposable gloves. </t>
  </si>
  <si>
    <t xml:space="preserve"> -------------------------------------------------- Follow Up #2: 04/17/2020 07:09. Matt.Rathke / SEA - LOG - Staffer Jeanne Murphy picked up: Masks, surgical, 1 box Nitrile gloves, Med, 1 box  Order complete -------------------------------------------------- Follow Up #1: 03/24/2020 14:34. sam.houghtaling / SEA - LOG - Chief Gloves and Sanitizer filled, 1 box of surgical masks on BO  Invoice for first order attached  </t>
  </si>
  <si>
    <t>DON request: If possible, we would like to have 25  50 masks and 1 gallon of hand sanitizer and a box of disposable gloves.</t>
  </si>
  <si>
    <t>STTL-gicab8</t>
  </si>
  <si>
    <t>Human Services Department</t>
  </si>
  <si>
    <t xml:space="preserve">See attached spreadsheet </t>
  </si>
  <si>
    <t xml:space="preserve">Material Support for HSD Agancy Shelter Operations </t>
  </si>
  <si>
    <t>Lines 4-8 are Supplies and Equipment unit</t>
  </si>
  <si>
    <t xml:space="preserve"> -------------------------------------------------- Follow Up #1: 04/16/2020 16:18. Matt.Rathke / SEA - LOG - Staffer Passed contract on to HSD for self purchase of remainder </t>
  </si>
  <si>
    <t>Need material items listed below to support 20 HSD programs and shelter capability for Covid response.</t>
  </si>
  <si>
    <t>STTL-enwl96</t>
  </si>
  <si>
    <t>Seattle Animal Control PPE</t>
  </si>
  <si>
    <t>PPE for Seattle Animal Shelter</t>
  </si>
  <si>
    <t>Majority of items are consolidated warehouse items.  I will move Sharps container and shoe covers to Supplies and Equipment</t>
  </si>
  <si>
    <t xml:space="preserve"> -------------------------------------------------- Follow Up #2: 04/16/2020 15:59. Matt.Rathke / SEA - LOG - Staffer Notified items ready for pickup: Clorox wipes, 30 boxes Masks N95, 8 boxes Masks surgical, 6 boxes Tyvek suits w/hood, X-large, 75 Tyvek suits w/hood, 2x-Lrg, 75 Purell, 1 gallon size, 10 -------------------------------------------------- Follow Up #1: 03/26/2020 21:09. Matt.Rathke / SEA - LOG - Staffer Delivered: Facial Tissue, 1 case Hand Soap, 1 box Nitrile gloves, small, 1 box Nitrile gloves, med, 50 boxes Nitrile gloves, Lrg, 4 boxes Paper Towels, 3 cases Toilet Paper, 3 cases  Remaining: Clorox wipes, 6 per/case, 30 each Masks, N95, 8 boxes Masks, surgical, 6 boxes Tyvek suits w/hood, X-large, 75 Tyvek suits w/hood, 2x-Lrg, 75 Purell, 1 gallon size, 10 </t>
  </si>
  <si>
    <t>Face Tissue, Hand Soap, Surgical Masks, Gloves, Gowns, Tyvek Suits, N95 masks, Wipes, Clorox Wipes, Hand sanitizer 2 sizes, Toilet Paper, Trash bags 2 sizes, Sharps containers.  See attached document for specifics</t>
  </si>
  <si>
    <t>STTL-oi0ont</t>
  </si>
  <si>
    <t>8 10x10 pop up tents</t>
  </si>
  <si>
    <t>10 x 10 Canopies for Meal Programs</t>
  </si>
  <si>
    <t xml:space="preserve">The 8 canopies support changes to continue providing meals for those enduring homelessness and food insecurity and follow Public Health COVID-19 guidance. Meals are now take out and the canopies will enable guests shelter from the elements while maintaining social distancing.  </t>
  </si>
  <si>
    <t xml:space="preserve"> -------------------------------------------------- Follow Up #2: 04/16/2020 15:57. Presley.Palmer / SEA - LOG - Supplies and Equipment Order placed under Home Depot blanket contract per email dated 4/6 (Jill Watson) -------------------------------------------------- Follow Up #1: 04/02/2020 17:35. Presley.Palmer / SEA - LOG - Supplies and Equipment HSD will be purchasing these under the City's blanket contract 2952:  My Email to Jill:  Home Depot Area Tents  we have two incident numbers pending: STTL-x8tzm9 Ten (10) 12x12 pop up tents and STTL-oi0ont -8 each - 10 x 10 canopies. Alex at Home Depot said they have these available under our contract# 2952.  Per our conversation HSD will be purchasing themselves under the contract which I will note in the tickets. I will keep status open until you confirm that orders have been placed just in case stocking levels have changed.  I will change status to complete once order is confirmed. </t>
  </si>
  <si>
    <t xml:space="preserve">Sample link: https://www.ezup.com/ambassador.html Deliver to FAS  NW warehouse The 8 canopies support changes to continue providing meals for those enduring homelessness and food insecurity and follow Public Health COVID-19 guidance. Meals are now take out and the canopies will enable guests shelter from the elements while maintaining social distancing.  Phinney Neighborhood Association, 2 sites: Greenwood Senior Center 525 N. 85th Street, Seattle, WA  98103  St. John's United Lutheran Church 5515 Phinney Ave. North, Seattle, WA  98103  </t>
  </si>
  <si>
    <t>STTL-vqu8ur</t>
  </si>
  <si>
    <t>Parks Nitrile Gloves</t>
  </si>
  <si>
    <t>Parks Department Nitrile Gloves</t>
  </si>
  <si>
    <t>Procure Nitrile Gloves for Parks 6 boxes Med 6 Boxes Lrg 6 Boxes XL</t>
  </si>
  <si>
    <t xml:space="preserve"> -------------------------------------------------- Follow Up #2: 04/16/2020 15:48. Matt.Rathke / SEA - LOG - Staffer Notified ready for pickup 3/24/2020  Nitrile gloves, Med, 6 boxes Nitrile gloves, Large, 6 boxes Nitrile gloves, Xlarge, 6 boxes -------------------------------------------------- Follow Up #1: 03/24/2020 14:19. Matt.Rathke / SEA - LOG - Staffer Updated assignment </t>
  </si>
  <si>
    <t>6 boxes med nitrile gloves 6 boxes Lrg nitrile gloves 6 boxes XL nitrile gloves</t>
  </si>
  <si>
    <t>STTL-rs50vb</t>
  </si>
  <si>
    <t>GLoves for Parks Workers, 1000 each size</t>
  </si>
  <si>
    <t xml:space="preserve">Supplies for Community Center Shelter Operations-PPE GLOVES </t>
  </si>
  <si>
    <t>Nitrile gloves  1000 XL=10 boxes 1000 L=10 boxes 1000 M=10 boxes 1000 S =10 boxes</t>
  </si>
  <si>
    <t xml:space="preserve"> -------------------------------------------------- Follow Up #1: 04/16/2020 15:28. Matt.Rathke / SEA - LOG - Staffer Notified Larry Henderson / Justin Culter items ready for pickup  Nitrile gloves, Small 10 boxes Nitrile gloves, Med 10 boxes Nitrile gloves, Large 10 boxes Nitrile gloves, xlarge 10 boxes </t>
  </si>
  <si>
    <t>PPE Gloves for shelter workers that will be operating at Parks Community Centers  1000 XL 1000 L 1000 M 1000S</t>
  </si>
  <si>
    <t>STTL-x8tzm9</t>
  </si>
  <si>
    <t>Ten (10) 12x12 pop up tents</t>
  </si>
  <si>
    <t>12 x 12 Canopies for Meal Program</t>
  </si>
  <si>
    <t xml:space="preserve">Sample link: https://www.homedepot.com/p/Everbilt-12-ft-x-12-ft-Blue-Mega-Shade-Pop-Up-Canopy-with-Grey-Trim-NS-PUG-144-150D/310058366  Deliver to default FAS warehouse  The 10 canopies support changes to continue providing meals for those enduring homelessness and food insecurity and follow Public Health COVID-19 guidance. Meals are now take out and the canopies will enable guests shelter from the elements while maintaining social distancing. </t>
  </si>
  <si>
    <t xml:space="preserve">-------------------------------------------------- Follow Up #1: 04/02/2020 17:32. Presley.Palmer / SEA - LOG - Supplies and Equipment HSD will be purchasing these under the City's blanket contract 2952:  My Email to Jill:  Home Depot Area Tents  we have two incident numbers pending: STTL-x8tzm9 Ten (10) 12x12 pop up tents and STTL-oi0ont -8 each - 10 x 10 canopies. Alex at Home Depot said they have these available under our contract# 2952.  Per our conversation HSD will be purchasing themselves under the contract which I will note in the tickets. I will keep status open until you confirm that orders have been placed just in case stocking levels have changed.  I will change status to complete once order is confirmed.  </t>
  </si>
  <si>
    <t>Sample link: https://www.homedepot.com/p/Everbilt-12-ft-x-12-ft-Blue-Mega-Shade-Pop-Up-Canopy-with-Grey-Trim-NS-PUG-144-150D/310058366 Deliver to default FAS warehouse The 10 canopies support changes to continue providing meals for those enduring homelessness and food insecurity and follow Public Health COVID-19 guidance. Meals are now take out and the canopies will enable guests shelter from the elements while maintaining social distancing.  For Community Lunch on Capitol Hill 1710 11th Ave, Seattle 98122 If delivery is possible, site contact is: Jeff Wolcott; 425-260-7131; director@communitylunch.org,  Central Lutheran Church - 1710 11th Ave/Cal Anderson Park.</t>
  </si>
  <si>
    <t>STTL-hubo04</t>
  </si>
  <si>
    <t>Masks, N95 for SPL custodial staff</t>
  </si>
  <si>
    <t>SPL Request for N95 Respirators</t>
  </si>
  <si>
    <t xml:space="preserve">300 N95 respirators needed by The Seattle Public Library for use by custodial staff cleaning potentially COVID-19 contaminated public and work spaces. </t>
  </si>
  <si>
    <t xml:space="preserve"> -------------------------------------------------- Follow Up #2: 04/16/2020 14:10. Matt.Rathke / SEA - LOG - Staffer Notified Amanda: Masks N95, 15 boxes  Masks with visors, 200 ea  Ready for pickup -------------------------------------------------- Follow Up #1: 04/13/2020 12:55. Presley.Palmer / SEA - LOG - Supplies and Equipment Spoke with Amanda at SPL and she is willing to take KN95 masks which are on order, Ref: PO FA0-041322-PT. </t>
  </si>
  <si>
    <t>300 N95 respirators needed by The Seattle Public Library for use by custodial staff cleaning potentially COVID-19 contaminated public and work spaces.</t>
  </si>
  <si>
    <t>STTL-g9sygi</t>
  </si>
  <si>
    <t>SPU would like 1000 face shields</t>
  </si>
  <si>
    <t>SPU would like face shields, 1000 ea</t>
  </si>
  <si>
    <t xml:space="preserve">-------------------------------------------------- Follow Up #2: 04/16/2020 13:55. Matt.Rathke / SEA - LOG - Staffer Notified Claudette of face shields to pickup. -------------------------------------------------- Follow Up #1: 04/10/2020 13:02. Matt.Rathke / SEA - LOG - Staffer Notified of pickup :  200 masks with visors  800 remaining. </t>
  </si>
  <si>
    <t>Requesting 1,000 units of face shields.</t>
  </si>
  <si>
    <t xml:space="preserve">1000 face shields </t>
  </si>
  <si>
    <t>To be ordered, delivered to the Warehouse</t>
  </si>
  <si>
    <t xml:space="preserve"> -------------------------------------------------- Follow Up #4: 04/16/2020 13:54. Matt.Rathke / SEA - LOG - Staffer Received 4/15/2020 -------------------------------------------------- Follow Up #3: 04/16/2020 10:46. Matt.Rathke / SEA - LOG - Staffer Warehouse received 1000 face shields  Filling SPU's request and stocking remaining. -------------------------------------------------- Follow Up #2: 04/10/2020 13:37. Matt.Rathke / SEA - LOG - Staffer Notified Claudette that Items can be picked up Silver Alum Cap Style Adapter - 100 ea Clear Visor PETG faceshield, 65 ea Visor 9x15, 35 ea  -------------------------------------------------- Follow Up #1: 04/10/2020 07:29. Presley.Palmer / SEA - LOG - Supplies and Equipment 200 from current warehouse stock to partially fill order; the remaining is being ordered today. Delay was due to know clear on what type was being requested. After talking to requester, they would prefer the one's for hard hats but are willing to take any.  </t>
  </si>
  <si>
    <t>STTL-ru2sji</t>
  </si>
  <si>
    <t>SDCI - 80 bottle of hand sanitizer</t>
  </si>
  <si>
    <t>Hand sanitizer for SDCI</t>
  </si>
  <si>
    <t xml:space="preserve">60 bottles of 2oz 24 bottles of 16.9 oz </t>
  </si>
  <si>
    <t xml:space="preserve"> -------------------------------------------------- Follow Up #1: 04/16/2020 10:49. Matt.Rathke / SEA - LOG - Staffer Notified Charles that Hand Sanitizer is ready for pickup  60 bottles at 2 oz 24 bottles at 16.9 oz  </t>
  </si>
  <si>
    <t>SDCI staff need hand sanitizer, various sizes  80 bottles</t>
  </si>
  <si>
    <t>STTL-8nb99w</t>
  </si>
  <si>
    <t>Seattle Housing Authority PPE Request</t>
  </si>
  <si>
    <t>Seattle Housing Authority PPE</t>
  </si>
  <si>
    <t>Per Office of Emergency Management request, Seattle Housing Authority is unable to obtain critical PPE through regular vendors channels. SHA serves 90,000 residents in Seattle with staff working daily in units with tenants. Assist SHA with obtaining the following critical PPE items:  1736 - 2,000 EA N95 or alternative 911 - 1,000 EA Tyvek Suits  SHA able to do direct pay with invoice.</t>
  </si>
  <si>
    <t xml:space="preserve"> -------------------------------------------------- Follow Up #1: 04/14/2020 11:58. Matt.Rathke / SEA - LOG - Staffer Referred to purchasing. </t>
  </si>
  <si>
    <t xml:space="preserve">Per Office of Emergency Management request, Seattle Housing Authority is unable to obtain critical PPE through regular vendors channels. SHA serves 90,000 residents in Seattle with staff working daily in units with tenants.  Assist SHA with obtaining the following critical PPE items:  1736 - 2,000 EA N95 or alternative 911 - 1,000  EA Tyvek Suits  SHA able to do direct pay with invoice. </t>
  </si>
  <si>
    <t>Resource vendor referral</t>
  </si>
  <si>
    <t>Since the financial piece of this relationship is not defined, we decided to assist SHA with vendors that would have supply immediately. 4/13/20 - Pam T. reached out to Jena Richmond to connect her with Bartells corporate on masks. Jena replied that they had found masks cheaper through Amazon... 4/14/20 Pam T. referred two vendors to Jena that had stock available for Tyvek suits.  This request is complete.</t>
  </si>
  <si>
    <t>STTL-vrkvok</t>
  </si>
  <si>
    <t>Surgical Masks for SDOT operations</t>
  </si>
  <si>
    <t>SDOT supply request</t>
  </si>
  <si>
    <t>SDOT COOP plan staffing PPE Surgical masks  15 boxes (50 masks/box) = 750 units</t>
  </si>
  <si>
    <t xml:space="preserve"> -------------------------------------------------- Follow Up #1: 04/14/2020 10:47. Matt.Rathke / SEA - LOG - Staffer Surgical Masks, 8 boxes, 750 units completed </t>
  </si>
  <si>
    <t xml:space="preserve">SDOT is requesting: Surgical masks  15 boxes (50 masks/box)  SDOT needs the supplies to continue our Mission Essential Functions as part of the Citys continuity of operations plan (COOP):  	Maintain arterial operations and mitigate hazards in the right-of-way (ROW)  	Maintain moveable bridge operations and maintenance  	Maintain structural assets due to unexpected failure (I.e. emergency inspections, repair, construction)  	Issue permits and conduct inspections only for essential work (note that while our Street Use and Traffic permit counters in SMT are currently closed to the public, permits are available by phone and online)  	Continue work on public works capital projects under construction where this can be done safely  </t>
  </si>
  <si>
    <t>STTL-so3yf4</t>
  </si>
  <si>
    <t>PPE for SFD Fire Alarm staff</t>
  </si>
  <si>
    <t>Hand Sanitizer and Gloves</t>
  </si>
  <si>
    <t>Gloves, nitrile black XXL gloves GP, 20 boxes (2 cases) Hand Sanitizer in stock - 1Tote  Gloves GP, nitrile XL, 50 boxes (5 cases) Gloves GP, nitrile large 50 boxes (5 cases) Gloves GP, nitrile - medium, 30 boxes - (3 cases)</t>
  </si>
  <si>
    <t xml:space="preserve"> -------------------------------------------------- Follow Up #1: 04/13/2020 08:35. evan.cobb / SEA - LOG - FAS All ordered items have been shipped. Order complete. </t>
  </si>
  <si>
    <t xml:space="preserve">gloves for admin and Fire Alarm Center  If there are microflex black gloves available that would be our choice. If not any black glove.  </t>
  </si>
  <si>
    <t>STTL-1j4dmg</t>
  </si>
  <si>
    <t>PPE for fire alarm center</t>
  </si>
  <si>
    <t>misc items</t>
  </si>
  <si>
    <t>Nitrile gloves - GP, med, 1 box Purell, 12 oz, 24 ea  Provided to SFD - 4/9/20</t>
  </si>
  <si>
    <t>1 box black gloves  1 box 2 oz sanitizer</t>
  </si>
  <si>
    <t>Dividing request between warehouse and purchasing</t>
  </si>
  <si>
    <t>Need to go through list and decide between warehouse allocation and purchasing</t>
  </si>
  <si>
    <t xml:space="preserve"> -------------------------------------------------- Follow Up #3: 04/09/2020 16:01. Presley.Palmer / SEA - LOG - Supplies and Equipment This order is for Hygiene Kits. Provided options for Jill on 4/8. Waiting to see if they will purchase themselves or will we purchase and bill back.  Will also need to confirm about the mops and mop buckets. -------------------------------------------------- Follow Up #2: 03/25/2020 16:38. Matt.Rathke / SEA - LOG - Staffer Handed off to Warehouse and purchasing -------------------------------------------------- Follow Up #1: 03/23/2020 13:11. Stephen.McKenzie / SEA - LOG - Staffer Reassigned to Parks for pickup and delivery coordination.  Kyle Griggs - 206-434-0865 Will Beatie - 206-684-7387 Cots and blankets are CANCELLED, they have been removed from list </t>
  </si>
  <si>
    <t>Supplies to support human services agencies</t>
  </si>
  <si>
    <t xml:space="preserve">Purchase goods detailed in the attachment.  </t>
  </si>
  <si>
    <t xml:space="preserve"> -------------------------------------------------- Follow Up #3: 04/09/2020 15:40. Presley.Palmer / SEA - LOG - Supplies and Equipment This order was filled by order specific to and billed to HSD.  -------------------------------------------------- Follow Up #2: 03/30/2020 13:23. Matt.Rathke / SEA - LOG - Staffer Splitting request into two pieces (Distribution Management Branch for 16 PPE items -------------------------------------------------- Follow Up #1: 03/23/2020 14:32. Pam.Tokunaga / SEA - LOG - Supplies and Equipment Most of the items were ordered from Keeney's on 3/5/2020. They were not able to provide large hand sanitizer or procedure masks w/ear loops. These items were found from other vendors.  Please see the attached order from Keeney's </t>
  </si>
  <si>
    <t>HSD Food Bank / Meal Program</t>
  </si>
  <si>
    <t xml:space="preserve">To be Ordered:  280 - Bleach 1 gal container 700  Gloves M food handling, Box 100 pr 700  Gloves L food handling, Box 100 pr 200  Paper Grocery bags Lg, pack (https://store.keeneys.com/ProductDetails.aspx?id=150&amp;prodid=1027994&amp;sku=BAGSK1670EZ300&amp;bcuse=1&amp;index=18&amp;BB=SL  37  Paper Grocery bags Sm, pack (https://store.keeneys.com/ProductDetails.aspx?id=150&amp;prodid=1027928&amp;sku=BAGGX12500&amp;bcuse=1&amp;index=19&amp;BB=SL)  375  To-go containers (cold food), cases (https://www.webstaurantstore.com/fold-pak-03bpdineem-bio-plus-dine-8-x-6-x-2-white-microwavable-paper-3-take-out-container-case/795BPDINEEM3.html)  500  Togo containers (hot food), cases (https://www.webstaurantstore.com/ecochoice-9-x-9-x-3-biodegradable-compostable-sugarcane-bagasse-3-compartment-takeout-container-case/395TO993.html) </t>
  </si>
  <si>
    <t xml:space="preserve"> -------------------------------------------------- Follow Up #3: 04/09/2020 15:25. Presley.Palmer / SEA - LOG - Supplies and Equipment Order Completed with less than what was requested . HSD agreed to open a new ticket if  more is needed. Email date 4/9  -------------------------------------------------- Follow Up #2: 04/02/2020 14:16. Presley.Palmer / SEA - LOG - Supplies and Equipment Assigned request to David Mclean -------------------------------------------------- Follow Up #1: 03/23/2020 15:13. Matt.Rathke / SEA - LOG - Staffer  Revised order per Jill: 280 - Bleach 1 gal container (280 total gallons) 700  Gloves M food handling, Box 100 pr (700x100=70,000 total) 700  Gloves L food handling, Box 100 pr (700x100=70,000 total)  200  Paper Grocery bags Lg, pack 300 ea (200x300=60,000 total) (https://store.keeneys.com/ProductDetails.aspx?id=150&amp;prodid=1027994&amp;sku=BAGSK1670EZ300&amp;bcuse=1&amp;index=18&amp;BB=SL  37  Paper Grocery bags Sm, pack 500ea (37x500=18,500 total) (https://store.keeneys.com/ProductDetails.aspx?id=150&amp;prodid=1027928&amp;sku=BAGGX12500&amp;bcuse=1&amp;index=19&amp;BB=SL)  375  To-go containers (cold food), cases 375ea (375x160=60,000) (https://www.webstaurantstore.com/fold-pak-03bpdineem-bio-plus-dine-8-x-6-x-2-white-microwavable-paper-3-take-out-container-case/795BPDINEEM3.html)  400  Togo containers (hot food), cases 200 ea (400X200=80,000) https://www.webstaurantstore.com/ecochoice-9-x-9-x-3-biodegradable-compostable-sugarcane-bagasse-3-compartment-takeout-container-case/395TO993.html)  70  Garbage Bags 30 gal, boxes  100 per box (70x100=7,000)  </t>
  </si>
  <si>
    <t>See attached spreadsheet</t>
  </si>
  <si>
    <t>Lines 9-12 are for Distribution management</t>
  </si>
  <si>
    <t xml:space="preserve"> -------------------------------------------------- Follow Up #3: 04/09/2020 13:12. Matt.Rathke / SEA - LOG - Staffer Notified Jim - ready for pickup Masks, surgical, 35 boxes Purell, 12 oz, 100 each  -------------------------------------------------- Follow Up #2: 04/03/2020 13:52. Matt.Rathke / SEA - LOG - Staffer Ready for pickup: Masks, surgical, 5 boxes Purell, 12oz, 100 each -------------------------------------------------- Follow Up #1: 03/25/2020 15:13. Matt.Rathke / SEA - LOG - Staffer Nitirile Gloves, small, 5 Boxes Nitirile Gloves, Med, 5 Boxes Nitirile Gloves Large, 15 Boxes Nitirile Gloves X-Lrg, 15 Boxes Paper Towels, case, 100 Cases  Back Order - Masks, surgical 40 boxes Purell, 12 oz bottles, 200 each </t>
  </si>
  <si>
    <t>STTL-dkkobp</t>
  </si>
  <si>
    <t>Supplies for for HSD home case managers</t>
  </si>
  <si>
    <t>HSD/ADS In Home Care Hygiene Supplies</t>
  </si>
  <si>
    <t>Required supplies for HSD Aging and Disability Services in home case managers of vulnerable aging populations (600 clients assessments/mo), the ADS case management office, HSD Navigation Team and YFE Customer Service Unit. Also hygiene supplies for HSD staff in SMT and Central Building. Gloves - urgent N95 and Surgical Masks - urgent Disinfectant wipes -urgent Hand Sanitizer Facial tissue Paper Towels (tri fold)</t>
  </si>
  <si>
    <t xml:space="preserve"> -------------------------------------------------- Follow Up #4: 04/09/2020 13:10. Matt.Rathke / SEA - LOG - Staffer Notified Susan 50 ea, Clorox Wipes Purell, 12 oz bottle, 200 each  finished -------------------------------------------------- Follow Up #3: 04/03/2020 15:33. Matt.Rathke / SEA - LOG - Staffer Ready for Pickup 4/3 @ 12:45 Clorox wipes, 24 ea Masks, surgical 1 box Purell, 1 gallon, 25 ea  Remaining? Paper Towels, N95 masks? -------------------------------------------------- Follow Up #2: 03/25/2020 14:23. Matt.Rathke / SEA - LOG - Staffer Facial Tissue, 2 cases Gloves, Nitrile small, 5 boxes Gloves, Nitrile Med, 5 boxes Purell, 12 oz, 200 each  REady for pickup @2:15 pm -------------------------------------------------- Follow Up #1: 03/25/2020 10:34. Matt.Rathke / SEA - LOG - Staffer Re-assigned to warehouse </t>
  </si>
  <si>
    <t>See emailed spreadsheet. Required supplies for HSD Aging and Disability Services in home case managers of vulnerable aging populations (600 clients assessments/mo), the ADS case management office, HSD Navigation Team and YFE Customer Service Unit. Also hygiene supplies for HSD staff in SMT and Central Building. Gloves - urgent N95 and Surgical Masks - urgent Disinfectant wipes -urgent Hand Sanitizer Facial tissue Paper Towels (tri fold) Backup contacts: Susan McCallister cell: 206-735-0603; Hilary Cross for ADS gloves, masks, etc (hillary.cross@seattle.gov or 206-615-0536</t>
  </si>
  <si>
    <t>STTL-lpy6jg</t>
  </si>
  <si>
    <t>SDHR</t>
  </si>
  <si>
    <t>SDHR PPE for mail handling</t>
  </si>
  <si>
    <t>SMT Staff Request: Golves, Sanitizer</t>
  </si>
  <si>
    <t xml:space="preserve">- latex (or common use material) gloves for mail handling. 10 Boxes  - Hand sanitizer for office staff to refill the small dispensers on floors 54 and 55 </t>
  </si>
  <si>
    <t xml:space="preserve"> -------------------------------------------------- Follow Up #1: 04/09/2020 09:52. Matt.Rathke / SEA - LOG - Staffer Notified customer for pickup: Nitrile gloves, sm, 2 boxes Nitrile gloves, lrg 3 boxes Nitrile gloves, med 3 boxes Nitrile gloves, xlrg, 2 boxes  Purell, one 1 gallon container </t>
  </si>
  <si>
    <t>Need to deliver mail and some staff must report to SMT.  requesting:  - latex (or common use material) gloves for mail handling. 10  Boxes - Hand sanitizer for office staff to refill the small dispensers on floors 54 and 55</t>
  </si>
  <si>
    <t>STTL-ahn5vy</t>
  </si>
  <si>
    <t>Coordinate resources within EOC logistics</t>
  </si>
  <si>
    <t>Field Hosptial</t>
  </si>
  <si>
    <t>Meeting with military representatives 3/25 @ 1700</t>
  </si>
  <si>
    <t xml:space="preserve">LOGS -  NOTE THIS WAS DIRECT ENTERED INTO THE STATE WEBEOC By K NEAFCY.  See attached for details. **** 	Per communications (dated 3/22/2020) between Seattle Mayor Durkan and Peter Gaynor, FEMA Administrator and Mike O'Hare, FEMA Regional Director. Requesting the following capability in Seattle: 1000 bed field hospital All staff (medical and non-medical) needed to operate All wrap around and support services </t>
  </si>
  <si>
    <t>Location for Field Hospital</t>
  </si>
  <si>
    <t>Working with military representatives to select best location for this deployment</t>
  </si>
  <si>
    <t>Purchasing ready to coordinate Hotel/Lodging</t>
  </si>
  <si>
    <t>Purchasing coordinate reservation.</t>
  </si>
  <si>
    <t>STTL-k2cud1</t>
  </si>
  <si>
    <t xml:space="preserve">Quarantine / Isolation Location - SPD Officers </t>
  </si>
  <si>
    <t>Quarantine / Isolation Location - SPD Officers</t>
  </si>
  <si>
    <t>Location for SPD Officers who are exposed or sickened at work, and need quarantine or isolation and are unable to go home.  This location would need to be available to the officers for 14 days.  The location must be able to house single occupancy and up, but one location can be used for a single event of exposure needing quarantine or isolation.  We need availability for 10 total events.  Other requirements:  restroom, shower, wifi, TV, kitchen or food service, physical security or ability to keep identification limited.  Suggestions:  manufactured home, hotel, dormatory, WSP fire academy, joint base fort Lewis/Macchord.</t>
  </si>
  <si>
    <t xml:space="preserve"> -------------------------------------------------- Follow Up #1: 04/08/2020 16:37. Matt.Rathke / SEA - LOG - Staffer Executive Hotel Pacific </t>
  </si>
  <si>
    <t>STTL-z9f7to</t>
  </si>
  <si>
    <t>Hand cleaning station at SPD range</t>
  </si>
  <si>
    <t>Police - URGENT - Washing Station</t>
  </si>
  <si>
    <t>Hand cleaning station needed as a part of the Covid testing for Public Safety personel</t>
  </si>
  <si>
    <t xml:space="preserve"> -------------------------------------------------- Follow Up #2: 04/08/2020 16:35. Matt.Rathke / SEA - LOG - Staffer SPD picked up sink(s) from Fair that night. -------------------------------------------------- Follow Up #1: 03/27/2020 15:48. Matt.Rathke / SEA - LOG - Staffer Identified Washington State Fair as source for portable sinks, contacted COO and was able to borrow some to meet the need, until ADA units can be located. </t>
  </si>
  <si>
    <t>ADA Washing station for testing site (request 1 of 2)</t>
  </si>
  <si>
    <t>STTL-mdzaoz</t>
  </si>
  <si>
    <t>SFD - 12 containers Clorox wipes</t>
  </si>
  <si>
    <t>Lysol/Clorox Wipes</t>
  </si>
  <si>
    <t>12 Clorox wipe containers/tubes</t>
  </si>
  <si>
    <t xml:space="preserve"> -------------------------------------------------- Follow Up #1: 04/08/2020 15:18. Matt.Rathke / SEA - LOG - Staffer Notified Sheila  12 tubes of Clorox wipes ready. </t>
  </si>
  <si>
    <t>12 tubes clorox/lysol wipes</t>
  </si>
  <si>
    <t>STTL-oqomzr</t>
  </si>
  <si>
    <t>N95 masks for frontline staff</t>
  </si>
  <si>
    <t>Fleet Management N95 masks</t>
  </si>
  <si>
    <t>Fleets front line staff need PPE when working with public facing vehicles</t>
  </si>
  <si>
    <t xml:space="preserve"> -------------------------------------------------- Follow Up #1: 04/08/2020 09:43. Matt.Rathke / SEA - LOG - Staffer Ready for pickup-  10 boxes N95, masks </t>
  </si>
  <si>
    <t xml:space="preserve">FAS Fleet Management staff need 10 boxes (100 ea) </t>
  </si>
  <si>
    <t>STTL-ikqre4</t>
  </si>
  <si>
    <t>Fleet Management - sanitary wipes, hand sanitizer</t>
  </si>
  <si>
    <t>FAS Fleet Management - sanitary wipes, hand sanitizer</t>
  </si>
  <si>
    <t>Fleet Management needs re-supply of sanitary wipes when servicing city vehicles and 12 oz hand sanitizer.  60 containers wipes 25 - 12oz hand sanitizer Hand Sanitizer, 4 gallons</t>
  </si>
  <si>
    <t xml:space="preserve">-------------------------------------------------- Follow Up #2: 04/08/2020 09:39. Matt.Rathke / SEA - LOG - Staffer Ready for pickup, 9:00am 60 containers, Clorox wipes -------------------------------------------------- Follow Up #1: 04/06/2020 10:37. Matt.Rathke / SEA - LOG - Staffer Picked up: Hand Sanitizer, four (4) gallon containers </t>
  </si>
  <si>
    <t>FAS FM needs sanitary wipes to clean vehicles and shop surfaces.  60 containers of wipes.  25 containers of 12 oz hand sanitizer.</t>
  </si>
  <si>
    <t>240 units</t>
  </si>
  <si>
    <t>sent email back to requestor for clarification on numbers</t>
  </si>
  <si>
    <t xml:space="preserve">-------------------------------------------------- Follow Up #2: 03/31/2020 16:15. Matt.Rathke / SEA - LOG - Staffer Transferred to Distribution Management Branch -------------------------------------------------- Follow Up #1: 03/20/2020 09:51. Matt.Rathke / SEA - LOG - Staffer 240 units </t>
  </si>
  <si>
    <t>STTL-9tu8wc</t>
  </si>
  <si>
    <t>Moving forklit</t>
  </si>
  <si>
    <t>8000 lb forklift needed at PPE warehouse</t>
  </si>
  <si>
    <t>Forklift in the FAS central warehouse moving to Consolidated warehouse.  Fleets tow truck doing the work</t>
  </si>
  <si>
    <t xml:space="preserve"> -------------------------------------------------- Follow Up #1: 04/06/2020 10:38. Matt.Rathke / SEA - LOG - Staffer Delivered 10:00 am </t>
  </si>
  <si>
    <t>Smaller forklift needed for material control</t>
  </si>
  <si>
    <t>STTL-l40vkh</t>
  </si>
  <si>
    <t>Supply resources to DPR for Pritchard Beach Center cleaning</t>
  </si>
  <si>
    <t>Parks request for cleaning resources</t>
  </si>
  <si>
    <t>DPR is short on janitorial staff, Pritchard Beach Center will be used for shower facilities for homeless in Covid19 quarantine situation.  Mike A. was able to recommend a vendor (Northwest Center) that is experienced in enhanced COVID cleaning procedures to fill this need.</t>
  </si>
  <si>
    <t>Parks is short staffed and need janitorial assistance with the Pritchard Beach Center shower facility cleaning.</t>
  </si>
  <si>
    <t>STTL-1zxtxs</t>
  </si>
  <si>
    <t>BNL room approval</t>
  </si>
  <si>
    <t>Approval to use Bertha Knight Landis for Sheltering</t>
  </si>
  <si>
    <t>Mike Ashbrook in Facilities is working on getting approval for use</t>
  </si>
  <si>
    <t xml:space="preserve"> -------------------------------------------------- Follow Up #2: 04/03/2020 14:07. Matt.Rathke / SEA - LOG - Staffer Fire Marshall approval, Salvation Army is running the program -------------------------------------------------- Follow Up #1: 03/09/2020 15:33. TJ.McDonald / WebEOC Coordinator Seattle Mike Ashbrook contacted Lt. Wyatt at SFD to ask about fire code implications for having people shelter overnight in Bertha Knight Landes room. When using BKL as an option in the past, SFD has identified fire code issues and proper life safety equipment in that room. </t>
  </si>
  <si>
    <t>Need approval to use Bertha Knight Landis to support social distancing of the evening City Hall shelter run by Salvation Army. City Hall shelter has second highest concentration of older adults in regional shelter system and using this room the Salvation Army will be able to spread people out in alignment with PHSKC guidelines. This room would be needed starting tonight.</t>
  </si>
  <si>
    <t>STTL-dinqbj</t>
  </si>
  <si>
    <t>Facial Tissue for SFD at testing sites</t>
  </si>
  <si>
    <t>Kleenex</t>
  </si>
  <si>
    <t>Kleenex or Tissue for patient clean up at testing sites.  Kleenex  Case of 36 2</t>
  </si>
  <si>
    <t xml:space="preserve"> -------------------------------------------------- Follow Up #2: 04/03/2020 13:40. Matt.Rathke / SEA - LOG - Staffer Remainder of facial tissue order ready for pickup: Facial Tissue, 4 cases -------------------------------------------------- Follow Up #1: 03/27/2020 16:05. Matt.Rathke / SEA - LOG - Staffer Notified Sundae @ 14:00 4 cases ready for pickup </t>
  </si>
  <si>
    <t>Kleenex or Tissue for patient clean up at testing sites.</t>
  </si>
  <si>
    <t>STTL-82332d</t>
  </si>
  <si>
    <t>Seattle ITD - PPE</t>
  </si>
  <si>
    <t>Needed supplies</t>
  </si>
  <si>
    <t xml:space="preserve">Gloves, M 3 boxes Gloves, S 2 boxes Purell 1200 ml stand refill - 10 Purell 12 oz bottle, 20 Trash bags, 2 </t>
  </si>
  <si>
    <t xml:space="preserve"> -------------------------------------------------- Follow Up #3: 04/03/2020 13:38. Matt.Rathke / SEA - LOG - Staffer Ready for pickup: Clorox wipes, 20 ea Masks, N95, 10 boxes Masks, surgical, 3 boxes Purell, 12oz bottles, 20 ea  Remaining: Purell 1200 ml stand refills, 10 ea -------------------------------------------------- Follow Up #2: 04/03/2020 11:54. Matt.Rathke / SEA - LOG - Staffer For Pickup 4/3/20 @12:00 : Clorox Wipes, 20 ea Masks, N95 10 boxes Masks, Surgical, 3 boxes Purell, 12 oz bottles, 20 ea  Remaining: Purell 1200 ml stand refill, 10 ea -------------------------------------------------- Follow Up #1: 03/27/2020 15:06. Matt.Rathke / SEA - LOG - Staffer Gloves, Sml 2 boxes Gloves, Med 3 boxes Gloves, Large 3 boxes  Ready for pickup </t>
  </si>
  <si>
    <t>Please see attachment for needed supplies for field technicians and staff</t>
  </si>
  <si>
    <t>STTL-c2negq</t>
  </si>
  <si>
    <t>Cots, Bariatric Cots, and Blankets to FP</t>
  </si>
  <si>
    <t>80 Cots/160 Blankets to Fisher Pavilion</t>
  </si>
  <si>
    <t>Deliver cots and blankets to Fischer Pavilion</t>
  </si>
  <si>
    <t xml:space="preserve"> -------------------------------------------------- Follow Up #2: 04/03/2020 13:03. Matt.Rathke / SEA - LOG - Staffer Cots and blankets have been delivered -------------------------------------------------- Follow Up #1: 04/03/2020 07:29. Matt.Rathke / SEA - LOG - Staffer Warehouse and HSD are working out logistics - Warehouse can't deliver at the moment </t>
  </si>
  <si>
    <t>The following items need to be delivered Friday from one of the City's shelter caches to Fisher Pavilion to support COVID-19 sheltering response: - 70 cots - 10 bariatric cots - 160 blankets</t>
  </si>
  <si>
    <t>STTL-vwfmt9</t>
  </si>
  <si>
    <t>2 Thermometers for HSD Miller Comm Ctr</t>
  </si>
  <si>
    <t>2 Electronic Thermometers for Miller CC Shelter</t>
  </si>
  <si>
    <t>Need to be able to take temperatures at the Miller Community Center shelter as soon as possible. Need:  - 2 Electronic Thermometers at Miller Community Center</t>
  </si>
  <si>
    <t xml:space="preserve"> -------------------------------------------------- Follow Up #3: 04/03/2020 11:49. Presley.Palmer / SEA - LOG - Supplies and Equipment These have been ordered by HSD  Jill Watson's Email: "We were able to order the 30 thermometers from the Amazon link you provided!"  Request Completed -------------------------------------------------- Follow Up #2: 04/02/2020 12:47. Matt.Rathke / SEA - LOG - Staffer Infrared temporal thermometers have been elevated to the 16 PPE, 200 on order -------------------------------------------------- Follow Up #1: 03/30/2020 12:59. Presley.Palmer / SEA - LOG - Supplies and Equipment This has been assigned to Lisa Tran (PC)  </t>
  </si>
  <si>
    <t>Need to be able to take temperatures at the Miller Community Center shelter as soon as possible. Need: - 2 Electronic Thermometers at Miller Community Center  Contact Gabe Manriquez, Seattle Human Services Dept 619-947-5190 cell Backup contact for Both Miller and Garfield Community Centers:  Lisa Gustaveson, Seattle Human Services Dept 206-482-4573  On Sunday 3/29/20 - Jill Watson can pick up and delivery for both Garfield and Miller; 206-396-1321 or jill.watson@seattle.gov</t>
  </si>
  <si>
    <t>STTL-u85ot8</t>
  </si>
  <si>
    <t>Forehead thermometers for HSD</t>
  </si>
  <si>
    <t>2 Electronic Thermometers for Garfield CC Shelter</t>
  </si>
  <si>
    <t>2 Thermometers for HSD</t>
  </si>
  <si>
    <t xml:space="preserve">-------------------------------------------------- Follow Up #2: 04/03/2020 11:25. Presley.Palmer / SEA - LOG - Supplies and Equipment These have been ordered by HSD  Jill Watson's Email: "We were able to order the 30 thermometers from the Amazon link you provided!"  Request Completed -------------------------------------------------- Follow Up #1: 04/02/2020 12:49. Matt.Rathke / SEA - LOG - Staffer These thermometers have been elevated to critical supply and are a part of a 200 unit order </t>
  </si>
  <si>
    <t>Need to be able to take temperatures at the Garfield Community Center shelter as soon as possible. Need: - 2 Electronic Thermometers at Garfield Community Center  Contact Mary Flowers, Seattle Human Services Dept 206-501-7859 cell, mary.flowers@seattle.gov Backup contact for Both Miller and Garfield Community Centers:  Lisa Gustaveson, Seattle Human Services Dept 206-482-4573 or lisa.gustaveson@seattle.gov  On Sunday 3/29/20 - Jill Watson can pick up and delivery for both Garfield and Miller; 206-396-1321 or jill.watson@seattle.gov</t>
  </si>
  <si>
    <t xml:space="preserve">Detail for  Sanitation/PPE supplies for homeless outreach  - STTL-kynszw </t>
  </si>
  <si>
    <t xml:space="preserve">Detail for  Sanitation/PPE supplies for homeless outreach  - STTL-kynszw  Please see the attached spreadsheet  To provide sanitation and PPE supplies to Seattle and King County homeless outreach programs so they can continue to provide critical outreach services to vulnerable populations, while maintaining the safety of staff and clients in accordance with public health and CDC guidance on protecting against COVID-19. Concurrently, the order is also intended to provide outreach staff with supplies that can be disseminated to clients in order to that support health and health maintenance for those who are living unsheltered.  This product will need to be transferred (or direct delivery) to the KC Warehouse where it will be distributed to outreach programs. Product is needed asap, preferably within 1-2 weeks.  Back up contact in HSD: Sean Walsh (Sean.Walsh2@seattle.gov or 206-684-0569 or Skype call). </t>
  </si>
  <si>
    <t xml:space="preserve"> -------------------------------------------------- Follow Up #5: 04/02/2020 14:44. Matt.Rathke / SEA - LOG - Staffer Order completed per attached invoice -------------------------------------------------- Follow Up #4: 03/30/2020 16:27. Matt.Rathke / SEA - LOG - Staffer See below - follow up #3, ETA 4/1/2020 -------------------------------------------------- Follow Up #3: 03/27/2020 15:01. Matt.Rathke / SEA - LOG - Staffer Hello Jill, here is the tracking number for the tents, etc 1Z40V2W90309542133. The estimated delivery dated is April 1. Ive also attached a copy of the purchase order for your reference.  Thanks so much  -------------------------------------------------- Follow Up #2: 03/23/2020 11:56. Presley.Palmer / SEA - LOG - Supplies and Equipment Preparing order for quantities of 50% of original request for 1st 6 items. Will update once order is placed. Still waiting for adjusted quote. -------------------------------------------------- Follow Up #1: 03/22/2020 21:36. Presley.Palmer / SEA - LOG - Supplies and Equipment Initial quote that we got for the top 6 items is substantially more than what was listed on the spreadsheet. They are holding them but need to make a decision to buy early morning 3/23. Attached is the quote for your reference. </t>
  </si>
  <si>
    <t>Face shield order</t>
  </si>
  <si>
    <t>Parts of this request need to be ordered.</t>
  </si>
  <si>
    <t>STTL-3k1y8e</t>
  </si>
  <si>
    <t>Masks for Logistics section</t>
  </si>
  <si>
    <t>N95 masks for logistics group</t>
  </si>
  <si>
    <t>N95 masks for logistics section, 10 units</t>
  </si>
  <si>
    <t>STTL-fqcbb7</t>
  </si>
  <si>
    <t>Hand Sanatizer for Seattle Center Staff and Occupants of stand up shelter</t>
  </si>
  <si>
    <t>Hand Sanatizer for Seattle Center Staff and Occupants of stand up shelter  Requesting 20-16oz bottles or equivalent if different sizing</t>
  </si>
  <si>
    <t xml:space="preserve">-------------------------------------------------- Follow Up #3: 04/02/2020 08:34. Matt.Rathke / SEA - LOG - Staffer Filled: Hand Sanitizer, 16oz, 27 each -------------------------------------------------- Follow Up #2: 04/01/2020 15:25. Matt.Rathke / SEA - LOG - Staffer Hand sanitizer in gallon containers ready for pickup 4/1/2020 14:33 -------------------------------------------------- Follow Up #1: 03/25/2020 12:34. Matt.Rathke / SEA - LOG - Staffer Re-assigned to warehouse </t>
  </si>
  <si>
    <t>Need is for Hand Sanitizer for staff and occupants of shelter set up at Exhibition Hall and potential opening of  other facilities on Seattle Center Campus  20-16 Oz bottles or equivalent if different sized bottles</t>
  </si>
  <si>
    <t>STTL-ctafjp</t>
  </si>
  <si>
    <t>Supplies for Community Center Shelter Operations Hand Sanatizer</t>
  </si>
  <si>
    <t>Supplies for Community Center Shelter Operations Hand Sanatizer  10 gallons</t>
  </si>
  <si>
    <t xml:space="preserve"> -------------------------------------------------- Follow Up #1: 04/02/2020 08:32. Matt.Rathke / SEA - LOG - Staffer Filled: Hand Sanitizer, Gallon, 10 each </t>
  </si>
  <si>
    <t xml:space="preserve">Need hand sanitizer or the equivalent, need the equivalent of 10 gallons (40x32=1280/128=10)  Any brand will suffice as long as it meets 70% alch. </t>
  </si>
  <si>
    <t>STTL-jd5mkl</t>
  </si>
  <si>
    <t>Conversation about donated items</t>
  </si>
  <si>
    <t>Non-Medical Grade PPE</t>
  </si>
  <si>
    <t>Philip S. discussed issues on dontated items with SPU - they will be requesting PPE through warehouse.</t>
  </si>
  <si>
    <t>We were made aware that there were non-medical grade PPEs recently donated to the City. We are interested in ordering some for our front line staff that work in close proximity with each other. Please let us know the available PPEs.</t>
  </si>
  <si>
    <t>STTL-apoucu</t>
  </si>
  <si>
    <t>20 forehead thermometers</t>
  </si>
  <si>
    <t>Police - CANCEL URGENT - Forehead Thermometers</t>
  </si>
  <si>
    <t>Urgent need 20 forehead thermometers for precinct employee scanning</t>
  </si>
  <si>
    <t xml:space="preserve"> -------------------------------------------------- Follow Up #1: 04/01/2020 14:16. Matt.Rathke / SEA - LOG - Staffer Found Resources locally through contacts </t>
  </si>
  <si>
    <t>CANCEL- Request 20 forehead thermometers to be utilized for precinct employee screenings.</t>
  </si>
  <si>
    <t>STTL-mhekh1</t>
  </si>
  <si>
    <t xml:space="preserve">Urgent Request - Hand Sanitizer </t>
  </si>
  <si>
    <t>Urgent Request - Hand Sanitizer</t>
  </si>
  <si>
    <t xml:space="preserve">Purchase Urgent Request - Hand Sanitizer </t>
  </si>
  <si>
    <t>Seattle Police need 3,000 bottles of hand sanitizer for officers to have in the field with them as there is no washing stations in their patrol cars.  Request bottles that are 8 fl ounce and Purell brand or any brand similar.  This has an estimated burn rate of 1 month and is estimated based on patrol vehicles and patrol call loads. Smaller bottles will work with sufficient quantities ordered.</t>
  </si>
  <si>
    <t>STTL-80lpt9</t>
  </si>
  <si>
    <t>Track original request at K.C.</t>
  </si>
  <si>
    <t>N95 masks for First Responders</t>
  </si>
  <si>
    <t>This request is meant as a place holder in Seattle WebEOC to connect to the County WebEOC item</t>
  </si>
  <si>
    <t>100,000 each 3M Particulate Respirator #8210 N95 rated  UPC: 50051138464573</t>
  </si>
  <si>
    <t>STTL-dj1zrg</t>
  </si>
  <si>
    <t>Seattle Attorney's Office</t>
  </si>
  <si>
    <t>PPE for the City Attorneys office</t>
  </si>
  <si>
    <t>PPE for City Attorney's office</t>
  </si>
  <si>
    <t>PPE needed for the City Attorney's office 19th floor Columbia Tower</t>
  </si>
  <si>
    <t xml:space="preserve"> -------------------------------------------------- Follow Up #1: 03/31/2020 12:29. Matt.Rathke / SEA - LOG - Staffer filled 3/26 </t>
  </si>
  <si>
    <t xml:space="preserve">	Clorox wipes  45 tubes 	Hand soap  12 	Facial tissue  18 boxes  	Nitrile gloves  (medium) 7 boxes, (large) 7 boxes 	Purell (12 oz bottles)  45 </t>
  </si>
  <si>
    <t xml:space="preserve">Police - N95 Small Mask </t>
  </si>
  <si>
    <t xml:space="preserve">Purchase Police - N95 Small Mask </t>
  </si>
  <si>
    <t xml:space="preserve">-------------------------------------------------- Follow Up #1: 03/23/2020 17:13. Matt.Rathke / SEA - LOG - Staffer Update assignment </t>
  </si>
  <si>
    <t>STTL-vx2go9</t>
  </si>
  <si>
    <t>ADA compliant washing station</t>
  </si>
  <si>
    <t xml:space="preserve">ADA compliant washing station to be deployed to SPD range  Seattle Police Athletic Association/SPD Range  11030 E Marginal Way S, Tukwila WA 98168  </t>
  </si>
  <si>
    <t xml:space="preserve"> -------------------------------------------------- Follow Up #1: 03/31/2020 12:03. Matt.Rathke / SEA - LOG - Staffer Obtained portable sinks with heaters from Washington State Fair.  Sinks are on Loan until or if Local Hospital needs them. </t>
  </si>
  <si>
    <t>ADA washing station for testing site (request 2 of 2)</t>
  </si>
  <si>
    <t>STTL-hgto46</t>
  </si>
  <si>
    <t>SDOT facial tissue replenishment</t>
  </si>
  <si>
    <t>Facial Tissue: 14 Day Supplu</t>
  </si>
  <si>
    <t>SDOT crew 14 day supply replenishment Details attached</t>
  </si>
  <si>
    <t xml:space="preserve"> -------------------------------------------------- Follow Up #1: 03/30/2020 14:06. Matt.Rathke / SEA - LOG - Staffer Facial Tissue  3 Cases  Ready for pickup </t>
  </si>
  <si>
    <t>We are requesting 53 more boxes of facial tissue.  SDOT need the supplies to be able to continue to fill potholes, street cleaning, operate and maintain bridges, maintain landscape areas, pave streets and sidewalks, traffic signal operations, and operate the TOC and SRT (Seattle Response Team) and maintain the business and essential services of SDOT.</t>
  </si>
  <si>
    <t>STTL-n99vra</t>
  </si>
  <si>
    <t>HSD - Med gloves, large gloves, paper towels</t>
  </si>
  <si>
    <t>Gloves, Paper Towels for meal programs/food banks</t>
  </si>
  <si>
    <t xml:space="preserve">7 boxes - Gloves Med 7 boxes - Gloves Large Paper towels tri-fold - 48 cases  </t>
  </si>
  <si>
    <t xml:space="preserve"> -------------------------------------------------- Follow Up #2: 03/30/2020 13:55. Matt.Rathke / SEA - LOG - Staffer Filled and picked up 3/27 16:00 -------------------------------------------------- Follow Up #1: 03/30/2020 13:54. Matt.Rathke / SEA - LOG - Staffer Updated quantity 700 boxes, Gloves Med 700 boxes, Gloves Lrg </t>
  </si>
  <si>
    <t xml:space="preserve">For immediate pickup -  Gloves medium- 700 boxes assuming 100 gloves/box Gloves large - 700 packages assuming 100 gloves/box Paper towels tri-fold - 48 cases </t>
  </si>
  <si>
    <t>STTL-2tg32b</t>
  </si>
  <si>
    <t>Shower trailer rental</t>
  </si>
  <si>
    <t>Shower Trailers Contact - Drainage &amp; Wastewatre</t>
  </si>
  <si>
    <t>SPU South and North operations need shower trailer rentals.</t>
  </si>
  <si>
    <t xml:space="preserve">-------------------------------------------------- Follow Up #1: 03/27/2020 16:55. Pam.Tokunaga / SEA - LOG - Supplies and Equipment Received confirmation from Walter Vining, this request can be canceled.  </t>
  </si>
  <si>
    <t>Need a vendor contact that still has shower trailers available for rent.This is for our Drainage and Wastewater crew at the SPU South Operations Center and Haller Lake Facilities.</t>
  </si>
  <si>
    <t>SPD Hand Washing Station</t>
  </si>
  <si>
    <t>SPD placed an urgent request for two hand-washing stations at first responder testing stations.  Hand washing stations in short supply.  Spoke to Bill Witzmer in SPU to leverage the hygiene center effort to provide these resources to SPD.  He would verify if they have additional hand wash stations available.</t>
  </si>
  <si>
    <t xml:space="preserve"> -------------------------------------------------- Follow Up #1: 03/27/2020 15:44. Elenka.Jarolimek / SEA - LOG - FAS Followed up with Bill Wtizmer from SPU.  At this time they are not able to release any of the hand washing stations they ordered for the Hygiene Centers.  </t>
  </si>
  <si>
    <t>STTL-6kgroi</t>
  </si>
  <si>
    <t>3000 units of small bottled hand sanitizers any size.</t>
  </si>
  <si>
    <t>Bottled hand sanitizers any size</t>
  </si>
  <si>
    <t>3000 units of small bottled hand sanitizers any size.  Pushed up to Warehouse Mike Wong and Philip Saunders 3/18/2020 16:44</t>
  </si>
  <si>
    <t xml:space="preserve"> -------------------------------------------------- Follow Up #1: 03/27/2020 15:10. Matt.Rathke / SEA - LOG - Staffer 55 Gallon drum to be picked up Notified 2:20pm </t>
  </si>
  <si>
    <t xml:space="preserve">3000 units of small bottled hand sanitizers any size,  or 50 gallon sized ones  </t>
  </si>
  <si>
    <t>STTL-vlds4d</t>
  </si>
  <si>
    <t xml:space="preserve">10 boxes of gloves CL </t>
  </si>
  <si>
    <t>Gloves - vinyl large disposable</t>
  </si>
  <si>
    <t xml:space="preserve"> -------------------------------------------------- Follow Up #1: 03/27/2020 09:47. Matt.Rathke / SEA - LOG - Staffer Notified SCL this morning </t>
  </si>
  <si>
    <t>Gloves - vinyl large disposable - 10 boxes of 100 each</t>
  </si>
  <si>
    <t>STTL-tahw84</t>
  </si>
  <si>
    <t xml:space="preserve">Detail for  Gloves - vinyl XL disposable  - STTL-tahw84 </t>
  </si>
  <si>
    <t xml:space="preserve">Gloves - vinyl XL disposable </t>
  </si>
  <si>
    <t xml:space="preserve">10 boxes of 100 XL gloves for CL </t>
  </si>
  <si>
    <t xml:space="preserve"> -------------------------------------------------- Follow Up #1: 03/27/2020 09:45. Matt.Rathke / SEA - LOG - Staffer Notified SCL - 8:00 am </t>
  </si>
  <si>
    <t>Gloves - vinyl XL disposable - 10 boxes of 100 each</t>
  </si>
  <si>
    <t>STTL-pou25v</t>
  </si>
  <si>
    <t>CL is seeking large bottles/jugs/buckets of Hand Sanatizer to refill smaller bottle 10 gallons of whatever large sizes are availible</t>
  </si>
  <si>
    <t>Hand Sanitizer Large Refill Capacity</t>
  </si>
  <si>
    <t xml:space="preserve"> -------------------------------------------------- Follow Up #1: 03/27/2020 09:44. Matt.Rathke / SEA - LOG - Staffer Notified SCL 8:00 am </t>
  </si>
  <si>
    <t>Seeking large capacity refills for smaller bottles and dispensers.</t>
  </si>
  <si>
    <t>STTL-gw48vs</t>
  </si>
  <si>
    <t>Gloves - vinyl Small disposable - 10 boxes of 100 each</t>
  </si>
  <si>
    <t>Gloves - vinyl small disposable</t>
  </si>
  <si>
    <t>Gloves - vinyl small disposable - 10 boxes of 100 each</t>
  </si>
  <si>
    <t>STTL-nj4bbe</t>
  </si>
  <si>
    <t>PPE for consolidated warehouse</t>
  </si>
  <si>
    <t>PPE for consolidated warehouse staff</t>
  </si>
  <si>
    <t>Consolidated warehouse staff needed PPE for their mission</t>
  </si>
  <si>
    <t>Masks, N95 - 1 box Nitrile gloves, Med, 1 box Nitrile gloves, Lrg, 1 box Nitrile gloves, X-lrg, 1 box</t>
  </si>
  <si>
    <t xml:space="preserve"> Cleanning and Sanitizing Supplies</t>
  </si>
  <si>
    <t xml:space="preserve">Requesting total supply order for 70 locations.  See Cleaning and Sanitizing Supplies in attachment below. List of Supplies and quantity broken down per location.  Supplies will be shipped to FAS warehouse.  DEEL will be responsible for pick up and distribution to providers.  </t>
  </si>
  <si>
    <t xml:space="preserve"> -------------------------------------------------- Follow Up #1: 03/26/2020 14:29. Elenka.Jarolimek / SEA - LOG - FAS FAS warehouse 22 received shipment of supplies. </t>
  </si>
  <si>
    <t>null-rsez8b</t>
  </si>
  <si>
    <t xml:space="preserve">Seattle Parks &amp; Recreation Department </t>
  </si>
  <si>
    <t>Parks PPE</t>
  </si>
  <si>
    <t>PPE supply request</t>
  </si>
  <si>
    <t>PPE gloves nitrite (various sizes med, lrg and XL) 250 ea size (750 total)  GM N-95 Masks 500 units  PLEASE NOTE THESE GLOVES SHOULD BE AVAILIBLE NOW REACH OUT TO MIKE WONG 206-450-4833</t>
  </si>
  <si>
    <t xml:space="preserve"> -------------------------------------------------- Follow Up #2: 03/26/2020 07:25. Matt.Rathke / SEA - LOG - Staffer Correction 25 boxes N95 masks -------------------------------------------------- Follow Up #1: 03/25/2020 12:49. Matt.Rathke / SEA - LOG - Staffer 25 boxes surgical masks  10 boxes, Nitril gloves, Med 10 boxes, Nitril gloves, Lrg 10 boxes, Nitril gloves, X-Lrg  Ready for pickup @ 12:40 pm </t>
  </si>
  <si>
    <t xml:space="preserve">PPE gloves nitrite (various sizes  med, lrg and XL)	250 ea size  (750 total)  GM  N-95 Masks 	500 units </t>
  </si>
  <si>
    <t>STTL-cf70hq</t>
  </si>
  <si>
    <t>20 cots for PU for HSD</t>
  </si>
  <si>
    <t>30 Cots for pick up today</t>
  </si>
  <si>
    <t>HSD needs 30 more cots for social distancing, THEY CAN PICK THEM UP</t>
  </si>
  <si>
    <t>30 cots (no blankets) for pickup from shelter cache. DESC can pick it up. These cots will go to 2 DESC shelters to meet guidelines for social distancing. HSD point of contact is Lisa Gustaveson  (lisa.gustaveson@seattle.gov or 206-482-4573)</t>
  </si>
  <si>
    <t>STTL-s62jks</t>
  </si>
  <si>
    <t>50 more cots, 100 more blankets</t>
  </si>
  <si>
    <t>50 More Cots to Exhibition Hall ASAP</t>
  </si>
  <si>
    <t>Mike Wong will get 50 more cots and 100 more blankets and deliver them to the Seattle Center Exhibition hall as soon as they can this afternoon 3/9/2020  [from duplicate assignment - TJ] - Delivered yesterday 3/9/2020</t>
  </si>
  <si>
    <t xml:space="preserve">-------------------------------------------------- Follow Up #1: 03/12/2020 09:52. sam.houghtaling / SEA - LOG - Chief Delivered 3/10 </t>
  </si>
  <si>
    <t>Need 50 more cots delivered to the Exhibition Hall ASAP to support the shelter opening this evening.  Contact today is Noah Fay at DESC 206-409-2753. Backup contact is Lisa Gustaveson at lisa.gustaveson@seattle.gov or 206-482-4573.</t>
  </si>
  <si>
    <t>STTL-n48crm</t>
  </si>
  <si>
    <t xml:space="preserve">Seattle EOC </t>
  </si>
  <si>
    <t>Cots</t>
  </si>
  <si>
    <t xml:space="preserve">Cots To Seattle Center </t>
  </si>
  <si>
    <t>Scheduled to be delivered today 3/9/2020 by 10:30am  3/ 10 Cots/Blankets were delivered by Mike Wongs group yesterday 3/9/2020</t>
  </si>
  <si>
    <t xml:space="preserve">-------------------------------------------------- Follow Up #2: 03/12/2020 09:54. sam.houghtaling / SEA - LOG - Chief Delivered 3/10/2020 -------------------------------------------------- Follow Up #1: 03/12/2020 09:53. sam.houghtaling / SEA - LOG - Chief Delivered 3/10/2020 </t>
  </si>
  <si>
    <t>HSD needs 110 cots from Seattle's cache to be delivered to the DESC shelter at the Seattle Center Exhibition Hall Monday morning.  Exact time on Monday TBD  Thanks,  Jason  206-850-3935</t>
  </si>
  <si>
    <t>STTL-snadao</t>
  </si>
  <si>
    <t xml:space="preserve">Urgent Request - Hand Sanitizer  </t>
  </si>
  <si>
    <t xml:space="preserve">Purchase Urgent Request - Hand Sanitizer  </t>
  </si>
  <si>
    <t xml:space="preserve"> -------------------------------------------------- Follow Up #2: 03/25/2020 16:21. Matt.Rathke / SEA - LOG - Staffer Email to Tim Dike 3:00 PM 1 barrel arrived Contact SFD for their barrel  FAS warehouse to retain 2 barrels for stock -------------------------------------------------- Follow Up #1: 03/24/2020 15:22. Matt.Rathke / SEA - LOG - Staffer Per David McLean (FAS purchasing) - 4 Drums enroute </t>
  </si>
  <si>
    <t>This request is to get us through the wait period of 2-3 weeks for our original order of 3,000.  This request is for 25 cases (48 bottles of 16 oz sanitizer per case).  Cost = $8,000. Delivered within 2-3 days of order.  Source vender:  Brickford Faucette President &amp; COO Reliable Paper Inc. 1030 Northpoint Pkwy SE Acworth, GA 30102-3133 Direct number:  678.324.3671  Contact is Brick.</t>
  </si>
  <si>
    <t>SPD Hand Sanatizer</t>
  </si>
  <si>
    <t>This is to hold SPD over until the order of 3,000 units shows up  Sent to purchasing 3/10/2020 14:30</t>
  </si>
  <si>
    <t xml:space="preserve"> -------------------------------------------------- Follow Up #1: 03/25/2020 16:20. Matt.Rathke / SEA - LOG - Staffer Barrels delivered to FAS warehouse </t>
  </si>
  <si>
    <t>STTL-hiysoc</t>
  </si>
  <si>
    <t>FAS-FM hand sanitizer</t>
  </si>
  <si>
    <t>Fleet Management warehouse - hand sanitizer</t>
  </si>
  <si>
    <t>Kyle needs a gallon</t>
  </si>
  <si>
    <t xml:space="preserve"> -------------------------------------------------- Follow Up #1: 03/25/2020 15:15. Matt.Rathke / SEA - LOG - Staffer kyle notified 11 am </t>
  </si>
  <si>
    <t>1 gallon of Hand Sanitizer for the FM warehouse at 805 s. charles street</t>
  </si>
  <si>
    <t>STTL-lr10lo</t>
  </si>
  <si>
    <t>Distributed Hand Soap</t>
  </si>
  <si>
    <t>Hand Soap, 12 oz, SDCI</t>
  </si>
  <si>
    <t>Handed over 10 boxes of Hand Soap</t>
  </si>
  <si>
    <t>Need Hand soap to distribute to staff</t>
  </si>
  <si>
    <t>STTL-72ufsn</t>
  </si>
  <si>
    <t>DPR is moving the material</t>
  </si>
  <si>
    <t>Cots and Blankets for SPR Shelter Operations</t>
  </si>
  <si>
    <t xml:space="preserve">Logistics is recording the use and numbers of cots/blankets but DPR is deploying the resources.  </t>
  </si>
  <si>
    <t>Remove 100 regualr cots and 10 bariatric cots from the west bridge cache and deliver half of each to Miller Community Center and Garfield Community Center.</t>
  </si>
  <si>
    <t>SEA-h4fcdr</t>
  </si>
  <si>
    <t>20 Cots to the Garfield Community Center for SFD shelter</t>
  </si>
  <si>
    <t xml:space="preserve">Request for Cots at the First Responders Shelter </t>
  </si>
  <si>
    <t xml:space="preserve">Garfield Community Center is requesting 20 cots for an Emergency Responder stand-up shelter. The cots will need to be delivered to the Garfield Community center </t>
  </si>
  <si>
    <t xml:space="preserve"> -------------------------------------------------- Follow Up #1: 03/25/2020 13:08. Matt.Rathke / SEA - LOG - Staffer Done 3/13 by distribution management </t>
  </si>
  <si>
    <t>Garfield Community Center is requesting 20 cots for an Emergency Responder stand-up shelter.  The cots will need to be delivered to the Garfield Community center</t>
  </si>
  <si>
    <t>DISINFECTANT,LYSOL SPRAY 19OZ 12/CASE</t>
  </si>
  <si>
    <t>DISINFECTANT,LYSOL SPRAY 19OZ 12/CASE, SPU believe the part # is 490-012-110</t>
  </si>
  <si>
    <t xml:space="preserve"> -------------------------------------------------- Follow Up #2: 03/25/2020 12:32. Matt.Rathke / SEA - LOG - Staffer Waiting for clarification -------------------------------------------------- Follow Up #1: 03/22/2020 21:20. Presley.Palmer / SEA - LOG - Supplies and Equipment Lysol is very limited. Home Depot recommends a product they carry "OdoBan" as a generic brand of Lysol. It comes in 32 gallons containers. Would need to purchase spray bottles separate which are also carried by Home Depot. We will continue looking for Lysol but let us know if this is an option? And would you want 1020 bottles and enough to fill them? </t>
  </si>
  <si>
    <t>STTL-3h2lyt</t>
  </si>
  <si>
    <t>Working on this</t>
  </si>
  <si>
    <t>Need 75 cots, 100 blankets for pick up today</t>
  </si>
  <si>
    <t>Mike Wong will make contact when they have the supplies ready</t>
  </si>
  <si>
    <t xml:space="preserve">-------------------------------------------------- Follow Up #1: 03/20/2020 13:09. Matt.Rathke / SEA - LOG - Staffer Your 75 cots and 100 blankets will be ready for pickup at 3:30 PM today.  Pick up location: 3807 2nd Ave South Contact at warehouse: Jeremy Wallace 206-684-0827  </t>
  </si>
  <si>
    <t>Need 75 cots and 100 blankets from one of the shelter caches. HSD will pick up at FAS designated site. This is to enable eight of nine SHARE shelters to convert to 24-hour shelter over the weekend to support COVID sheltering for people experiencing homelessness.</t>
  </si>
  <si>
    <t>STTL-vvbvjp</t>
  </si>
  <si>
    <t xml:space="preserve">police - Nitral Gloves Medium </t>
  </si>
  <si>
    <t>police - Nitral Gloves Medium</t>
  </si>
  <si>
    <t xml:space="preserve">Purchase police - Nitral Gloves Medium </t>
  </si>
  <si>
    <t xml:space="preserve"> -------------------------------------------------- Follow Up #3: 03/24/2020 14:50. sam.houghtaling / SEA - LOG - Chief Order completed 3/24/2020 Invoice below -------------------------------------------------- Follow Up #2: 03/24/2020 14:42. sam.houghtaling / SEA - LOG - Chief Order completed 3/24/2020 Invoice attached -------------------------------------------------- Follow Up #1: 03/23/2020 17:11. Matt.Rathke / SEA - LOG - Staffer Update assignment </t>
  </si>
  <si>
    <t>Part number 50707	Medium Halyard Sterling Nitrile Gloves (Any Brand, but must be 3.8mil thickness and color gray)	100 pair /box	600 Boxes</t>
  </si>
  <si>
    <t>STTL-9xar4v</t>
  </si>
  <si>
    <t xml:space="preserve">Police - Hand Soap </t>
  </si>
  <si>
    <t>Police - Hand Soap</t>
  </si>
  <si>
    <t>Purchase hand soap</t>
  </si>
  <si>
    <t xml:space="preserve"> -------------------------------------------------- Follow Up #2: 03/24/2020 14:48. sam.houghtaling / SEA - LOG - Chief Order filled 3/24/2020. Invoice attached below -------------------------------------------------- Follow Up #1: 03/23/2020 17:08. Matt.Rathke / SEA - LOG - Staffer Re-assigned to warehouse </t>
  </si>
  <si>
    <t xml:space="preserve">Part number DIA99795	Hand Soap (Any Brand)	unit measure Gallon, we need 60 Gallons </t>
  </si>
  <si>
    <t>STTL-na2bbx</t>
  </si>
  <si>
    <t xml:space="preserve">	Police - Nitrile Gloves X-Large </t>
  </si>
  <si>
    <t>Police - Nitrile Gloves X-Large</t>
  </si>
  <si>
    <t>Purchase XL gloves</t>
  </si>
  <si>
    <t xml:space="preserve"> -------------------------------------------------- Follow Up #2: 03/24/2020 14:46. sam.houghtaling / SEA - LOG - Chief Order complete 3/24/2020 invoice attached below -------------------------------------------------- Follow Up #1: 03/23/2020 17:10. Matt.Rathke / SEA - LOG - Staffer Update assignment </t>
  </si>
  <si>
    <t>Part number 50709	X-Large Halyard Sterling Nitrile Gloves (Any Brand, but must be 3.8mil thickness and color gray)	100 pair /box	600 Boxes</t>
  </si>
  <si>
    <t>STTL-4yjfug</t>
  </si>
  <si>
    <t xml:space="preserve">Police - Nitrile Gloves Small </t>
  </si>
  <si>
    <t>Police - Nitrile Gloves Small</t>
  </si>
  <si>
    <t xml:space="preserve">Purchase Police - Nitrile Gloves Small </t>
  </si>
  <si>
    <t xml:space="preserve"> -------------------------------------------------- Follow Up #2: 03/24/2020 14:40. sam.houghtaling / SEA - LOG - Chief Order was filled and completed 3/24/2020. Invoice attached -------------------------------------------------- Follow Up #1: 03/23/2020 17:11. Matt.Rathke / SEA - LOG - Staffer update assignment </t>
  </si>
  <si>
    <t xml:space="preserve">Part number 50706	Small Halyard Sterling Nitrile Gloves (Any Brand, but must be 3.8mil thickness and color gray)	100 pair /box	600 Boxes </t>
  </si>
  <si>
    <t>STTL-uti5g9</t>
  </si>
  <si>
    <t>Mask Order</t>
  </si>
  <si>
    <t>SFD needs patient masks</t>
  </si>
  <si>
    <t>100,000 surgical masks on order, in transit , waiting on ETA</t>
  </si>
  <si>
    <t xml:space="preserve">SFD Needs the following  Life Assist brand: COMBO is the brand. w faceshield  They dont have pics of the ones without shields they took them off the website.  HMC mask with faceshield: Surg antifog ear loop pleat filtration LF Polypropylene  - Medline Industries  - catalog number NON27410EL  We need the ones with an elastic ear loop.  Many of the surgical masks on the Medline website are tie style.  </t>
  </si>
  <si>
    <t>STTL-emvzvx</t>
  </si>
  <si>
    <t>Police precient alternate location if needed</t>
  </si>
  <si>
    <t>Police - Urgent Replacement Precinct</t>
  </si>
  <si>
    <t>If a precinct becomes disabled, the department will need a backup facility that meets the following criteria and would be available for officers and sergeants to use in under an hour:  1. Secure storage for police equipment  2. Parking  3. A meeting room  4. Restrooms with shower facilities  5. Plenty of electricity access for radio batteries, BWV equipment, cell phones, etc  6. Tables and chairs  7. 24hr access  8. Security will also be required</t>
  </si>
  <si>
    <t xml:space="preserve">If a precinct becomes disabled, the department will need a backup facility that meets the following criteria and would be available for officers and sergeants to use in under an hour: 1.	Secure storage for police equipment 2.	Parking  3.	A meeting room 4.	Restrooms with shower facilities  5.	Plenty of electricity access for radio batteries, BWV equipment, cell phones, etc 6.	Tables and chairs 7.	24hr access 8.	Security will also be required </t>
  </si>
  <si>
    <t>STTL-axnokl</t>
  </si>
  <si>
    <t>Cancelled rolls of paper towels</t>
  </si>
  <si>
    <t>Paper towels - Roll type</t>
  </si>
  <si>
    <t>STTL-kk8onb</t>
  </si>
  <si>
    <t>CL CLEANER Cancelled</t>
  </si>
  <si>
    <t>Cleaner MultiPurpose</t>
  </si>
  <si>
    <t>Multipurpose cleaner - Simple Green, spray bottle  CANCELLED 3/19/2020 10:00</t>
  </si>
  <si>
    <t>STTL-hlr4d0</t>
  </si>
  <si>
    <t>SFD requesting temporary sites for truck, engine and staff while cleaning station</t>
  </si>
  <si>
    <t>Temporary Quarters For SFD</t>
  </si>
  <si>
    <t xml:space="preserve">The Seattle Fire Department is requesting temporary sites to house both apparatus and 4 person crews for periods of 24 hours. The reason for this is due to contractors performing deep cleaning at Fire Stations.  These sites would be an alternate if we are unable to house our rigs and staff at adjoining stations.  Ideally we would have the following sites:   2 North of Ship Canal. East and west of the freeway.   2 Central. East and west of the freeway.   2 South. East and west of the freeway.  Listed below are the requirements that they would need.   Area large enough to park a 31 foot engine   Area large enough to park a 60 foot ladder truck if possible (This would be limited)   Electrical outlet to plug rigs in to keep them charged.   Kitchen area if possible   Bathroom and shower areas   Internet access if at all possible. </t>
  </si>
  <si>
    <t xml:space="preserve">The Seattle Fire Department is requesting temporary sites to house both apparatus and 4 person crews for periods of 24 hours. The reason for this is due to contractors performing deep cleaning at Fire Stations. These sites would be an alternate if we are unable to house our rigs and staff at adjoining stations. Ideally we would have the following sites: 	2 North of Ship Canal. East and west of the freeway. 	2 Central. East and west of the freeway. 	2 South. East and west of the freeway.  Listed below are the requirements that they would need. 	Area large enough to park a 31 foot engine 	Area large enough to park a 60 foot ladder truck if possible (This would be limited) 	Electrical outlet to plug rigs in to keep them charged. 	Kitchen area if possible 	Bathroom and shower areas 	Internet access if at all possible.  </t>
  </si>
  <si>
    <t>STTL-3a3ztr</t>
  </si>
  <si>
    <t>Harborview</t>
  </si>
  <si>
    <t xml:space="preserve">Detail for  Harborview Pop-up testing assistance  - STTL-3a3ztr </t>
  </si>
  <si>
    <t>Harborview Pop-up testing assistance</t>
  </si>
  <si>
    <t>This request was forwarded to SDOT, Logistics can't assign work to SDOT, we were instructed that this should have been assigned to a Task Board?</t>
  </si>
  <si>
    <t>1) SDOT to No Park 9th between Jefferson and Alder for testing. 2) SDOT to provide traffic assistance once pop-up site operational</t>
  </si>
  <si>
    <t>STTL-abtfcv</t>
  </si>
  <si>
    <t>SDOT Support for SFD</t>
  </si>
  <si>
    <t>Traffic Control help</t>
  </si>
  <si>
    <t>SFD has requested SDOT to help create a traffic control plan for POTENTIAL public testing at three different locations (north, south, central) and the necessary traffic control tools (i..e cones, signs, barricades, flaggers, etc) to implement the plan</t>
  </si>
  <si>
    <t>null-fr3nlc</t>
  </si>
  <si>
    <t>CIty Light Sanatized wipes</t>
  </si>
  <si>
    <t>Disinfecting Wipes - Western Safety Products, Inc</t>
  </si>
  <si>
    <t xml:space="preserve">City Light asked us to cancel this item. </t>
  </si>
  <si>
    <t xml:space="preserve">Seattle City Light has been looking for resources before the requirement for centralized warehousing. I am requesting permission to purchase from a distributor SCL uses that is not on FASs list. The request with the vendor for in stock request was made before this Monday, but they just notified us that they had stock for SCL to purchase. Included in this email is the order acknowledgment that has item, description and counts. I want to play fair and be transparent with my FAS partners!  SCL is requesting to purchase and warehouse these wipes for our department useplease advise. </t>
  </si>
  <si>
    <t>STTL-xhkogf</t>
  </si>
  <si>
    <t xml:space="preserve">SFD Request for Seattle IT </t>
  </si>
  <si>
    <t>Seattle IT Coordinator</t>
  </si>
  <si>
    <t>SFD Request for Seattle IT</t>
  </si>
  <si>
    <t xml:space="preserve">SFD Request for Seattle IT support on site at the EOC </t>
  </si>
  <si>
    <t>We need critical software and network support at the SFD Resource management center located in station 10 next to the EOC. Normal network channels are not working.</t>
  </si>
  <si>
    <t>STTL-q19sxq</t>
  </si>
  <si>
    <t>Disposable downs</t>
  </si>
  <si>
    <t>ESF 8-Health and Medical Services</t>
  </si>
  <si>
    <t>Disposable Surgical Gowns</t>
  </si>
  <si>
    <t>From State board: This is a Tier 1 entity. They are an EMS/first responder entity that is actively transporting confirmed cases both within their jurisdiction and throughout the region as needed.  This RR is being elevated to the County and then to the State by the KCOEM-HMAC Logistics Liaison. Submitted by: Sophia Lopez - KCPH - LOG - Section Chief at 17:57:03 on 03/11/2020</t>
  </si>
  <si>
    <t>100,000 Availability of TIDI P2 Disposable Gowns 8576  if not available, the following meets medical specification:  CRI5001 Medline Isolation Gown Thumb loop CPE (Pack of 75)</t>
  </si>
  <si>
    <t>STTL-gcwem6</t>
  </si>
  <si>
    <t>Various PPE</t>
  </si>
  <si>
    <t>PPE Request to White House (Seattle)</t>
  </si>
  <si>
    <t>An order on behalf of KING COUNTY public safety .. ** Order placed in the form of a letter from the Mayor to VP Mike Pence. Order as follows:  450,000 count of a Complete set of PPE consisting of N95 Mask, Goggles or Face Shield, gowns and gloves.</t>
  </si>
  <si>
    <t xml:space="preserve">An order on behalf of KING COUNTY public safety .. ** Order placed in the form of a letter from the Mayor to VP Mike Pence.  Order as follows:  450,000 count of a Complete set of PPE consisting of N95 Mask, Goggles or Face Shield, gowns and gloves.  Order distribution is:" Zone 1/East King CountyFire Depts - 100,000 Zone 1/East King County Police Depts - 50,000 Zone 3/South King County Fire Depts - 100,000 Zone 3/South King County Police Depts - 50,000 Zone 5/Seattle Fire Dept - 100,000 Zone 5/Seattle  Police Depts - 50,000 </t>
  </si>
  <si>
    <t>STTL-9himxb</t>
  </si>
  <si>
    <t>Seattle Schools</t>
  </si>
  <si>
    <t>SPS using City cleaning contracts</t>
  </si>
  <si>
    <t>Access to cleaning contracts</t>
  </si>
  <si>
    <t>Asked Mike Ashbrook (FAS Facilities) and Pam Tokunaga regarding SPS piggybacking City cleaning vendor contracts.  Waiting response to provide back to Benjamin.</t>
  </si>
  <si>
    <t xml:space="preserve">-------------------------------------------------- Follow Up #1: 03/06/2020 14:53. Pam.Tokunaga / SEA - LOG - Supplies and Equipment Responded to email from SPS that FAS/PC has an interlocal agreement on file and they can piggyback our contracts.  </t>
  </si>
  <si>
    <t>Part of the SPS strategy to keep schools open is increasing cleaning and full school sanitizing when a Public Health recommended quarantine has taken place.  This has maxed out our custodial staffing and we have cancelled building rentals as a result.  We have also diverted man hours from other cleaning tasks.  We are interested in contracting with City cleaning services or even having cleaning services donated to supplement the SPS custodial staff</t>
  </si>
  <si>
    <t>STTL-uezg4x</t>
  </si>
  <si>
    <t>Translation Services</t>
  </si>
  <si>
    <t>Translation Assistance</t>
  </si>
  <si>
    <t>SPS is resolving this request internal resources.</t>
  </si>
  <si>
    <t xml:space="preserve">SPS has capacity to translate most messaging to families and staff, but has difficulty getting same-day sudden messaging accomplished.  We are looking for assistance specifically for sudden messaging needs.  During this incident, that would be around school closures.  We have not closed any schools for a full day, but have cancelled programs for all-school sanitizing at 4 sites, already, and letters sent out were only in English.  </t>
  </si>
  <si>
    <t>Sent request to purchasing</t>
  </si>
  <si>
    <t>Surgical masks, face shields, for SFD</t>
  </si>
  <si>
    <t>Pass through to State</t>
  </si>
  <si>
    <t>This request was given from the Mayor directly to the White House.  Please pass through to the State.  They are expecting it.  Ken Neafcy/OEM 206-233-5147</t>
  </si>
  <si>
    <t xml:space="preserve"> -------------------------------------------------- Follow Up #1: 03/12/2020 11:05. sam.houghtaling / SEA - LOG - Chief As of 3/12  11:05am Per Tony at KC this has been pushed to the state FS8 with no further update yet. </t>
  </si>
  <si>
    <t>100,000 disposable gowns</t>
  </si>
  <si>
    <t>Request escalated up to the County (TED logistics chief).</t>
  </si>
  <si>
    <t xml:space="preserve"> -------------------------------------------------- Follow Up #3: 03/12/2020 11:03. sam.houghtaling / SEA - LOG - Chief Tony from KC called back, this has been escalated to the state ESF8, no status update -------------------------------------------------- Follow Up #2: 03/12/2020 10:55. sam.houghtaling / SEA - LOG - Chief Checked in with KC Logistics Chief Ted 206-475-1517 on 3/11, this has been pushed to the state.  Checked in with Tony new KC Logistics Chief 3/12 waiting for call back on Status.  WA2020-310-9414 is the state # -------------------------------------------------- Follow Up #1: 03/11/2020 18:00. Elenka.Jarolimek / SEA - LOG - FAS King County ECC/HMAC escalating up to the State EOC as Tier 1 per DOH guidelines for prioritization of allocation of PPE. </t>
  </si>
  <si>
    <t>WA ICS 213 RR - Disposable Surgical Gowns</t>
  </si>
  <si>
    <t>Submitting request to County to escalate request to State EMD.  Availability of TIDI P2 Disposable Gowns 8576  Urgent need for gowns. The 100,000 is currently driving estimated sustainability of Seattle Fire Dept. PPE supply.  Suitable substitute:  CRI5001 Medline Isolation Gown Thumb loop CPE (Pack of 75)</t>
  </si>
  <si>
    <t xml:space="preserve"> -------------------------------------------------- Follow Up #1: 03/09/2020 18:51. Elenka.Jarolimek / SEA - LOG - FAS Submitted WA ICS 213RR to King County ECC at 6:50 p.m. on 3/9/2020.  via KC.ECC@kingcounty.gov </t>
  </si>
  <si>
    <t>Urgent need is for GOWNS. The 100,000  inventory number is currently driving the estimated sustainability of our SFD PPE supply.  Placing order with Overstock.com</t>
  </si>
  <si>
    <t>8 Fl oz Hand Sanitizers</t>
  </si>
  <si>
    <t xml:space="preserve">Seattle Police need 3,000 bottles of hand sanitizer for officers to have in the field with them as there is no washing stations in their patrol cars. Request bottles that are 8 fl ounce and Purell brand or any brand similar. This has an estimated burn rate of 1 month and is estimated based on patrol vehicles and patrol call loads. Smaller bottles will work with sufficient quantities ordered. </t>
  </si>
  <si>
    <t xml:space="preserve">-------------------------------------------------- Follow Up #1: 03/10/2020 10:49. TJ.McDonald / WebEOC Coordinator Seattle for FAS Coordinator This has been added to the list of 14 items that are on order for the central warehouse </t>
  </si>
  <si>
    <t>STTL-h0wiwl</t>
  </si>
  <si>
    <t>need 12 Exergen Temporal Artery Thermometer (this can be substituted for a like product) for SPD</t>
  </si>
  <si>
    <t>Police - Temporal Artery Thermometer</t>
  </si>
  <si>
    <t xml:space="preserve">SPD needs 12 Exergen Temporal Artery Thermometer (this can be substituted for a like product) </t>
  </si>
  <si>
    <t xml:space="preserve">-------------------------------------------------- Follow Up #2: 03/13/2020 13:52. Pam.Tokunaga / SEA - LOG - Supplies and Equipment Thermometer was found on Amazon for approximately $109 Ea. SPD  approved placing the order. SPD fiscal will place the order directly with Amazon.  -------------------------------------------------- Follow Up #1: 03/13/2020 09:34. Pam.Tokunaga / SEA - LOG - Supplies and Equipment Request has been assigned to Lisa Tran, her phone # is 206-684-4515 </t>
  </si>
  <si>
    <t>This item is out of stock and we can't obtain it.  We need 12 Exergen Temporal Artery Thermometer (this can be substituted for a like product)  Costco Item  698455 Your Price $27.99  Features: Fast, Easy and Accurate Accurate Temperature With a Gentle Forehead Scan Preferred by Nurses and Pediatricians Soft Glow Display and 8 Temperature Memory</t>
  </si>
  <si>
    <t>Dept</t>
  </si>
  <si>
    <t>Notes</t>
  </si>
  <si>
    <t>HRIS Shows</t>
  </si>
  <si>
    <t>SMT Employees (from HRIS)</t>
  </si>
  <si>
    <t>FAS Employees Only</t>
  </si>
  <si>
    <t>Departments Not Listed for total of 13,000 per e-mail from Phillip on 5/6/20</t>
  </si>
  <si>
    <t>Reserved</t>
  </si>
  <si>
    <t>These Are Components of the 90-day Burn Rate Formula</t>
  </si>
  <si>
    <t>Generated Based on Formula</t>
  </si>
  <si>
    <t>OrigLine</t>
  </si>
  <si>
    <t>Additional Staff/Public Supported</t>
  </si>
  <si>
    <t>No.</t>
  </si>
  <si>
    <t>Concater</t>
  </si>
  <si>
    <t>Per Person Per Day</t>
  </si>
  <si>
    <t>Additional Units Per Day</t>
  </si>
  <si>
    <t>Per Person per 30 Days</t>
  </si>
  <si>
    <t>Additional per 30 Days</t>
  </si>
  <si>
    <t>Per Person Per 90 Days</t>
  </si>
  <si>
    <t>Additional Units Per 90 Days</t>
  </si>
  <si>
    <t>Not Required Flag (enter NR)</t>
  </si>
  <si>
    <t>90 Day Burn</t>
  </si>
  <si>
    <t>Notes/Changes Made</t>
  </si>
  <si>
    <t>Items per day</t>
  </si>
  <si>
    <t>Week</t>
  </si>
  <si>
    <t>FAS-CentralizedMasks (N95)</t>
  </si>
  <si>
    <t>90 masks per person for 90 days</t>
  </si>
  <si>
    <t>270 mask per person for 90 days (PLUS as of 5/7/20 26,000 more per day - 13,000 for visitors (6,500 x 2/day) and 13,000 for community (6,500 x 2/day).</t>
  </si>
  <si>
    <t>For SFD, SPD only; 270 pairs per person for 90 days</t>
  </si>
  <si>
    <t>270 pairs per person for 90 days</t>
  </si>
  <si>
    <t>Surgical gowns</t>
  </si>
  <si>
    <t>1,000 per day</t>
  </si>
  <si>
    <t>3 tubes per person for 90 days</t>
  </si>
  <si>
    <t>For SFD, SPD only; 3 tubes per person per 90 days</t>
  </si>
  <si>
    <t>4 bottles (12 oz) per person for 90 days</t>
  </si>
  <si>
    <t>Consolidated warehouse only; 300 for 90 days</t>
  </si>
  <si>
    <t>For SFD, SPD only; 6 bottles per person for 90 days</t>
  </si>
  <si>
    <t>Consolidated warehouse only; 600 for 90 days</t>
  </si>
  <si>
    <t>3 boxes per person for 90 days</t>
  </si>
  <si>
    <t>NR</t>
  </si>
  <si>
    <t>Was temp set to 40,000 and then was set  7,500/30days once masks arrived. Set to 1/person/30 days PLUS 13,000 cloth masks for public as of 5/7/20., As of 5/19/20 Changed burn rate to NR per e-mail from Philip.</t>
  </si>
  <si>
    <t>By request, no threshold for this</t>
  </si>
  <si>
    <t>6 rolls per person for 90 days</t>
  </si>
  <si>
    <t>override to 600 masks per day per 4/8 email, changed to 400/day per e-mail dated 5/8/20</t>
  </si>
  <si>
    <t>override to match SFD's rate (600 masks per day) per e-mail from Phillip on 5/5/20. Changed ot 1,000 masks per day based on e-mail dated 5/8/20.</t>
  </si>
  <si>
    <t>override to 21 boxes (1,050 pairs) per day per 4/8 email, changed to 16 boxes/day per e-mail dated 5/8/20.</t>
  </si>
  <si>
    <t>override to 13 boxes (650 pairs) per day per 4/10 email, changed to 8 boxes/day per e-mail dated 5/8/20.</t>
  </si>
  <si>
    <t>override to 13 gowns per day per 4/8 email, override to 16 gowns per day based on e-mail 05/08/20.</t>
  </si>
  <si>
    <t>override to 1 tube per day per 4/10 email</t>
  </si>
  <si>
    <t>override to 8 tubes (600 packets) per day per 4/10 email</t>
  </si>
  <si>
    <t>override to (15) 12-oz bottles and (1) 1-gal refill per day per 4/10 email, changed to (4) 12-oz bottles/day and (17) 2-oz bottles and (1) 1-gal refill per day, per e-mail dated 5/8/20.</t>
  </si>
  <si>
    <t>Override to zero (NR by SPD as of 4/22/20)</t>
  </si>
  <si>
    <t>override to zero; Consolidated warehouse only</t>
  </si>
  <si>
    <t>override to 4 bottles per day per 4/10 email, change to 1 bottle/day per 5/8 e-mail.</t>
  </si>
  <si>
    <t>Override to zero (NR by SPD as of 4/22/20), Set to 1/per/30 days as of 5/8/20</t>
  </si>
  <si>
    <t>override to 40 pairs per day per 4/8 email, changed to 30 per day based on e-mail 05/08/20.</t>
  </si>
  <si>
    <t>override to 600 masks per day per 4/8 email, changed to 400/day per e-mail dated 5/8/20. Added 1,500/30 days to support mass testing.</t>
  </si>
  <si>
    <t>override to 600 masks per day per 4/8 email</t>
  </si>
  <si>
    <t>override to 1500 pair per day per 4/8 email, added an additional 1,500/day to support mass testing.</t>
  </si>
  <si>
    <t>override to 8 pairs per day per person per 4/8 email</t>
  </si>
  <si>
    <t>override to 600 gowns per day per 4/8 email, added 1,500/30 days to support mass testing</t>
  </si>
  <si>
    <t>Override to zero (NR by SFD as of 4/22/20)</t>
  </si>
  <si>
    <t>Override to zero (NR by SFD as of 4/22/20), Set to 1/per/30 days as of 5/8/20</t>
  </si>
  <si>
    <t>By request, no threshold for this, added 1,500/30 days to support mass testing.</t>
  </si>
  <si>
    <t>override to zero; Public Safety use only</t>
  </si>
  <si>
    <t>Changed from 1/person/30 days (was set on 5/8/20) to NR on 05/14/20, per e-mail from Philip</t>
  </si>
  <si>
    <t>No</t>
  </si>
  <si>
    <t>SKU</t>
  </si>
  <si>
    <t>(null1)</t>
  </si>
  <si>
    <t>(null2)</t>
  </si>
  <si>
    <t>(null3)</t>
  </si>
  <si>
    <t>(null4)</t>
  </si>
  <si>
    <t>On-hand</t>
  </si>
  <si>
    <t>(null5)</t>
  </si>
  <si>
    <t>Unites</t>
  </si>
  <si>
    <t>Burn Rate YTD</t>
  </si>
  <si>
    <t>Dashboard Category</t>
  </si>
  <si>
    <t>Multiplier</t>
  </si>
  <si>
    <t>Dashboard Unit</t>
  </si>
  <si>
    <t>Count for Dashboard</t>
  </si>
  <si>
    <t>Item Mismatch?</t>
  </si>
  <si>
    <t>Diff</t>
  </si>
  <si>
    <t>COVID-100</t>
  </si>
  <si>
    <t>Misc Clorox / Lysol Wipes</t>
  </si>
  <si>
    <t>COVID</t>
  </si>
  <si>
    <t>Tube</t>
  </si>
  <si>
    <t>COVID-105</t>
  </si>
  <si>
    <t>PAWS Antimicrobial Towelette</t>
  </si>
  <si>
    <t>Packets</t>
  </si>
  <si>
    <t>COVID-108</t>
  </si>
  <si>
    <t>Lysol, 12.5 oz cans</t>
  </si>
  <si>
    <t>COVID-110</t>
  </si>
  <si>
    <t>FACIAL TISSUE</t>
  </si>
  <si>
    <t>case</t>
  </si>
  <si>
    <t>Box</t>
  </si>
  <si>
    <t>COVID-120</t>
  </si>
  <si>
    <t>HAND SOAP</t>
  </si>
  <si>
    <t>Bottle</t>
  </si>
  <si>
    <t>COVID-125</t>
  </si>
  <si>
    <t>Hand Soap  Antibacterial 1 qt</t>
  </si>
  <si>
    <t>Each</t>
  </si>
  <si>
    <t>COVID-129</t>
  </si>
  <si>
    <t>3M N95 MASKS</t>
  </si>
  <si>
    <t>COVID-130</t>
  </si>
  <si>
    <t>N95 MASKS</t>
  </si>
  <si>
    <t>COVID-131</t>
  </si>
  <si>
    <t>MASKS (SURGICAL)</t>
  </si>
  <si>
    <t>COVID-132</t>
  </si>
  <si>
    <t>MASKS With Visor</t>
  </si>
  <si>
    <t>COVID-133</t>
  </si>
  <si>
    <t>COVID-134</t>
  </si>
  <si>
    <t>Masks Cloth, Filters Only</t>
  </si>
  <si>
    <t>Cloth Masks Filter Only</t>
  </si>
  <si>
    <t>COVID-135</t>
  </si>
  <si>
    <t>Masks (KN95)</t>
  </si>
  <si>
    <t>COVID-136</t>
  </si>
  <si>
    <t>MASKS (SURGICAL CHILD)</t>
  </si>
  <si>
    <t>COVID-137</t>
  </si>
  <si>
    <t>N95 CHILD MASKS</t>
  </si>
  <si>
    <t>COVID-138</t>
  </si>
  <si>
    <t>KF94 MASKS</t>
  </si>
  <si>
    <t>COVID-140</t>
  </si>
  <si>
    <t>GLOVE NITRILE (SMALL)</t>
  </si>
  <si>
    <t>Pair</t>
  </si>
  <si>
    <t>COVID-140-BE</t>
  </si>
  <si>
    <t>GLOVE NITRILE (SMALL)-blue</t>
  </si>
  <si>
    <t>COVID-141</t>
  </si>
  <si>
    <t>GLOVES NITRILE (MED)</t>
  </si>
  <si>
    <t>COVID-141-BE</t>
  </si>
  <si>
    <t>GLOVES NITRILE (MED)-blue</t>
  </si>
  <si>
    <t>COVID-142</t>
  </si>
  <si>
    <t>GLOVES NITRILE (LARGE)</t>
  </si>
  <si>
    <t>COVID-142-BE</t>
  </si>
  <si>
    <t>GLOVES NITRILE (LARGE)-blue</t>
  </si>
  <si>
    <t>COVID-143</t>
  </si>
  <si>
    <t>GLOVES NITRILE (X-LARGE)</t>
  </si>
  <si>
    <t>COVID-143-BE</t>
  </si>
  <si>
    <t>GLOVES NITRILE (X-LARGE)-blue</t>
  </si>
  <si>
    <t>COVID-144-BE</t>
  </si>
  <si>
    <t>GLOVES NITRILE (2X-LARGE)-blue</t>
  </si>
  <si>
    <t>COVID-150</t>
  </si>
  <si>
    <t>PAPER TOWELS</t>
  </si>
  <si>
    <t>Pack</t>
  </si>
  <si>
    <t>COVID-155</t>
  </si>
  <si>
    <t>Towel, Bath Disposable</t>
  </si>
  <si>
    <t>COVID-160</t>
  </si>
  <si>
    <t>PURELL (1200 ML REFILLS)</t>
  </si>
  <si>
    <t>COVID-170</t>
  </si>
  <si>
    <t>PURELL (MISC SIZE BOTTLE)</t>
  </si>
  <si>
    <t>COVID-172</t>
  </si>
  <si>
    <t>Hand Sanitizer 33.8 oz</t>
  </si>
  <si>
    <t>COVID-180</t>
  </si>
  <si>
    <t>TOILET PAPER</t>
  </si>
  <si>
    <t>Rolls</t>
  </si>
  <si>
    <t>COVID-190</t>
  </si>
  <si>
    <t>TRASH BAGS 22x25</t>
  </si>
  <si>
    <t>No Longer Used</t>
  </si>
  <si>
    <t>COVID-191</t>
  </si>
  <si>
    <t>TRASH BAGS 30x37</t>
  </si>
  <si>
    <t>COVID-192</t>
  </si>
  <si>
    <t>TRASH BAGS 40x46</t>
  </si>
  <si>
    <t>COVID-200</t>
  </si>
  <si>
    <t>TRASH CANS (NO LID)</t>
  </si>
  <si>
    <t>COVID-209</t>
  </si>
  <si>
    <t>TYVEK SUITES / HOOD L</t>
  </si>
  <si>
    <t>COVID-210</t>
  </si>
  <si>
    <t>TYVEK SUITES / HOOD XL</t>
  </si>
  <si>
    <t>COVID-211</t>
  </si>
  <si>
    <t>TYVEK SUITES / HOOD 2XL</t>
  </si>
  <si>
    <t>COVID-212</t>
  </si>
  <si>
    <t>TYVEK SUITES XL</t>
  </si>
  <si>
    <t>COVID-213</t>
  </si>
  <si>
    <t>TYVEK SUITES 2XL</t>
  </si>
  <si>
    <t>COVID-214</t>
  </si>
  <si>
    <t>TYVEK SUITES 3XL</t>
  </si>
  <si>
    <t>COVID-215</t>
  </si>
  <si>
    <t>TYVEK SUITES L</t>
  </si>
  <si>
    <t>COVID-216</t>
  </si>
  <si>
    <t>TYVEK SUITES / HOOD 3XL</t>
  </si>
  <si>
    <t>COVID-217</t>
  </si>
  <si>
    <t>TYVEK SUITES / HOOD 4XL</t>
  </si>
  <si>
    <t>COVID-220</t>
  </si>
  <si>
    <t>SURGICAL GOWNS</t>
  </si>
  <si>
    <t>COVID-230</t>
  </si>
  <si>
    <t>Hand Sanitizer 1-gallon Gel</t>
  </si>
  <si>
    <t>COVID-231</t>
  </si>
  <si>
    <t>Hand Sanitizer 1-gallon liquid</t>
  </si>
  <si>
    <t>COVID-240</t>
  </si>
  <si>
    <t>Hand Sanitizer 55-gal drum gel</t>
  </si>
  <si>
    <t>drum</t>
  </si>
  <si>
    <t>COVID-250</t>
  </si>
  <si>
    <t>Hand Sanitizer 250-gal tote</t>
  </si>
  <si>
    <t>COVID-255</t>
  </si>
  <si>
    <t>Hand Sanitizer 55-gal drum Liq</t>
  </si>
  <si>
    <t>COVID-260</t>
  </si>
  <si>
    <t>Isopropyl Alcohol 5 gal pail</t>
  </si>
  <si>
    <t>pail</t>
  </si>
  <si>
    <t>COVID-262</t>
  </si>
  <si>
    <t>Isopropyl Alcohol 32 oz</t>
  </si>
  <si>
    <t>COVID-263</t>
  </si>
  <si>
    <t>Rubbing Alcohol, 16 oz</t>
  </si>
  <si>
    <t>COVID-270</t>
  </si>
  <si>
    <t>Bottles &amp; Caps, 16 oz Empty</t>
  </si>
  <si>
    <t>COVID-300</t>
  </si>
  <si>
    <t>Thermometer Non-contact</t>
  </si>
  <si>
    <t>COVID-350</t>
  </si>
  <si>
    <t>COVID-351</t>
  </si>
  <si>
    <t>N/A</t>
  </si>
  <si>
    <t>COVID-352</t>
  </si>
  <si>
    <t>Disinfectant, Bioesque 5 gal</t>
  </si>
  <si>
    <t>Gal</t>
  </si>
  <si>
    <t>COVID-353</t>
  </si>
  <si>
    <t>Disinfectant, Bioesque 55 gal</t>
  </si>
  <si>
    <t>COVID-3EUE8</t>
  </si>
  <si>
    <t>Mask Bracket, Purell</t>
  </si>
  <si>
    <t>COVID-450</t>
  </si>
  <si>
    <t>Safety Goggles</t>
  </si>
  <si>
    <t>COVID-DON-100</t>
  </si>
  <si>
    <t>Misc Wipes - Donation</t>
  </si>
  <si>
    <t>COVID-DON</t>
  </si>
  <si>
    <t>COVID-DON-130</t>
  </si>
  <si>
    <t>N95 MASKS Donation</t>
  </si>
  <si>
    <t>COVID-DON-131</t>
  </si>
  <si>
    <t>MASKS (SURGICAL) Donation</t>
  </si>
  <si>
    <t>COVID-DON-132</t>
  </si>
  <si>
    <t>MASKS With Visor Donation</t>
  </si>
  <si>
    <t>COVID-DON-133</t>
  </si>
  <si>
    <t>MASKS (CLOTH) Donation</t>
  </si>
  <si>
    <t>COVID-DON-135</t>
  </si>
  <si>
    <t>MASKS (KN95) 50 / box</t>
  </si>
  <si>
    <t>COVID-DON-140</t>
  </si>
  <si>
    <t>Gloves Small donations</t>
  </si>
  <si>
    <t>COVID-DON-141</t>
  </si>
  <si>
    <t>Gloves Med donations</t>
  </si>
  <si>
    <t>COVID-DON-142</t>
  </si>
  <si>
    <t>Gloves Largel donations</t>
  </si>
  <si>
    <t>COVID-DON-143</t>
  </si>
  <si>
    <t>Gloves X-Large donations</t>
  </si>
  <si>
    <t>COVID-DON-170</t>
  </si>
  <si>
    <t>Hand Sanitizer (Varies Size)</t>
  </si>
  <si>
    <t>COVID-DON-210</t>
  </si>
  <si>
    <t>Tyvek Suits x-lg hood</t>
  </si>
  <si>
    <t>COVID-DON-211</t>
  </si>
  <si>
    <t>Tyvek Suits 2x-lg hood</t>
  </si>
  <si>
    <t>COVID-DON-213</t>
  </si>
  <si>
    <t>Tyvek Suits 2x-lg no hood</t>
  </si>
  <si>
    <t>COVID-DON-215</t>
  </si>
  <si>
    <t>Tyvek Suits lg no hood</t>
  </si>
  <si>
    <t>COVID-DON-216</t>
  </si>
  <si>
    <t>Tyvek Suits med hood</t>
  </si>
  <si>
    <t>COVID-DON-217</t>
  </si>
  <si>
    <t>Tyvek Suits lg hood</t>
  </si>
  <si>
    <t>COVID-DON-218</t>
  </si>
  <si>
    <t>Tyvek Suits med no hood</t>
  </si>
  <si>
    <t>COVID-DON-220</t>
  </si>
  <si>
    <t>Surgical Gowns donations</t>
  </si>
  <si>
    <t>COVID-DON-231</t>
  </si>
  <si>
    <t>COVID-DON-232</t>
  </si>
  <si>
    <t>Hand Sanitizer 1-liter liquid</t>
  </si>
  <si>
    <t>COVID-DON-233</t>
  </si>
  <si>
    <t>Hand Sanitizer 2-liter Gel</t>
  </si>
  <si>
    <t>COVID-DON-300</t>
  </si>
  <si>
    <t>COVID-DON-400</t>
  </si>
  <si>
    <t>Bleach 1-gallon donations</t>
  </si>
  <si>
    <t>COVID-DON-450</t>
  </si>
  <si>
    <t>Safety Goggles donations</t>
  </si>
  <si>
    <t>COVID-KC91591</t>
  </si>
  <si>
    <t>Kleenex 1200 ML Soaps 2/box</t>
  </si>
  <si>
    <t>COVID-M-51613</t>
  </si>
  <si>
    <t>Ashburn Dispenser Gel M-51613</t>
  </si>
  <si>
    <t>COVID-TEST</t>
  </si>
  <si>
    <t>COVID Swab Test Kits</t>
  </si>
  <si>
    <t>COVID-TTS</t>
  </si>
  <si>
    <t>Temp Measurement Camera</t>
  </si>
  <si>
    <t>COVID-VTM</t>
  </si>
  <si>
    <t>Viral Transport Medium</t>
  </si>
  <si>
    <t>Consolidated - Per 7,500 personnel</t>
  </si>
  <si>
    <t>Personnel</t>
  </si>
  <si>
    <t>updates</t>
  </si>
  <si>
    <t>5 days</t>
  </si>
  <si>
    <t>14 days</t>
  </si>
  <si>
    <t>60 days</t>
  </si>
  <si>
    <t>90 Day</t>
  </si>
  <si>
    <t>smallest unit</t>
  </si>
  <si>
    <t>Consolidated</t>
  </si>
  <si>
    <t>mask per day per person</t>
  </si>
  <si>
    <t>270 mask per person for 90 days (PLUS as of 5/7/20 26,000 more per day - 13,000 for visitors and 13,000 for community)</t>
  </si>
  <si>
    <t>masks per day per person</t>
  </si>
  <si>
    <t>on Friday</t>
  </si>
  <si>
    <t>pairs per day per person</t>
  </si>
  <si>
    <t>HSD</t>
  </si>
  <si>
    <t>wipes per day per person</t>
  </si>
  <si>
    <t>100 individual per box</t>
  </si>
  <si>
    <t>Hand Sanitizer (12oz bottle or equiv)</t>
  </si>
  <si>
    <t>oz per day per person</t>
  </si>
  <si>
    <t>Seattle IT</t>
  </si>
  <si>
    <t>Isopropyl Alcohol (16oz bottle or equiv)</t>
  </si>
  <si>
    <t>tissues per day per person</t>
  </si>
  <si>
    <t>Was temp set to 40,000 and then was set  7,500/30days once masks arrived. PLUS, as of 5/7/20 13,000 cloth masks for public)</t>
  </si>
  <si>
    <t>cloth masks</t>
  </si>
  <si>
    <t>NA</t>
  </si>
  <si>
    <t>SPD - Per 1,500 personnel</t>
  </si>
  <si>
    <t>Items Per Day</t>
  </si>
  <si>
    <t>override to (15) 12-oz bottles and (1) 1-gal refill per day per 4/10 email, changed to (4) 12-oz bottles/day and (17) 2-oz bottles and (1) 1-gal refill per day.</t>
  </si>
  <si>
    <t>SFD - Per 1100 personnel</t>
  </si>
  <si>
    <t>override to 1500 pair per day per 4/8 email</t>
  </si>
  <si>
    <t>override to 600 gowns per day per 4/8 email</t>
  </si>
  <si>
    <t>SDOT - Per 1100 personnel</t>
  </si>
  <si>
    <t>SCL - Per 400 personnel as of 4/20/20 (HSD and SCL were 1,000 personnel until 4/20/20)</t>
  </si>
  <si>
    <t>Seattle IT - Per 700 personnel</t>
  </si>
  <si>
    <t>SDCI - Per 550 personnel</t>
  </si>
  <si>
    <t>SPU, Parks &amp; Seattle Ctr - Per 400 personnel</t>
  </si>
  <si>
    <t>Libraries - Per 300 personnel</t>
  </si>
  <si>
    <t>Whse Units</t>
  </si>
  <si>
    <t>Case</t>
  </si>
  <si>
    <t>Masks Cloth</t>
  </si>
  <si>
    <t>TRASH BAGS</t>
  </si>
  <si>
    <t>Ask Mike how many in a box?</t>
  </si>
  <si>
    <t>Added 07/22/20</t>
  </si>
  <si>
    <t>Ask Mike</t>
  </si>
  <si>
    <t>Drum</t>
  </si>
  <si>
    <t>Tote</t>
  </si>
  <si>
    <t>Pail</t>
  </si>
  <si>
    <t>Reported</t>
  </si>
  <si>
    <t>Row Labels</t>
  </si>
  <si>
    <t>Sum of Dashboard Outstanding</t>
  </si>
  <si>
    <t>Max of Dashboard Delivery Date</t>
  </si>
  <si>
    <t>Use on Dashboard</t>
  </si>
  <si>
    <t>Item Check</t>
  </si>
  <si>
    <t>Difference</t>
  </si>
  <si>
    <t>(adding new SKU)</t>
  </si>
  <si>
    <t>TBD</t>
  </si>
  <si>
    <t>Other</t>
  </si>
  <si>
    <t>(blank)</t>
  </si>
  <si>
    <t>Grand Total</t>
  </si>
  <si>
    <t>Date</t>
  </si>
  <si>
    <t>Supplier</t>
  </si>
  <si>
    <t>Category</t>
  </si>
  <si>
    <t xml:space="preserve">Description </t>
  </si>
  <si>
    <t>Part Number</t>
  </si>
  <si>
    <t>Oz. per Item</t>
  </si>
  <si>
    <t>Total Oz. per Order</t>
  </si>
  <si>
    <t>Primary Qty</t>
  </si>
  <si>
    <t>Primary Unit</t>
  </si>
  <si>
    <t>Secondary Qty</t>
  </si>
  <si>
    <t>Secondary Unit</t>
  </si>
  <si>
    <t>Tirtiary Qty</t>
  </si>
  <si>
    <t>Tirtiary Unit</t>
  </si>
  <si>
    <t>Total Primary Qty/Order</t>
  </si>
  <si>
    <t>Total Secondary</t>
  </si>
  <si>
    <t xml:space="preserve">Price </t>
  </si>
  <si>
    <t>Extended Price</t>
  </si>
  <si>
    <t>Estimated Delivery Date</t>
  </si>
  <si>
    <t>Delivery Notes</t>
  </si>
  <si>
    <t>Ordering Dept</t>
  </si>
  <si>
    <t>Order No. (or PO No. if no blanket contract available)</t>
  </si>
  <si>
    <t>Order Notes</t>
  </si>
  <si>
    <t>Order Completely Received?</t>
  </si>
  <si>
    <t>Delivery 1 Qty Received</t>
  </si>
  <si>
    <t>Delivery 1 Inv No.</t>
  </si>
  <si>
    <t>Inv 1 Sent to FAS AP</t>
  </si>
  <si>
    <t>Delivery 2 Qty Received</t>
  </si>
  <si>
    <t>Delivery 2 Inv No.</t>
  </si>
  <si>
    <t>Inv 2 Sent to FAS AP</t>
  </si>
  <si>
    <t>Delivery 3 Qty Received</t>
  </si>
  <si>
    <t>Delivery 3 Inv No.</t>
  </si>
  <si>
    <t>Inv 3 Sent to FAS AP</t>
  </si>
  <si>
    <t>Outstanding Qty</t>
  </si>
  <si>
    <t>Dashboard Outstanding</t>
  </si>
  <si>
    <t>Dashboard Delivery Date</t>
  </si>
  <si>
    <t>Invoice Notes</t>
  </si>
  <si>
    <t>Short Issue?</t>
  </si>
  <si>
    <t>Short Issue Resolved?</t>
  </si>
  <si>
    <t>Short Issue Resolution</t>
  </si>
  <si>
    <t>RefLine</t>
  </si>
  <si>
    <t>Invoice Filename(s)</t>
  </si>
  <si>
    <t>WMBE</t>
  </si>
  <si>
    <t>Goods Total</t>
  </si>
  <si>
    <t>Tax</t>
  </si>
  <si>
    <t>Freight</t>
  </si>
  <si>
    <t>Duty</t>
  </si>
  <si>
    <t>Total (incl tax, frt, duty)</t>
  </si>
  <si>
    <t>Qty</t>
  </si>
  <si>
    <t>Unit of Measure</t>
  </si>
  <si>
    <t>Price/Unit</t>
  </si>
  <si>
    <t>SKU Unit of Meas</t>
  </si>
  <si>
    <t>SKU Multiplier</t>
  </si>
  <si>
    <t>Warehouse Unit Price</t>
  </si>
  <si>
    <t>Pricing Notes</t>
  </si>
  <si>
    <t>FEMA Category</t>
  </si>
  <si>
    <t>Pricing Month</t>
  </si>
  <si>
    <t>Brake &amp; Clutch</t>
  </si>
  <si>
    <t>Gloves - M</t>
  </si>
  <si>
    <t xml:space="preserve">Raven - Black - 6 mil - Medium </t>
  </si>
  <si>
    <t>SAS66517</t>
  </si>
  <si>
    <t>Pairs</t>
  </si>
  <si>
    <t>Ship to FAS Warehouse. Attn: Mike Wong</t>
  </si>
  <si>
    <t>FAS</t>
  </si>
  <si>
    <t>REF-002</t>
  </si>
  <si>
    <t>BrakeClutch_636052.pdf</t>
  </si>
  <si>
    <t>N</t>
  </si>
  <si>
    <t>2020-03</t>
  </si>
  <si>
    <t>Gloves - L</t>
  </si>
  <si>
    <t>Raven - Black - 6 mil - Large</t>
  </si>
  <si>
    <t>SAS66518</t>
  </si>
  <si>
    <t>REF-003</t>
  </si>
  <si>
    <t>Gloves - XL</t>
  </si>
  <si>
    <t>Raven - Black - 6 mil - X-Large</t>
  </si>
  <si>
    <t>SAS66519</t>
  </si>
  <si>
    <t>REF-004</t>
  </si>
  <si>
    <t>Tacoma Screw</t>
  </si>
  <si>
    <t>Black Diamond - Large - 6 mil - 100 per box - 10 boxes per case - 30 cases</t>
  </si>
  <si>
    <t>566-342</t>
  </si>
  <si>
    <t>Will call at Tacoma location by FFD</t>
  </si>
  <si>
    <t>S616031</t>
  </si>
  <si>
    <t>REF-005</t>
  </si>
  <si>
    <t>Tacoma_Screw_12849582.pdf</t>
  </si>
  <si>
    <t>Western Safety</t>
  </si>
  <si>
    <t>Biodegradable - black - 4mil - large</t>
  </si>
  <si>
    <t>6112PF-L</t>
  </si>
  <si>
    <t>188920-0</t>
  </si>
  <si>
    <t>188920-1</t>
  </si>
  <si>
    <t>REF-006</t>
  </si>
  <si>
    <t>Western_188920-1.pdf</t>
  </si>
  <si>
    <t>Y</t>
  </si>
  <si>
    <t>REF-007</t>
  </si>
  <si>
    <t>Biodegradable - black - 4mil - medium</t>
  </si>
  <si>
    <t>6112PF-M</t>
  </si>
  <si>
    <t>REF-008</t>
  </si>
  <si>
    <t>REF-009</t>
  </si>
  <si>
    <t>Gloves - S</t>
  </si>
  <si>
    <t>Biodegradable - black - 4mil - small</t>
  </si>
  <si>
    <t>6112PF-S</t>
  </si>
  <si>
    <t>REF-010</t>
  </si>
  <si>
    <t>REF-011</t>
  </si>
  <si>
    <t>Biodegradable - black - 4mil - x-large</t>
  </si>
  <si>
    <t>6112PF-XL</t>
  </si>
  <si>
    <t>REF-012</t>
  </si>
  <si>
    <t>REF-013</t>
  </si>
  <si>
    <t>Biodegradable - green - 4mil - x-large</t>
  </si>
  <si>
    <t>6110PF-XL</t>
  </si>
  <si>
    <t>REF-014</t>
  </si>
  <si>
    <t>Black Nitrile - Medium - 4.25mil</t>
  </si>
  <si>
    <t>N4432-M</t>
  </si>
  <si>
    <t>188906-0</t>
  </si>
  <si>
    <t>Yes</t>
  </si>
  <si>
    <t>188906-1</t>
  </si>
  <si>
    <t>Short 10 - packing slip showed 43 shipped; received 33.</t>
  </si>
  <si>
    <t>REF-015</t>
  </si>
  <si>
    <t>Western_188906-1.pdf</t>
  </si>
  <si>
    <t>Black Nitrile - X-Large - 4.25mil</t>
  </si>
  <si>
    <t>N4434-XL</t>
  </si>
  <si>
    <t>REF-016</t>
  </si>
  <si>
    <t>Blue Nitrile - Medium - 5mil</t>
  </si>
  <si>
    <t>N4222-M</t>
  </si>
  <si>
    <t>188889-0</t>
  </si>
  <si>
    <t>188889-1</t>
  </si>
  <si>
    <t>REF-017</t>
  </si>
  <si>
    <t>Western_188889-1.pdf</t>
  </si>
  <si>
    <t>Blue Nitrile - Small - 5mil</t>
  </si>
  <si>
    <t>N4221-S</t>
  </si>
  <si>
    <t>REF-018</t>
  </si>
  <si>
    <t>Blue Nitrile - X-Large - 5mil</t>
  </si>
  <si>
    <t>N4224-XL</t>
  </si>
  <si>
    <t>REF-019</t>
  </si>
  <si>
    <t>Derma-Lite PF Nitrile Gloves 100/box - large - Blue</t>
  </si>
  <si>
    <t>6608-20-L</t>
  </si>
  <si>
    <t>188981-0</t>
  </si>
  <si>
    <t>REF-020</t>
  </si>
  <si>
    <t>Non-FEMA</t>
  </si>
  <si>
    <t>Derma-Lite PF Nitrile Gloves 100/box - medium - Blue</t>
  </si>
  <si>
    <t>6607-20-M</t>
  </si>
  <si>
    <t>REF-021</t>
  </si>
  <si>
    <t>Derma-Lite PF Nitrile Gloves 100/box - x-large - Blue</t>
  </si>
  <si>
    <t>6609-20-XL</t>
  </si>
  <si>
    <t>REF-022</t>
  </si>
  <si>
    <t>Derma-Lite Small PF Nitrile Gloves 100/box - small - Blue</t>
  </si>
  <si>
    <t>6606-20-S</t>
  </si>
  <si>
    <t>REF-023</t>
  </si>
  <si>
    <t>N-Dex - Large</t>
  </si>
  <si>
    <t>8005PF-L</t>
  </si>
  <si>
    <t>188879-0</t>
  </si>
  <si>
    <t>188879-1</t>
  </si>
  <si>
    <t>REF-024</t>
  </si>
  <si>
    <t>Western_188879-1.pdf</t>
  </si>
  <si>
    <t>7005PFL</t>
  </si>
  <si>
    <t>REF-025</t>
  </si>
  <si>
    <t>N-Dex - Medium - 4 mil</t>
  </si>
  <si>
    <t>7005M</t>
  </si>
  <si>
    <t>REF-026</t>
  </si>
  <si>
    <t>Keeney's</t>
  </si>
  <si>
    <t>16 oz. bottle</t>
  </si>
  <si>
    <t>DIA06044</t>
  </si>
  <si>
    <t>Bottles</t>
  </si>
  <si>
    <t>K0004736</t>
  </si>
  <si>
    <t>KI-00017284</t>
  </si>
  <si>
    <t>REF-027</t>
  </si>
  <si>
    <t>Keeneys_KI-00017284.pdf</t>
  </si>
  <si>
    <t>Cleaning and Disinfecting Supplies</t>
  </si>
  <si>
    <t>Mallory Safety</t>
  </si>
  <si>
    <t>Diamond M  100 pair/box, 10 boxes per case</t>
  </si>
  <si>
    <t>DM-GL31215-MD</t>
  </si>
  <si>
    <t>REF-028</t>
  </si>
  <si>
    <t>Mallory_4805455.pdf</t>
  </si>
  <si>
    <t xml:space="preserve">Diamond M  100 pair/box      </t>
  </si>
  <si>
    <t>DM-GLDNBL5EF-LG</t>
  </si>
  <si>
    <t>REF-029</t>
  </si>
  <si>
    <t>Mallory_4811271.pdf</t>
  </si>
  <si>
    <t>DM-GLDNBL5EF-XL</t>
  </si>
  <si>
    <t>REF-030</t>
  </si>
  <si>
    <t>Mallory_4812091.pdf</t>
  </si>
  <si>
    <t>12 oz. bottle</t>
  </si>
  <si>
    <t>GOJ9759</t>
  </si>
  <si>
    <t>REF-031</t>
  </si>
  <si>
    <t xml:space="preserve"> DM-GLDNBL5EF-SM</t>
  </si>
  <si>
    <t>REF-032</t>
  </si>
  <si>
    <t>200 per pack - 12 packs per case - 175 cases</t>
  </si>
  <si>
    <t>BWK6220</t>
  </si>
  <si>
    <t>Sheets</t>
  </si>
  <si>
    <t>K0004882</t>
  </si>
  <si>
    <t>KI-00017727</t>
  </si>
  <si>
    <t>Short 1 - Packing slips showed 175j (PS K0004882-1 shows 174+1).</t>
  </si>
  <si>
    <t>REF-033</t>
  </si>
  <si>
    <t>Additional Supplies</t>
  </si>
  <si>
    <t>N-Dex - Medium - 8 mil</t>
  </si>
  <si>
    <t>8005M</t>
  </si>
  <si>
    <t>REF-034</t>
  </si>
  <si>
    <t>REF-035</t>
  </si>
  <si>
    <t>N-Dex - Plus - Large</t>
  </si>
  <si>
    <t>Short 18 - Packing slip shows 20 shipped; received 2 (18 short)</t>
  </si>
  <si>
    <t>REF-036</t>
  </si>
  <si>
    <t>N-Dex - Small-  8 mil - 50 per box</t>
  </si>
  <si>
    <t>8005S</t>
  </si>
  <si>
    <t>REF-037</t>
  </si>
  <si>
    <t xml:space="preserve">N-Dex - X-large </t>
  </si>
  <si>
    <t>8005PF-XL</t>
  </si>
  <si>
    <t>REF-038</t>
  </si>
  <si>
    <t>N-Dex - X-large - 8 mil</t>
  </si>
  <si>
    <t>8005XL</t>
  </si>
  <si>
    <t>REF-039</t>
  </si>
  <si>
    <t>REF-040</t>
  </si>
  <si>
    <t>REF-041</t>
  </si>
  <si>
    <t>N-Dex X-Large</t>
  </si>
  <si>
    <t>7005PFXL</t>
  </si>
  <si>
    <t>REF-042</t>
  </si>
  <si>
    <t>Nitrile Exam - Large - 5mil</t>
  </si>
  <si>
    <t>094-8-L</t>
  </si>
  <si>
    <t>188886-0</t>
  </si>
  <si>
    <t>188886-1</t>
  </si>
  <si>
    <t>REF-043</t>
  </si>
  <si>
    <t>Western_188886-1.pdf</t>
  </si>
  <si>
    <t>Nitrile Exam - Medium - 5mil</t>
  </si>
  <si>
    <t>094-7-M</t>
  </si>
  <si>
    <t>REF-044</t>
  </si>
  <si>
    <t>Nitrile Exam - Small - 5mil</t>
  </si>
  <si>
    <t>094-6-S</t>
  </si>
  <si>
    <t>REF-045</t>
  </si>
  <si>
    <t>Nitrile Exam -X- Large - 5mil</t>
  </si>
  <si>
    <t>094-9-XL</t>
  </si>
  <si>
    <t>REF-046</t>
  </si>
  <si>
    <t xml:space="preserve">Raven black nitrile - small - </t>
  </si>
  <si>
    <t>66516-S</t>
  </si>
  <si>
    <t>188917-0</t>
  </si>
  <si>
    <t>188917-1</t>
  </si>
  <si>
    <t>REF-047</t>
  </si>
  <si>
    <t>Western_188917-1.pdf</t>
  </si>
  <si>
    <t>Black Diamond - Large - 6 mil - 100 per box - 10 boxes per case - 100 cases</t>
  </si>
  <si>
    <t>S18529</t>
  </si>
  <si>
    <t>REF-048</t>
  </si>
  <si>
    <t>TacomaScrew_12850146.pdf</t>
  </si>
  <si>
    <t>Black Diamond - Medium - 6 mil - 100 per box - 10 boxes per case - 100 cases</t>
  </si>
  <si>
    <t>566-341</t>
  </si>
  <si>
    <t>REF-049</t>
  </si>
  <si>
    <t>Black Diamond - X-Large - 6 mil - 100 per box - 10 boxes per case - 100 cases</t>
  </si>
  <si>
    <t>566-343</t>
  </si>
  <si>
    <t>REF-050</t>
  </si>
  <si>
    <t xml:space="preserve">TOWEL,C-FLD,1PLY,200PK,WE </t>
  </si>
  <si>
    <t>WIN101B</t>
  </si>
  <si>
    <t>Ship to FAS Warehouse. Attn: Mike Wong.</t>
  </si>
  <si>
    <t>K0004948</t>
  </si>
  <si>
    <t>KI-00017934</t>
  </si>
  <si>
    <t>REF-051</t>
  </si>
  <si>
    <t>Keeneys_KI-00017934.pdf</t>
  </si>
  <si>
    <r>
      <rPr>
        <sz val="11"/>
        <rFont val="Calibri"/>
        <family val="2"/>
        <scheme val="minor"/>
      </rPr>
      <t>TOWEL,C-FLD,ENVN,1PLY,WE</t>
    </r>
  </si>
  <si>
    <t>GPC25190</t>
  </si>
  <si>
    <t>REF-052</t>
  </si>
  <si>
    <t xml:space="preserve">TOWEL,C-FOLD,2400/CT,WE </t>
  </si>
  <si>
    <t>GPC20241</t>
  </si>
  <si>
    <t>REF-053</t>
  </si>
  <si>
    <t>TOWEL,CFOLD,2400/CT,WE</t>
  </si>
  <si>
    <t>GPC20603</t>
  </si>
  <si>
    <t>REF-054</t>
  </si>
  <si>
    <t xml:space="preserve">TOWEL,PREM,1PLY,CFOLD,WH </t>
  </si>
  <si>
    <t>GPC2112014</t>
  </si>
  <si>
    <t>REF-055</t>
  </si>
  <si>
    <t xml:space="preserve">SOAP,FOAM,10OZ,6/CS </t>
  </si>
  <si>
    <t>MTH00363CT</t>
  </si>
  <si>
    <t>REF-056</t>
  </si>
  <si>
    <t>SOAP,HAND,FOAM,PINKGRP</t>
  </si>
  <si>
    <t xml:space="preserve">MTH01361CT </t>
  </si>
  <si>
    <t>REF-057</t>
  </si>
  <si>
    <t>Boardwalk® C-Fold Paper Towels, Bleached White, 200 Sheets/Pack, 12 Packs/Carton</t>
  </si>
  <si>
    <t xml:space="preserve">BWK6220 </t>
  </si>
  <si>
    <t>REF-058</t>
  </si>
  <si>
    <t xml:space="preserve">SOAP,FOAMING HAND WASH,LE </t>
  </si>
  <si>
    <t>MTH00362</t>
  </si>
  <si>
    <t>REF-059</t>
  </si>
  <si>
    <t>SOAP,FMG,HANDWSH,PINKGP</t>
  </si>
  <si>
    <t>MTH01361EA</t>
  </si>
  <si>
    <t>REF-060</t>
  </si>
  <si>
    <t>SOAP,FOAMING HAND WASH,LV</t>
  </si>
  <si>
    <t>MTH00363</t>
  </si>
  <si>
    <t>REF-061</t>
  </si>
  <si>
    <t>KI-00018340</t>
  </si>
  <si>
    <t>REF-062</t>
  </si>
  <si>
    <t>Keeneys_KI-00018340.pdf</t>
  </si>
  <si>
    <t xml:space="preserve">GPC20603 </t>
  </si>
  <si>
    <t>REF-063</t>
  </si>
  <si>
    <t>REF-064</t>
  </si>
  <si>
    <t xml:space="preserve">SOAP,FOAMING HAND WASH,CR </t>
  </si>
  <si>
    <t>MTH00361</t>
  </si>
  <si>
    <t>REF-065</t>
  </si>
  <si>
    <t>Boardwalk - small - 100 pair / box</t>
  </si>
  <si>
    <t>BWK380SBX</t>
  </si>
  <si>
    <t>Ship to FAS Warehouse. Attn: Mike Wong. Shipping from their Baltimore warehouse</t>
  </si>
  <si>
    <t>K0004842</t>
  </si>
  <si>
    <r>
      <t>KI-</t>
    </r>
    <r>
      <rPr>
        <sz val="11"/>
        <color rgb="FF000000"/>
        <rFont val="Calibri"/>
        <family val="2"/>
      </rPr>
      <t>00017709</t>
    </r>
  </si>
  <si>
    <t>KI-00017709</t>
  </si>
  <si>
    <t>Received 6 on 3/13 (PS K0004842-1), Received 2 on 3/16 (PSK0004842-3), Received 68 on 03/17/20 (PS K0004842-3 shows 66+2)</t>
  </si>
  <si>
    <t>REF-066</t>
  </si>
  <si>
    <t>Pacific Office Solutions</t>
  </si>
  <si>
    <t>Toilet Tissue</t>
  </si>
  <si>
    <t>Geogia Pacific - 550 sheet/rolls - 80 rolls per case</t>
  </si>
  <si>
    <t>GPC1828001</t>
  </si>
  <si>
    <t>Roll</t>
  </si>
  <si>
    <t>REF-067</t>
  </si>
  <si>
    <t>Kleenex - 36 boxes per case</t>
  </si>
  <si>
    <t>KCC21272</t>
  </si>
  <si>
    <t>REF-068</t>
  </si>
  <si>
    <t>Mircell - 12 bottles per case</t>
  </si>
  <si>
    <t>REF-069</t>
  </si>
  <si>
    <t>Boardwalk - small - 100 pair / box - 10 boxes per case</t>
  </si>
  <si>
    <t>BWK380SCT</t>
  </si>
  <si>
    <t>REF-070</t>
  </si>
  <si>
    <t>Boardwalk - medium - 100 pair / box - 10 boxes per case</t>
  </si>
  <si>
    <t>BWK380MCT</t>
  </si>
  <si>
    <t>REF-071</t>
  </si>
  <si>
    <t>Boardwalk - 100 tissues per box - 30 boxes per case - 132 cases</t>
  </si>
  <si>
    <t>BWK6500B</t>
  </si>
  <si>
    <t xml:space="preserve">KI-00017709 </t>
  </si>
  <si>
    <t>Short - Received 120 on 3/13 (PS K004842-1 shows 24+96, Received 12 on 3/16/20 (PS K004842-3 shows 11+1)</t>
  </si>
  <si>
    <t>REF-072</t>
  </si>
  <si>
    <t>7.5 oz. bottles - 12 bottles per case - 9 cases</t>
  </si>
  <si>
    <t>DIA06028CT</t>
  </si>
  <si>
    <t>Received 9 on 3/13 (PS K0004842-1)</t>
  </si>
  <si>
    <t>REF-073</t>
  </si>
  <si>
    <t>Boardwalk - x-large - 100 pair / box</t>
  </si>
  <si>
    <t>BWK380XLBX</t>
  </si>
  <si>
    <t>KW1009822</t>
  </si>
  <si>
    <t>04/20/20: Changed quantities from 3 cases to 2 cases.</t>
  </si>
  <si>
    <t>REF-074</t>
  </si>
  <si>
    <t>Genuine Joe Multi-fold towels - 16 packs per case - 175 cases</t>
  </si>
  <si>
    <t>GJO-21100</t>
  </si>
  <si>
    <t>KI-00018339</t>
  </si>
  <si>
    <t>Received 90 on 03/17/20 (PSK0004882-1)</t>
  </si>
  <si>
    <t>REF-075</t>
  </si>
  <si>
    <t>Keeneys_KI-00018339.pdf</t>
  </si>
  <si>
    <t>REF-076</t>
  </si>
  <si>
    <t>BrakeClutch_636284.pdf</t>
  </si>
  <si>
    <t>REF-077</t>
  </si>
  <si>
    <t>REF-078</t>
  </si>
  <si>
    <t>Excel Supply Company</t>
  </si>
  <si>
    <t>Clorox Disinfecting Wipes Fresh Scent 12 Cans per Case</t>
  </si>
  <si>
    <t>1201-CLO01593-EA</t>
  </si>
  <si>
    <t>Wipes</t>
  </si>
  <si>
    <t>Tubes</t>
  </si>
  <si>
    <t>SO210695</t>
  </si>
  <si>
    <t>REF-079</t>
  </si>
  <si>
    <t>Excel_118889.pdf</t>
  </si>
  <si>
    <t>Clorox Disinfectant Wipes Fresh Scent 75 Wipes/Tub</t>
  </si>
  <si>
    <t>1201-CLO15949</t>
  </si>
  <si>
    <t>REF-080</t>
  </si>
  <si>
    <t>Raven - Black - 6 mil - Small</t>
  </si>
  <si>
    <t>SAS66516</t>
  </si>
  <si>
    <t>REF-081</t>
  </si>
  <si>
    <t>BrakeClutch_636358.pdf</t>
  </si>
  <si>
    <t>REF-082</t>
  </si>
  <si>
    <t>REF-083</t>
  </si>
  <si>
    <t>REF-084</t>
  </si>
  <si>
    <t>WATER JEL HAND SANITIZER 4 OZ 24/Case</t>
  </si>
  <si>
    <t>2301-HS4</t>
  </si>
  <si>
    <t>SO210673</t>
  </si>
  <si>
    <t>REF-085</t>
  </si>
  <si>
    <t>Excel_118776.pdf</t>
  </si>
  <si>
    <t>Nonstock</t>
  </si>
  <si>
    <t>SANITIZER GEL INSTANT PURELL GOJO</t>
  </si>
  <si>
    <t>0712-9605-24</t>
  </si>
  <si>
    <t>REF-086</t>
  </si>
  <si>
    <t xml:space="preserve">Ship to FAS Warehouse. Attn: Mike Wong. Delivery from Northern California. </t>
  </si>
  <si>
    <t>REF-087</t>
  </si>
  <si>
    <t>REF-088</t>
  </si>
  <si>
    <t xml:space="preserve">MTH01361EA </t>
  </si>
  <si>
    <t>REF-089</t>
  </si>
  <si>
    <t>REF-090</t>
  </si>
  <si>
    <t>REF-091</t>
  </si>
  <si>
    <t>REF-092</t>
  </si>
  <si>
    <t>REF-093</t>
  </si>
  <si>
    <t>REF-094</t>
  </si>
  <si>
    <t>REF-095</t>
  </si>
  <si>
    <t>REF-096</t>
  </si>
  <si>
    <t>REF-097</t>
  </si>
  <si>
    <t>REF-098</t>
  </si>
  <si>
    <t>REF-099</t>
  </si>
  <si>
    <r>
      <rPr>
        <sz val="11"/>
        <rFont val="Calibri"/>
        <family val="2"/>
        <scheme val="minor"/>
      </rPr>
      <t>SOAP,FOAM,12OZ,6/CS</t>
    </r>
  </si>
  <si>
    <t>MTH00362CT</t>
  </si>
  <si>
    <t>REF-100</t>
  </si>
  <si>
    <t>Visor</t>
  </si>
  <si>
    <t>Full Leght Visor w/Velcro</t>
  </si>
  <si>
    <t>208D</t>
  </si>
  <si>
    <t>189410-0</t>
  </si>
  <si>
    <t>189410-1</t>
  </si>
  <si>
    <t>Received 200 no date (PS 189410-1)</t>
  </si>
  <si>
    <t>REF-101</t>
  </si>
  <si>
    <t>Western_189410-1.pdf</t>
  </si>
  <si>
    <t>Reliable Paper</t>
  </si>
  <si>
    <t>Dermi-gel - 55 gallon drums</t>
  </si>
  <si>
    <t>2097-55</t>
  </si>
  <si>
    <t>REF-102</t>
  </si>
  <si>
    <t>Ballard Hospitality</t>
  </si>
  <si>
    <t>Surgical Mask</t>
  </si>
  <si>
    <t>Face Mask, Protekcia Softech Barrier Protection</t>
  </si>
  <si>
    <t>CUP04</t>
  </si>
  <si>
    <t>FA0-0000000037</t>
  </si>
  <si>
    <t>BH001</t>
  </si>
  <si>
    <t>Received 100,000 on 04/10/20</t>
  </si>
  <si>
    <t>REF-103</t>
  </si>
  <si>
    <t>Ballard_BH001.pdf</t>
  </si>
  <si>
    <t>CPR Savers</t>
  </si>
  <si>
    <t>Procedure Face Mask - with Ear Loop Blue (SINGLE)</t>
  </si>
  <si>
    <t>2201-EA</t>
  </si>
  <si>
    <t>Ship to FAS Warehouse. Attn: Mike Wong. Shipping from AZ.</t>
  </si>
  <si>
    <t>1025986; FA0-0000000036</t>
  </si>
  <si>
    <t>REF-104</t>
  </si>
  <si>
    <t>CPRSavers_1025986.pdf</t>
  </si>
  <si>
    <t>Grainger</t>
  </si>
  <si>
    <t>N-95 No Filter</t>
  </si>
  <si>
    <t>Disposable Respirator, N95, Universal, PK20, 3M 8210</t>
  </si>
  <si>
    <t>3KP43</t>
  </si>
  <si>
    <t xml:space="preserve">No confirmed delivery or ship date per David S. </t>
  </si>
  <si>
    <t>REF-105</t>
  </si>
  <si>
    <t>Grainger_9464107359.pdf</t>
  </si>
  <si>
    <t>N-95 Filter</t>
  </si>
  <si>
    <t xml:space="preserve">N95 Masks w/ valve </t>
  </si>
  <si>
    <t>189124-0</t>
  </si>
  <si>
    <t>REF-106</t>
  </si>
  <si>
    <t xml:space="preserve">N95 Masks w/o valve </t>
  </si>
  <si>
    <t>189125-0</t>
  </si>
  <si>
    <t>189125-1</t>
  </si>
  <si>
    <t>REF-107</t>
  </si>
  <si>
    <t>Western_189125-1.pdf</t>
  </si>
  <si>
    <t>Uniseal - 5mil - large</t>
  </si>
  <si>
    <t>188944-0</t>
  </si>
  <si>
    <t>188944-1</t>
  </si>
  <si>
    <t>REF-108</t>
  </si>
  <si>
    <t>Western_188944-1.pdf</t>
  </si>
  <si>
    <t>Uniseal - 5mil - medium</t>
  </si>
  <si>
    <t>REF-109</t>
  </si>
  <si>
    <t>Uniseal - 5mil - small</t>
  </si>
  <si>
    <t>REF-110</t>
  </si>
  <si>
    <t>Uniseal - 5mil - x-large</t>
  </si>
  <si>
    <t>REF-111</t>
  </si>
  <si>
    <t>Avant - 1 gallon drum, 4 drums/case</t>
  </si>
  <si>
    <t>12089-128-FF</t>
  </si>
  <si>
    <t>Ship to FAS Warehouse. Attn: Mike Wong. 3/10 - shipping from Western Safety inventory when it arrives</t>
  </si>
  <si>
    <t>188691-0</t>
  </si>
  <si>
    <t>188691-1</t>
  </si>
  <si>
    <t>188691-2</t>
  </si>
  <si>
    <t>Received 116 on 03/23/20 (PS 188691-1). Received 12 on 04/01/20 (PS 188691-2)</t>
  </si>
  <si>
    <t>REF-112</t>
  </si>
  <si>
    <t>Western_188691-1.pdf, Western_188691-2.pdf</t>
  </si>
  <si>
    <t>Avant - 2 oz.</t>
  </si>
  <si>
    <t>12089-2FF</t>
  </si>
  <si>
    <t>REF-113</t>
  </si>
  <si>
    <t>Western_188691-1.pdf</t>
  </si>
  <si>
    <t xml:space="preserve">Avant - 16 oz. </t>
  </si>
  <si>
    <t>12089-16-FF</t>
  </si>
  <si>
    <t>188683-0</t>
  </si>
  <si>
    <t>188683-1</t>
  </si>
  <si>
    <t>Received 432 on 3/19/20 (PS 188683-1) Missing 19</t>
  </si>
  <si>
    <t>REF-114</t>
  </si>
  <si>
    <t>Western_188683-1.pdf</t>
  </si>
  <si>
    <t>Tyvek H-XXL</t>
  </si>
  <si>
    <t>HEWA - coveralls - XXL - w/elastic wrist and ankle bands with hood</t>
  </si>
  <si>
    <t>01428-2X</t>
  </si>
  <si>
    <t>188698-0</t>
  </si>
  <si>
    <t>REF-115</t>
  </si>
  <si>
    <t>Western_188698-1.pdf</t>
  </si>
  <si>
    <t>Tyvek H-XL</t>
  </si>
  <si>
    <t>HEWA - coveralls - XL - w/elastic wrist and ankle bands with hood</t>
  </si>
  <si>
    <t>01428-XL</t>
  </si>
  <si>
    <t>188698-1</t>
  </si>
  <si>
    <t>REF-116</t>
  </si>
  <si>
    <t>CaviWipes,Toweletts 160/PK, 6x6.75</t>
  </si>
  <si>
    <t>13-1100</t>
  </si>
  <si>
    <t>188758-0</t>
  </si>
  <si>
    <t>188758-1</t>
  </si>
  <si>
    <t>188758-2</t>
  </si>
  <si>
    <t>Received 1,440 on 04/10/20 (PS 188758-1) and Received 2,160 on 4/17/20 (PS 188758-2)</t>
  </si>
  <si>
    <t>REF-117</t>
  </si>
  <si>
    <t>Western_188758-1.pdf, Western_188758-2.pdf</t>
  </si>
  <si>
    <t>Kleenex Facial Tissue - 48 boxes per case</t>
  </si>
  <si>
    <t>Ship to FAS Warehouse. Attn: Mike Wong. In stock, drop ship from manufacturer</t>
  </si>
  <si>
    <t>188687-0</t>
  </si>
  <si>
    <t>188687-2</t>
  </si>
  <si>
    <t>Received 160 on 4/14/20 (from Kimberly-Clark Shipment 519213060)</t>
  </si>
  <si>
    <t>REF-118</t>
  </si>
  <si>
    <t>Western_188687-2.pdf</t>
  </si>
  <si>
    <t>188785-0</t>
  </si>
  <si>
    <t>189915-1</t>
  </si>
  <si>
    <t>Received 160 on 4/13/20 (from Kinberly-Clark Shipment 518984038)</t>
  </si>
  <si>
    <t>Only Billed 154 on inv#188687-2</t>
  </si>
  <si>
    <t>REF-119</t>
  </si>
  <si>
    <t>Western_189915-1.pdf</t>
  </si>
  <si>
    <t>Cottonelle Professional Bath Tissue - 60 rolls per case</t>
  </si>
  <si>
    <t>Received 125 on 4/14/20 (from Kimberly-Clark Shipment 519213060)</t>
  </si>
  <si>
    <t>REF-120</t>
  </si>
  <si>
    <t>188915-1</t>
  </si>
  <si>
    <t>Received 125 on 4/13/20 (from Kimberly-Clark Shipment 518984038)</t>
  </si>
  <si>
    <t>REF-121</t>
  </si>
  <si>
    <t>Lysol Wipes - 35 count</t>
  </si>
  <si>
    <t>188755-0</t>
  </si>
  <si>
    <t>188755-1</t>
  </si>
  <si>
    <t>REF-122</t>
  </si>
  <si>
    <t>Western_188755-1.pdf</t>
  </si>
  <si>
    <t>Kleenex Facial Tissue</t>
  </si>
  <si>
    <t>188687-1</t>
  </si>
  <si>
    <t>Received 3 on 4/14/20 (from Kimberly-Clark Shipment 519213060)</t>
  </si>
  <si>
    <t>REF-123</t>
  </si>
  <si>
    <t>Western_188687-1.pdf</t>
  </si>
  <si>
    <t>Kleenex Premier Folded Towels - 3000 towels per case</t>
  </si>
  <si>
    <t>Received 3 on 4/13/20 (from Kimberly-Clark Shipment 518984038)</t>
  </si>
  <si>
    <t>REF-124</t>
  </si>
  <si>
    <t xml:space="preserve"> Hand Sanitizing Wipes- 150 count</t>
  </si>
  <si>
    <t>P43572CT</t>
  </si>
  <si>
    <t>REF-125</t>
  </si>
  <si>
    <t>Boardwalk - medium - 100 pair / box</t>
  </si>
  <si>
    <t>BWK380MBX</t>
  </si>
  <si>
    <t xml:space="preserve">04/20/20: Changed from 89 cases to 81 cases. </t>
  </si>
  <si>
    <t>KI-00018337</t>
  </si>
  <si>
    <t>Short - Received 51 on 3/13 (PS K0004842-1 shows 81, received 51)</t>
  </si>
  <si>
    <t>REF-126</t>
  </si>
  <si>
    <t>Uniseal black nitrile - large - 6 mil</t>
  </si>
  <si>
    <t>777-8-L</t>
  </si>
  <si>
    <t>188887-0</t>
  </si>
  <si>
    <t>188887-1</t>
  </si>
  <si>
    <t>REF-127</t>
  </si>
  <si>
    <t>Western_188887-1.pdf</t>
  </si>
  <si>
    <t>Uniseal black nitrile - medium - 6 mil</t>
  </si>
  <si>
    <t>777-7-M</t>
  </si>
  <si>
    <t>REF-128</t>
  </si>
  <si>
    <t>Uniseal black nitrile - Small - 6 mil</t>
  </si>
  <si>
    <t>777-6-S</t>
  </si>
  <si>
    <t>REF-129</t>
  </si>
  <si>
    <t>Uniseal black nitrile - x-large - 6 mil</t>
  </si>
  <si>
    <t>777-9-XL</t>
  </si>
  <si>
    <t>REF-130</t>
  </si>
  <si>
    <t>Avant - 16 oz. - 12 per case - 834 cases</t>
  </si>
  <si>
    <t>Ship to Mt Baker Warehouse</t>
  </si>
  <si>
    <t>188957-0</t>
  </si>
  <si>
    <t>188957-2</t>
  </si>
  <si>
    <t>188957-3</t>
  </si>
  <si>
    <t>188957-4, 188957-5, 188957-6, 188957-7</t>
  </si>
  <si>
    <t>Received 480 on 4/27 (PS 188957-2). Received 1,080 on 05/20/20 and received 360 on 05/22/20 (Receiving report 05/22/20 1315 shows the total of both deliveries for a total of 1,440 and is listed on packing slip 188957-3). Received 3240 on 5/29/20 (3 receiving reports and packing slips - 1,080 on 05/29/20 1025 PS 188957-4, 1,080 on 05/29/201120 PS 188957-5, and 1,080 on 05/29/20 1400). // Received 1800 on 06/12/20 (900 on receiving report from 0937 Packing slip 188957-7, and 900 on receiving report from 1050 188957-8). These 1800 were paid on Inv #188957-5 to A/P on 07/08/20. // Received 600 bottles on on 07/07/20 per Mike Wong email at 10:15am - Packing Slip 188957-9. Paid on Inv#188957-6 to A/P on 07/08/20. // Received 225 cases (2700 bottles) on 08/03/2020 at 1000 per receiving report. Paid on inv#188957-7 to A/P on 08/05/20.</t>
  </si>
  <si>
    <t>REF-131</t>
  </si>
  <si>
    <t>Western_188957-2.pdf, Western_188957-4.pdf, Western_188957-3.pdf</t>
  </si>
  <si>
    <t>3M N95 Respirator 20 per box</t>
  </si>
  <si>
    <t>189023-0</t>
  </si>
  <si>
    <t>189023-1</t>
  </si>
  <si>
    <t>REF-132</t>
  </si>
  <si>
    <t>Western_189023-1.pdf</t>
  </si>
  <si>
    <t>3M N95 Disp DM Mask W/Valve 10</t>
  </si>
  <si>
    <t>REF-133</t>
  </si>
  <si>
    <t xml:space="preserve">Procurement Services </t>
  </si>
  <si>
    <t>3Ply Surgical Face Masks</t>
  </si>
  <si>
    <t>3Ply Surgical</t>
  </si>
  <si>
    <t>FA0-0000000040</t>
  </si>
  <si>
    <t>INV/2020/0002</t>
  </si>
  <si>
    <t>Received 180,000 on 04/21/20 (PS from World Class Shipping, signed by Mike wong).</t>
  </si>
  <si>
    <t>REF-134</t>
  </si>
  <si>
    <t>ProcurementServices_INV-2020-0002.pdf</t>
  </si>
  <si>
    <t xml:space="preserve">Disinfectant Wipes Clorox </t>
  </si>
  <si>
    <t>CLO15949CT</t>
  </si>
  <si>
    <t>4/8 - per follow-up with Steven at Keeney's we have 4,000 due in on 4/15 and 4,000 due in on 4/21. This is just projected dates. They are monitoring the situation with their supplier</t>
  </si>
  <si>
    <t>HEWA Tyvek Coverall SZ 2X - hood elastic wrist and ankle</t>
  </si>
  <si>
    <t>189289-0</t>
  </si>
  <si>
    <t>189289-1</t>
  </si>
  <si>
    <t>Delivered to SDOT in error. Signed for by John C / SDOT. Later reached FAS-Centralized Whse.</t>
  </si>
  <si>
    <t>REF-136</t>
  </si>
  <si>
    <t>Western_189289-1.pdf</t>
  </si>
  <si>
    <t>HEWA Tyvek Coverall SZ XL - hood elastic wrist and ankle</t>
  </si>
  <si>
    <t>REF-137</t>
  </si>
  <si>
    <t>Tyvek NH-XXL</t>
  </si>
  <si>
    <t>TY125S EWA Tyvek Coverall 2X - elastic wrist and ankle</t>
  </si>
  <si>
    <t>01417-2X</t>
  </si>
  <si>
    <t>189288-0</t>
  </si>
  <si>
    <t>189288-1</t>
  </si>
  <si>
    <t>Received 200 on 3/27/20 (PS 189288-1)</t>
  </si>
  <si>
    <t>REF-138</t>
  </si>
  <si>
    <t>Western_189288-1.pdf</t>
  </si>
  <si>
    <t>Tyvek NH-XL</t>
  </si>
  <si>
    <t>TY125S EWA Tyvek Coverall XL - elastic wrist and ankle</t>
  </si>
  <si>
    <t>01417-XL</t>
  </si>
  <si>
    <t>REF-139</t>
  </si>
  <si>
    <t>Complete Office</t>
  </si>
  <si>
    <t>TOILET TISSUE,2PLY,WE,RECY,80</t>
  </si>
  <si>
    <t>EB8543</t>
  </si>
  <si>
    <t>1949612-0</t>
  </si>
  <si>
    <t>REF-140</t>
  </si>
  <si>
    <t>Complete_Office_1949612-0.pdf</t>
  </si>
  <si>
    <t>TISSUE,FACIAL,100 RCY,150/20CT</t>
  </si>
  <si>
    <t>EF150</t>
  </si>
  <si>
    <t>REF-141</t>
  </si>
  <si>
    <t>GLOVE,NIT.PF,SML,EXAM,BLACK,1C</t>
  </si>
  <si>
    <t>GLN145FS</t>
  </si>
  <si>
    <t>REF-142</t>
  </si>
  <si>
    <t>GLOVE,NIT.PF,MED,EXAM,BLACK,1C</t>
  </si>
  <si>
    <t>GLN145FM</t>
  </si>
  <si>
    <t>REF-143</t>
  </si>
  <si>
    <t>GLOVE,NIT.PF,XXL,EXAM,BLACK,1C</t>
  </si>
  <si>
    <t>GLN145FXX</t>
  </si>
  <si>
    <t>REF-144</t>
  </si>
  <si>
    <t>GLOVE,NIT.PF,LGE,EXAM,BLACK,1C</t>
  </si>
  <si>
    <t>GLN145FL</t>
  </si>
  <si>
    <t>REF-145</t>
  </si>
  <si>
    <t>1000 coveralls are on backorder. Ship to FAS Warehouse. Attn: Mike Wong.</t>
  </si>
  <si>
    <t>189452-0</t>
  </si>
  <si>
    <t>189452-1</t>
  </si>
  <si>
    <t>REF-146</t>
  </si>
  <si>
    <t>Western_189452-1.pdf</t>
  </si>
  <si>
    <t>REF-147</t>
  </si>
  <si>
    <t>Avant Hand Sanitizer 1 Gallon</t>
  </si>
  <si>
    <t>189602-0</t>
  </si>
  <si>
    <t>189602-1</t>
  </si>
  <si>
    <t>12 BO not invoiced</t>
  </si>
  <si>
    <t>REF-148</t>
  </si>
  <si>
    <t>Western_189602-1.pdf</t>
  </si>
  <si>
    <t>Avant Hand Sanitizer 16 oz 12/cs</t>
  </si>
  <si>
    <t>189627-0</t>
  </si>
  <si>
    <t>189627-1</t>
  </si>
  <si>
    <t>REF-149</t>
  </si>
  <si>
    <t>Western_189627-1.pdf</t>
  </si>
  <si>
    <t>HEWA Tyvek Coverall SZ XL</t>
  </si>
  <si>
    <t>189629-0</t>
  </si>
  <si>
    <t>189629-1</t>
  </si>
  <si>
    <t>REF-150</t>
  </si>
  <si>
    <t>Western_189629-1.pdf</t>
  </si>
  <si>
    <t>REF-151</t>
  </si>
  <si>
    <t>Stellar</t>
  </si>
  <si>
    <t>COVERALL TYVEK ZIPPER HOOD Elastic Wrist and Ankle 25/CS</t>
  </si>
  <si>
    <t>TY127SWHXL002500</t>
  </si>
  <si>
    <t>REF-152</t>
  </si>
  <si>
    <t>Stellar_4193203.pdf</t>
  </si>
  <si>
    <t>TY127SWH2X002500</t>
  </si>
  <si>
    <t>REF-153</t>
  </si>
  <si>
    <t>HS Refill Bags</t>
  </si>
  <si>
    <t>PURELL TFX SANITIZER REFILL</t>
  </si>
  <si>
    <t>GOJOI 5456-04</t>
  </si>
  <si>
    <t>REF-154</t>
  </si>
  <si>
    <t>Stellar_4193204.pdf</t>
  </si>
  <si>
    <t>REF-155</t>
  </si>
  <si>
    <t>Stellar_4193205.pdf</t>
  </si>
  <si>
    <t>REF-156</t>
  </si>
  <si>
    <t>4 oz. Fresh A.B.H.C.™ bottle</t>
  </si>
  <si>
    <t>189713-0</t>
  </si>
  <si>
    <t>189713-1</t>
  </si>
  <si>
    <t>Received 600 on 04/13/20 (PS189713-1)</t>
  </si>
  <si>
    <t>REF-157</t>
  </si>
  <si>
    <t>Western_189713-1.pdf</t>
  </si>
  <si>
    <t>Avant Hand Sanitizer 1 Gallon 4/CS, No Pump</t>
  </si>
  <si>
    <t>189526-0</t>
  </si>
  <si>
    <t>REF-158</t>
  </si>
  <si>
    <t>Fremont Mischief</t>
  </si>
  <si>
    <t>1-gallon containers of hand sanitizer</t>
  </si>
  <si>
    <t>Pick-up address and Supplier point of contact:
Fremont Mischief 
127 – North 35th Street
Seattle, WA. 
Derick Lewis – 206-788-7883
Order will be ready at 1PM.</t>
  </si>
  <si>
    <t>Credit Card - Dave M.</t>
  </si>
  <si>
    <t>1517 (Paid by CC)</t>
  </si>
  <si>
    <t>Paid by CC, per David.</t>
  </si>
  <si>
    <t>REF-159</t>
  </si>
  <si>
    <t>CCard_Fremont Mischief 04012020 $1517.pdf</t>
  </si>
  <si>
    <t>2020-04</t>
  </si>
  <si>
    <t xml:space="preserve">32oz Ultra Clean antibacterial hand soap </t>
  </si>
  <si>
    <t>WS-JS20032</t>
  </si>
  <si>
    <t>Received 3,000 on 04/21/20 (Pick Ticket 3864185).</t>
  </si>
  <si>
    <t>REF-160</t>
  </si>
  <si>
    <t>Mallory_4830806.pdf</t>
  </si>
  <si>
    <t>Bleach</t>
  </si>
  <si>
    <t>1 gallon bleach</t>
  </si>
  <si>
    <t>BWK3406</t>
  </si>
  <si>
    <t>K0005239</t>
  </si>
  <si>
    <t>KI-00019559</t>
  </si>
  <si>
    <t>REF-161</t>
  </si>
  <si>
    <t>Keeneys_KI-00019559.pdf</t>
  </si>
  <si>
    <t>The Supply Source</t>
  </si>
  <si>
    <t>Ultra Germicidal Bleach, Gallon</t>
  </si>
  <si>
    <t>Received 120 on 4/6/20 (PS 2001120)</t>
  </si>
  <si>
    <t>REF-162</t>
  </si>
  <si>
    <t>SupplySource_2001503.pdf</t>
  </si>
  <si>
    <t>Unispace</t>
  </si>
  <si>
    <t>Sensi 3-ply face masks</t>
  </si>
  <si>
    <t>Ship to FAS Warehouse. Attn: Mike Wong 8532 15th Ave NW Seattle, WA 98117</t>
  </si>
  <si>
    <t>FA0-0000000045</t>
  </si>
  <si>
    <t>Received 75 cases of 40 boxes = 3000 boxes of 50 masks each = 150,000 masks on 05/01/20 (Receiving report from Whse with JB Hunt Bill of Lading). Received 560000 (11,200 boxes of 50 each) on 05/11/20 1030 (Receiving Report). Received 290000 (5,800 boxes of 50 each) on 5/12/20 1145.</t>
  </si>
  <si>
    <t>REF-163</t>
  </si>
  <si>
    <t>Unispace_6688.pdf, Unispace_6738.pdf, Unispace_6744.pdf</t>
  </si>
  <si>
    <t>Shipping of $4,885 on inv#6688, Shipping of $4,960 on inv#6738, Shipping of $4,634 on inv#6744</t>
  </si>
  <si>
    <t>Germstar Gel Hand Sanitizer</t>
  </si>
  <si>
    <t>GST90340CT</t>
  </si>
  <si>
    <t>K0005271</t>
  </si>
  <si>
    <t>KI-00019968</t>
  </si>
  <si>
    <t>Received 166 around 4/22/20 (no date - PS K0005271-1)</t>
  </si>
  <si>
    <t>REF-164</t>
  </si>
  <si>
    <t>Keeneys_KI-00019968.pdf</t>
  </si>
  <si>
    <t>CLOROX WIPES, 160 WIPES PER TUB, 12 TUBS PER CARTON</t>
  </si>
  <si>
    <t>NO PO#1</t>
  </si>
  <si>
    <t>KI-00019346</t>
  </si>
  <si>
    <t>Invoice said chg to HSD.</t>
  </si>
  <si>
    <t>REF-165</t>
  </si>
  <si>
    <t>WIPES, HANDSINSTNT SNTZNG</t>
  </si>
  <si>
    <t>NICP43572CT</t>
  </si>
  <si>
    <t>K0005275</t>
  </si>
  <si>
    <t>KI-00019357</t>
  </si>
  <si>
    <t>Received 14 on 04/08/20 on PS K0005275-1</t>
  </si>
  <si>
    <t>REF-166</t>
  </si>
  <si>
    <t>Keeneys_KI-00019357.pdf</t>
  </si>
  <si>
    <t>Ebay</t>
  </si>
  <si>
    <t>Therm</t>
  </si>
  <si>
    <t>No Touch Infrared Digital Forehead Thermometer Baby Adult Body Temperature Gun</t>
  </si>
  <si>
    <t>Credit Card - Presley; FAO-040720</t>
  </si>
  <si>
    <t>Received 99 per presley on unknown date</t>
  </si>
  <si>
    <t>REF-167</t>
  </si>
  <si>
    <t>CCard_EBAY 04-07-2020 $5351.94.pdf</t>
  </si>
  <si>
    <t>No-contact Touch Infrared Digital LCD Thermometer Head Forehead Baby Adult US</t>
  </si>
  <si>
    <t>None</t>
  </si>
  <si>
    <t>Credit Card - Presley; FAO-0400320</t>
  </si>
  <si>
    <t>REF-168</t>
  </si>
  <si>
    <t>First Aid Global</t>
  </si>
  <si>
    <t>PAWS</t>
  </si>
  <si>
    <t>P.A.W.S Antimicrobial Hand Sanitizer Wipes - 100</t>
  </si>
  <si>
    <t>PAWS 100</t>
  </si>
  <si>
    <t>Packs</t>
  </si>
  <si>
    <t>Credit Card - Presley; PO# STTL-pxj7w4</t>
  </si>
  <si>
    <t>REF-169</t>
  </si>
  <si>
    <t>General Industrial Respirator NIOSH Approval
TC-84A-0007 Filter Class N95 Nose Clip
Standard Cool Flow Valve No Face Seal No
Approved Dust/Mist Maintenance Free 20/box,
160/case or 8 bxs per case.4O cases per pallet.</t>
  </si>
  <si>
    <t>3MCOM-8210</t>
  </si>
  <si>
    <t>2601645; contract# 2937 (original order was 2599089)</t>
  </si>
  <si>
    <t>REF-170</t>
  </si>
  <si>
    <t>IA</t>
  </si>
  <si>
    <t>Isopropyl Alcohol, 5 Gal Pail</t>
  </si>
  <si>
    <t>FT183-5</t>
  </si>
  <si>
    <t>2001157; PO# FA0-2001157</t>
  </si>
  <si>
    <t>REF-171</t>
  </si>
  <si>
    <t xml:space="preserve">Ship to FAS Warehouse. Attn: Mike Wong. </t>
  </si>
  <si>
    <t>190215-0; FA0-190215</t>
  </si>
  <si>
    <t>190215-1</t>
  </si>
  <si>
    <t>Received 100 on 04/10/20 (PS 190215-1)</t>
  </si>
  <si>
    <t>REF-172</t>
  </si>
  <si>
    <t>Western_190215-1.pdf</t>
  </si>
  <si>
    <t>Received 80 on 04/10/20 (PS 190215-1)</t>
  </si>
  <si>
    <t>REF-173</t>
  </si>
  <si>
    <t>Avant Hand Sanitizer 16oz</t>
  </si>
  <si>
    <t>190215-0; FA0-190216</t>
  </si>
  <si>
    <t>190216-1</t>
  </si>
  <si>
    <t>Received 180 on 04/10/20 (PS 190216-1)</t>
  </si>
  <si>
    <t>REF-174</t>
  </si>
  <si>
    <t>Western_190216-1.pdf</t>
  </si>
  <si>
    <t>Sound Safety Products</t>
  </si>
  <si>
    <t>Santa Fe Masks</t>
  </si>
  <si>
    <t>PG94017</t>
  </si>
  <si>
    <t xml:space="preserve">25,000 will be ship on 4/13/2020 and the balance will ship 5/7/2020. From LA.  Ship to FAS Warehouse. Attn: Mike Wong. </t>
  </si>
  <si>
    <t>343679/1; FA0-0000000049</t>
  </si>
  <si>
    <t>343679/1</t>
  </si>
  <si>
    <t>K43679/1</t>
  </si>
  <si>
    <t>Received 20 cases (total of 1,250 masks each) on 04/16 (PS now attached to invoice), Received 180 cases (total of 225,000) masks on 05/07/20 (Receiving report)).</t>
  </si>
  <si>
    <t>REF-175</t>
  </si>
  <si>
    <t>SoundSafety_343679-1.pdf, SoundSafety_K43679-1.pdf</t>
  </si>
  <si>
    <t>Medispo Face Mask with Earl Loop</t>
  </si>
  <si>
    <t>HGI 966EL</t>
  </si>
  <si>
    <t>FA0-0000000050</t>
  </si>
  <si>
    <t>1956938-0</t>
  </si>
  <si>
    <t>REF-176</t>
  </si>
  <si>
    <t>CompleteOffice_1956938-0.pdf</t>
  </si>
  <si>
    <t>FS</t>
  </si>
  <si>
    <t>moved to line 41 in non-central tab per Steve V -JS 5.18.20</t>
  </si>
  <si>
    <t>REF-177</t>
  </si>
  <si>
    <t>Saryan's Arthur</t>
  </si>
  <si>
    <t>CMask</t>
  </si>
  <si>
    <t>cloth masks, Antimicrobial Fabric,chip inside PM2.5 - 5 layers. 100% cotton</t>
  </si>
  <si>
    <t>FA0-32118JS</t>
  </si>
  <si>
    <t>05052020</t>
  </si>
  <si>
    <t>Received 2,208 on 4/21/20 and 1,104 on 4/22/20 (Whse created packing slips), Received 15,960 on 4/28/20 (e-mail from Mike Wong). Received 8,160 on 4/30/20 (Whse created packing slip). Will short pay invoice by 568 @ $4.65 = $2,641.20. -smv. All of the above was entered as Delivery 1. Received 436 on 5/5/20 (Whse Receiving Report 5/5/20 at 10:45 and received 568 on 5/5/20 (Whse Receiving Report 5/5/20 a 11:20, entered the total of 1004 as Delivery 2).</t>
  </si>
  <si>
    <t>REF-178</t>
  </si>
  <si>
    <t>SaryansArthur_04092020.pdf, SarynsArthur_05052020.pdf</t>
  </si>
  <si>
    <t>FRESH N CLEAN ANTIBACTERIAL WIPE 80 WIPES IN A CANISTER 24 CANISTERS/CS</t>
  </si>
  <si>
    <t>PB078</t>
  </si>
  <si>
    <t>Ship to FAS Warehouse to Mike Wong. Shipping from CA. PO will cancel if product doesn't ship from CA by 06/09/2020</t>
  </si>
  <si>
    <t>343693/1; FA0-0000000051</t>
  </si>
  <si>
    <t>343693/1</t>
  </si>
  <si>
    <t>Credit for Shortage</t>
  </si>
  <si>
    <t>359353/1</t>
  </si>
  <si>
    <t>Received 60 cases at 24 tubes per case on 06/24/2020 at 10:50, Received 772 cases x24 =18528 of fresh n clean wipes and on 07/07/2020 at 0840am. Credit for the shortage of (48 x 24 = 1,152) on Credit Memo 359353/1.</t>
  </si>
  <si>
    <t>REF-179</t>
  </si>
  <si>
    <t>Clear Visor Face Shield</t>
  </si>
  <si>
    <t>moved to line 42 in non-central tab per Steve V. -JS 5.18.20</t>
  </si>
  <si>
    <t>REF-180</t>
  </si>
  <si>
    <t>Moved to line 43 in non-central tab per Steve V, JS 5.18.20</t>
  </si>
  <si>
    <t>REF-181</t>
  </si>
  <si>
    <t>General Pacific</t>
  </si>
  <si>
    <t>ECO KN95 (SUN)</t>
  </si>
  <si>
    <t>1219142; FA0-0000000052</t>
  </si>
  <si>
    <t>Received 500 on 05/05/20 (Pick Ticket 1267722).</t>
  </si>
  <si>
    <t>REF-182</t>
  </si>
  <si>
    <t>GeneralPacific_1371672.pdf</t>
  </si>
  <si>
    <t>Disinfectant Wipes Lysol Ocean Fresh</t>
  </si>
  <si>
    <t>RAC77925CT</t>
  </si>
  <si>
    <t>REF-183</t>
  </si>
  <si>
    <t>CaviWipes, 160 per pack, 6 packs per case, 134 cases total</t>
  </si>
  <si>
    <t>13-1110</t>
  </si>
  <si>
    <t>190280-0; 190280-0CW</t>
  </si>
  <si>
    <t>190280-1</t>
  </si>
  <si>
    <t>Received 804 pm 05/04/20 (PS 190280-1)</t>
  </si>
  <si>
    <t>REF-184</t>
  </si>
  <si>
    <t>Western_190280-1.pdf</t>
  </si>
  <si>
    <t>190281; 190281-0CW</t>
  </si>
  <si>
    <t>190281-2</t>
  </si>
  <si>
    <t>190281-1</t>
  </si>
  <si>
    <t xml:space="preserve">Received 480 on 06/03/20 1015 per Receiving Report, Received 324 on 06/03/20 1138 per receiving report </t>
  </si>
  <si>
    <t>REF-185</t>
  </si>
  <si>
    <t>190282; 190282-0CW</t>
  </si>
  <si>
    <t>REF-186</t>
  </si>
  <si>
    <t>Face Shield, Mylar, with foam strip and rubber head band (disposable)</t>
  </si>
  <si>
    <t>53190-023</t>
  </si>
  <si>
    <t>190250-0; FA0-STTL-g9sygi</t>
  </si>
  <si>
    <t>190250-1</t>
  </si>
  <si>
    <t>Received 1,000 on 4/16/20 (PS 190250-1)</t>
  </si>
  <si>
    <t>REF-187</t>
  </si>
  <si>
    <t>Western_190250-1.pdf</t>
  </si>
  <si>
    <t>Bartell's</t>
  </si>
  <si>
    <t>KN95 Masks (10 count)</t>
  </si>
  <si>
    <t>FA0-04132020-PT</t>
  </si>
  <si>
    <t>SEA041320</t>
  </si>
  <si>
    <t>Received 500 on 04/13/20 (e-mail from Wong).</t>
  </si>
  <si>
    <t>REF-188</t>
  </si>
  <si>
    <t>BartellDrugs_SEA041320.pdf</t>
  </si>
  <si>
    <t>WIPES,CLOROX,3PK/35CT,WH</t>
  </si>
  <si>
    <t>CLO30112CT</t>
  </si>
  <si>
    <t>Ship to FAS Warehouse, Mike Wong - 8532 15th AVE NW</t>
  </si>
  <si>
    <t>K0005349; PO# FA0-0000000053</t>
  </si>
  <si>
    <t>KI-00019756</t>
  </si>
  <si>
    <t>Received 4 on 04/16/20 (PS K0005349-1)</t>
  </si>
  <si>
    <t>REF-189</t>
  </si>
  <si>
    <t>Keeneys_KI-00019756.pdf</t>
  </si>
  <si>
    <t>PAWS, Antimicrobial Wipes, 50 per can, 240 cans</t>
  </si>
  <si>
    <t>FA0-190452-0</t>
  </si>
  <si>
    <t>REF-190</t>
  </si>
  <si>
    <t>Advanced Security Training Institute Inc.</t>
  </si>
  <si>
    <t>Gowns</t>
  </si>
  <si>
    <t>Isolation Surgical Gown, size large</t>
  </si>
  <si>
    <t>FA0-04172020-PT</t>
  </si>
  <si>
    <t>Received 8,000 on 05/14/20 0745 (Receiving Report).</t>
  </si>
  <si>
    <t>REF-191</t>
  </si>
  <si>
    <t>ASTI_121.pdf</t>
  </si>
  <si>
    <t>Isolation Surgical Gown, size extra large</t>
  </si>
  <si>
    <t>REF-192</t>
  </si>
  <si>
    <t>Wipes, Lysol, Ocean Wipes, 6 per case, 24 cases</t>
  </si>
  <si>
    <t>FA0-K00004796; K0004796</t>
  </si>
  <si>
    <t>KI-00019796</t>
  </si>
  <si>
    <t>Received 24 on 4/17/20 (PS K0004796-1)</t>
  </si>
  <si>
    <t>REF-193</t>
  </si>
  <si>
    <t>Keeneys_KI-000019796.pdf</t>
  </si>
  <si>
    <t>IHEALTH THERMOMETER MODEL PT3</t>
  </si>
  <si>
    <t>IHEAL PT3</t>
  </si>
  <si>
    <t>FA0-0000000055; 5980330</t>
  </si>
  <si>
    <t>Received 197 on 04/29 (Pick Ticket 7143921).</t>
  </si>
  <si>
    <t>REF-194</t>
  </si>
  <si>
    <t>Stellar_4202039.pdf</t>
  </si>
  <si>
    <t>Thermometer, non-contact</t>
  </si>
  <si>
    <t>FORAC-IR42</t>
  </si>
  <si>
    <t>FA0-0000000054; 2606964</t>
  </si>
  <si>
    <t>Received 50 on 04/29/20 (Pick Ticket #3864311)</t>
  </si>
  <si>
    <t>REF-195</t>
  </si>
  <si>
    <t>Mallory_4831223.pdf</t>
  </si>
  <si>
    <t>190482-0</t>
  </si>
  <si>
    <t>190482-1</t>
  </si>
  <si>
    <t>Received 1,920 on 04/20/20 (PS 190482-1)</t>
  </si>
  <si>
    <t>REF-196</t>
  </si>
  <si>
    <t>Western_190482-1.pdf</t>
  </si>
  <si>
    <t>Surgical Disposable Mask, 3 ply, 4 folded, ear loops. 50 per box, 40 boxes</t>
  </si>
  <si>
    <t>FA0-041720201-PT</t>
  </si>
  <si>
    <t>Received 88 on 04/21/20 (hand written packing slip from Whse), Received  2 on 04/23/20 (e-mail from Wong).</t>
  </si>
  <si>
    <t>REF-197</t>
  </si>
  <si>
    <t>FA0-0000000057; 5980467</t>
  </si>
  <si>
    <t>Received 100 on 04/29 (Pick Ticket 7143914).</t>
  </si>
  <si>
    <t>REF-198</t>
  </si>
  <si>
    <t>Stellar_4202040.pdf</t>
  </si>
  <si>
    <t>Moldex Respirator, Small, 10 per box, 10 boxes</t>
  </si>
  <si>
    <t>MOLDE-2701N95</t>
  </si>
  <si>
    <t>FA0-0000000058; 2606964</t>
  </si>
  <si>
    <t>Received 10 boxes of 10 on 06/17/2020 @11:15</t>
  </si>
  <si>
    <t>REF-199</t>
  </si>
  <si>
    <t>75% Liquid Hand Sanitizer, 55-gallon drums</t>
  </si>
  <si>
    <t>55DRUM</t>
  </si>
  <si>
    <t>FA0-STTL-54h49n</t>
  </si>
  <si>
    <t>Received 10 on 04/15/20 from Casey Products  (Whse made PS)</t>
  </si>
  <si>
    <t>REF-200</t>
  </si>
  <si>
    <t>Reliable_16185.pdf</t>
  </si>
  <si>
    <t>FA0-0000000059</t>
  </si>
  <si>
    <t>Received 240 on 04/29 (Pick Ticket 7143922), Received 10 on 05/05/20 (Pick Ticket 7144539).</t>
  </si>
  <si>
    <t>REF-201</t>
  </si>
  <si>
    <t>Stellar_4202041.pdf, Stellar_4203402.pdf</t>
  </si>
  <si>
    <t>Lux Eoi Hand Sanitizing Gel, 16.9oz, 500ml - 40%</t>
  </si>
  <si>
    <t>UPC 60003646014</t>
  </si>
  <si>
    <t>FA0-0000000056</t>
  </si>
  <si>
    <t>INV/2020/0006</t>
  </si>
  <si>
    <t>This invoice was 40% down payment - Received 2917 boxes on 05/26/20 0910 (2917x12=35004) Receiving Report covers lines C_202, C_203, and C_212.</t>
  </si>
  <si>
    <t>REF-202</t>
  </si>
  <si>
    <t>Lux Eoi Hand Sanitizing Gel, 16.9oz, 500ml - 60%</t>
  </si>
  <si>
    <t>UPC 860003646014</t>
  </si>
  <si>
    <t>INV/2020/0005</t>
  </si>
  <si>
    <t>Received 2917 boxes on 05/26/20 0910 (2917x12=35004) Receiving Report covers lines C_202, C_203, and C_212</t>
  </si>
  <si>
    <t>REF-203</t>
  </si>
  <si>
    <t>ProcurementServices_INV-2020-0005.pdf</t>
  </si>
  <si>
    <t>DUPLICATE</t>
  </si>
  <si>
    <t>Duplicate - should be on non-central</t>
  </si>
  <si>
    <t>See Non-Central - Line 22.</t>
  </si>
  <si>
    <t>REF-204</t>
  </si>
  <si>
    <t>Liquid Hand Sanitizer, 75% Alcohol, 275-gallon tote</t>
  </si>
  <si>
    <t>275 TOTE</t>
  </si>
  <si>
    <t>FA0-0000000061</t>
  </si>
  <si>
    <t>REF-205</t>
  </si>
  <si>
    <t>Reliable_17138.pdf</t>
  </si>
  <si>
    <t>Moldex Respirator, Small, 10 per box</t>
  </si>
  <si>
    <t>FA1-STTL-znnfte; 2610943</t>
  </si>
  <si>
    <t>Received 5 boxes of 10 on 6/4/20 1035 (receiving report and packing slip).</t>
  </si>
  <si>
    <t>REF-206</t>
  </si>
  <si>
    <t>Thermometer, IHEALTH</t>
  </si>
  <si>
    <t>FA1-0000000007; 5982632</t>
  </si>
  <si>
    <t>4204233 and 4204234</t>
  </si>
  <si>
    <t>Received 303 on 5/7/20 (Receiving Report) - invoiced 300 on inv#4204233 and 3 on inv#4204234.</t>
  </si>
  <si>
    <t>REF-207</t>
  </si>
  <si>
    <t>Stellar_4204233.pdf, Stellar_4204234.pdf</t>
  </si>
  <si>
    <t>PDI Alcohol Prep Pad, 100 per box, 10 boxes per case</t>
  </si>
  <si>
    <t>1622-C69900</t>
  </si>
  <si>
    <t>Ship to FAS</t>
  </si>
  <si>
    <t>FA1-0000000010; 2020-1092</t>
  </si>
  <si>
    <t>Received 10 boxes on 07/02/2020 at 13:25</t>
  </si>
  <si>
    <t>REF-208</t>
  </si>
  <si>
    <t>Purell Sanitizer Gel, 1200ML Refill, 4 per case, 750 cases, 3000 each</t>
  </si>
  <si>
    <t>0712-GOJ5456EA</t>
  </si>
  <si>
    <t>FA1-0000000009; 2020-1091</t>
  </si>
  <si>
    <t xml:space="preserve">Received 24 on 07/08/20 at 13:20 </t>
  </si>
  <si>
    <t>REF-209</t>
  </si>
  <si>
    <t>PDI alcohol Prep Pad, 100 per box, 10 boxes per case</t>
  </si>
  <si>
    <t>FA1-0000000008; 2020-1090</t>
  </si>
  <si>
    <t>Received 10 on 04/30/20 (PS#121560)</t>
  </si>
  <si>
    <t>REF-210</t>
  </si>
  <si>
    <t>Excel_121560.pdf</t>
  </si>
  <si>
    <t>KN 95 Masks</t>
  </si>
  <si>
    <t>ECO KN95</t>
  </si>
  <si>
    <t>1220478; FA1-0000000012</t>
  </si>
  <si>
    <t>Received 5,000 on 05/12/20 1107 (Receiving Report)</t>
  </si>
  <si>
    <t>REF-211</t>
  </si>
  <si>
    <t>2020-05</t>
  </si>
  <si>
    <t>INV/2020/0010</t>
  </si>
  <si>
    <t>Will deduct 18 off of one invoice.</t>
  </si>
  <si>
    <t>REF-212</t>
  </si>
  <si>
    <t>ProcurementServices_INV-2020-0010.pdf</t>
  </si>
  <si>
    <t>Lux Eoi Hand Sanitizer Gel, 16.9oz - 40%</t>
  </si>
  <si>
    <t>FA1-0000000013</t>
  </si>
  <si>
    <t>08</t>
  </si>
  <si>
    <t>Received 2940 boxes on 05/26/20 0840 (2940 x 12 = 35280) Lines C_213 and C_214 in one receiving report</t>
  </si>
  <si>
    <t>REF-213</t>
  </si>
  <si>
    <t>Lux Eoi Hand Sanitizer Gel, 16.9oz - 60%</t>
  </si>
  <si>
    <t>FA1-0000000013; S00019</t>
  </si>
  <si>
    <t>Received 2940 boxes on 05/26/20 0840 (2940 x 12 = 35280)Lines C_213 and C_214 in one receiving report</t>
  </si>
  <si>
    <t>REF-214</t>
  </si>
  <si>
    <t>Huons USA</t>
  </si>
  <si>
    <t>N3 Surgical Masks, 50/box</t>
  </si>
  <si>
    <t>FA105052020PT</t>
  </si>
  <si>
    <t>HUUS/OB/INV20-166</t>
  </si>
  <si>
    <t>Received 18000 boxes on 07/01/2020 at 1530</t>
  </si>
  <si>
    <t>REF-215</t>
  </si>
  <si>
    <t>Lemon &amp; Lime Blossom, 4/(3x35) ct.</t>
  </si>
  <si>
    <t>FA1-05052020PP</t>
  </si>
  <si>
    <t>SEA050820</t>
  </si>
  <si>
    <t>Received 684 (171 cases x 4 tubes/case) on 05/08/20 1208 (Receiving Report)</t>
  </si>
  <si>
    <t>REF-216</t>
  </si>
  <si>
    <t>BartellDrugs_SEA050820.pdf</t>
  </si>
  <si>
    <t>Lysol, US, LDS SWF 12/12.5Z (US02)</t>
  </si>
  <si>
    <t>REF-217</t>
  </si>
  <si>
    <t>Lysol Disinfecting Wipes - Brand New Day. Mango &amp; Hibiscus 6/80 ct.</t>
  </si>
  <si>
    <t>Received 204 (34 cases x 6 tubes/case) on 05/08/20 1208 (Receiving Report)</t>
  </si>
  <si>
    <t>REF-218</t>
  </si>
  <si>
    <t>Infrared no contact thermometers</t>
  </si>
  <si>
    <t>FT-100A</t>
  </si>
  <si>
    <t>FA1-0000000018</t>
  </si>
  <si>
    <t>Net 1</t>
  </si>
  <si>
    <t>05222020</t>
  </si>
  <si>
    <t xml:space="preserve">Received 1000 on 06/18/2020 at 13:30 </t>
  </si>
  <si>
    <t>REF-219</t>
  </si>
  <si>
    <t>DS</t>
  </si>
  <si>
    <t>M18 switch tank, 4-gallon, backpack sprayer kit</t>
  </si>
  <si>
    <t>MILWA 2820-21PS</t>
  </si>
  <si>
    <t>FA1-STTL-hywm6o; 5985620</t>
  </si>
  <si>
    <t>Received 15 on 05/12/20 1220 (Receiving Report).</t>
  </si>
  <si>
    <t>REF-220</t>
  </si>
  <si>
    <t>Stellar_4205246.pdf</t>
  </si>
  <si>
    <t>Equipment</t>
  </si>
  <si>
    <t>M18 red lithium 5.0 AH battery pack</t>
  </si>
  <si>
    <t>MILWA 48-11-1850</t>
  </si>
  <si>
    <t>REF-221</t>
  </si>
  <si>
    <t>Home Depot</t>
  </si>
  <si>
    <t>DSS</t>
  </si>
  <si>
    <t>Bioesque Botanical Disinfectant, 55-gallon drum</t>
  </si>
  <si>
    <t>FA1-STTL-hywm6o</t>
  </si>
  <si>
    <t>REF-222</t>
  </si>
  <si>
    <t>Bioesque Botanical Disinfectant, 5-gallon pail</t>
  </si>
  <si>
    <t>REF-223</t>
  </si>
  <si>
    <t>PAWS, Antimicrobial Towelette, 100 per box 100 $</t>
  </si>
  <si>
    <t>FA1-0000000021; 191326-0</t>
  </si>
  <si>
    <t>191326-1</t>
  </si>
  <si>
    <t>Received 100 boxes (10,000 wipes) on 05/15/20 (Receiving Report with PS 191326-1).</t>
  </si>
  <si>
    <t>REF-224</t>
  </si>
  <si>
    <t>Western_191326-1.pdf</t>
  </si>
  <si>
    <t>cloth masks, antimicrobial</t>
  </si>
  <si>
    <t>FA0-0000000060</t>
  </si>
  <si>
    <t>05132020</t>
  </si>
  <si>
    <t>Received 7,632 on 05/18/20 1130 (Receiving report - no packing slip).  Received 864 on 05/19/20 1400 (receiving report - no packing slip). Received 1,368 on 05/20/20 1100 (Receiving report - no packing slip). Received 5,484 on 05/21/20 1315 (Receiving report - no packing slip). Received 4,405 on 5/22/20 1025 (Receiving report - no packing slip). Received 252 on 6/2/20 (Receiving report - no packing slip).</t>
  </si>
  <si>
    <t>REF-225</t>
  </si>
  <si>
    <t>Saryans_05132020.pdf</t>
  </si>
  <si>
    <t>Purell Dispenser Stand with Dispenser</t>
  </si>
  <si>
    <t>2424-DS and 2720-12</t>
  </si>
  <si>
    <t>FA1-0000000022</t>
  </si>
  <si>
    <t>REF-226</t>
  </si>
  <si>
    <t>Purell Mask Bracket</t>
  </si>
  <si>
    <t>REF-227</t>
  </si>
  <si>
    <t>70% Isopropyl Alcohol, 32 oz bottles</t>
  </si>
  <si>
    <t>14-032-70</t>
  </si>
  <si>
    <t>Ship to Fas</t>
  </si>
  <si>
    <t>FA1-0000000024</t>
  </si>
  <si>
    <t>350132/1</t>
  </si>
  <si>
    <t>Received 3,975 cases (15,900 32 oz bottles) on 6/2, Received 150 cases (600 32oz bottles) on 6/8 1150</t>
  </si>
  <si>
    <t>REF-228</t>
  </si>
  <si>
    <t>SoundSafety_350132-1.pdf</t>
  </si>
  <si>
    <t>PDI Super Sani-Cloth, Germicidal, 160 ct</t>
  </si>
  <si>
    <t>Q55172</t>
  </si>
  <si>
    <t>FA1-STTL-shm90d</t>
  </si>
  <si>
    <t>Received 120 on 05/18/20 1450 (Receiving Report and P.S. ref inv#122126 / Sales Order SO212313 - 6 per case, 20 cases).</t>
  </si>
  <si>
    <t>REF-229</t>
  </si>
  <si>
    <t>Excel_12216.pdf, Excel_122369.pdf</t>
  </si>
  <si>
    <t>N95 masks, 3M 8200, 3M 8210, Gerson 1730</t>
  </si>
  <si>
    <t>FA1-0000000025</t>
  </si>
  <si>
    <t>123444, 123547, 123817, 123771, 124259</t>
  </si>
  <si>
    <t>Received 1600 of 3M N95 8200 masks and 4800 3M N95 8210s on 06/15/20 at 1500 (per receiving report, 10cases of 8200 and 30 cases of 8210, 20 masks per box, 8 boxes per case), Received 560 boxes of 20 8210s on 06/22/2020 at 1555, Received 120 boxes of 20 8210 on 07/02/2020 at 13:25. // Recieved 56 boxes on 07/08/20 1320 - Receiving Report and Packing slip 123547. Paid on Inv#123547 to A/P on 07/08/20. // Received 400 boxes on 07/21/20 at 1200 - Rec Rep and Pck Slip. Paid on Inv#123771 to A/P on 08/10/20. // Received 224 (80+144) boxes of 20 on 08/11/20 1030 (Packing Slip and Receiving Report 124259. Paid on Inv#124259 - to A/P on 08/17/20.</t>
  </si>
  <si>
    <t>REF-230</t>
  </si>
  <si>
    <t>TeleSwivel</t>
  </si>
  <si>
    <t>Bioesque Disinfectant, 55-gallon drum</t>
  </si>
  <si>
    <t xml:space="preserve"> BBDS55G </t>
  </si>
  <si>
    <t>Drums</t>
  </si>
  <si>
    <t xml:space="preserve"> Order </t>
  </si>
  <si>
    <t xml:space="preserve"> N/A </t>
  </si>
  <si>
    <t>FA1-0000000028</t>
  </si>
  <si>
    <t>Received 2 on 05/28/20 1055 (Receiving report and delivery info from Elden Logistics - no packing slip).</t>
  </si>
  <si>
    <t>REF-232</t>
  </si>
  <si>
    <t>TeleSwivel_777.pdf</t>
  </si>
  <si>
    <t>Bioesque Disinfectant, 5-gallon pail</t>
  </si>
  <si>
    <t>BBDs5G</t>
  </si>
  <si>
    <t>Pails</t>
  </si>
  <si>
    <t>Received 22 on 05/28/20 1055 (Receiving report and delivery info from Elden Logistics - no packing slip).</t>
  </si>
  <si>
    <t>REF-233</t>
  </si>
  <si>
    <t>Gown, elastic, blue, universal, Condor, 15 per pack</t>
  </si>
  <si>
    <t>32KF55</t>
  </si>
  <si>
    <t>Ship to FAS Warehouse 2901 27th Ave S</t>
  </si>
  <si>
    <t>FA1-0000000029</t>
  </si>
  <si>
    <t>Rec'd notice that delivery date pushed to 1/6/2021 (from 8/5/20)-back order</t>
  </si>
  <si>
    <t>REF-234</t>
  </si>
  <si>
    <t>Procurement Services</t>
  </si>
  <si>
    <t>FA1-0000000056</t>
  </si>
  <si>
    <t>REF C_212, short 18 bottles</t>
  </si>
  <si>
    <t>-</t>
  </si>
  <si>
    <t>2020-06</t>
  </si>
  <si>
    <t>Rubbing Alcohol, liquid solution, 70%, 16 oz. bottle</t>
  </si>
  <si>
    <t>2MRZ2</t>
  </si>
  <si>
    <t>Ship to FAS - changed address to 2901 27th S on 6.29.20 in DM email</t>
  </si>
  <si>
    <t>FA1-0000000030</t>
  </si>
  <si>
    <t>Rec'd notice on 8/12 that delivery expected now 13 on 8/13/20; 2k on 8/17/20; 9,987 on 8/20/20.</t>
  </si>
  <si>
    <t>REF-235</t>
  </si>
  <si>
    <t>Hand Sanitizer gel, 70%, 16.9 oz bottles</t>
  </si>
  <si>
    <t>FA1-0000000031</t>
  </si>
  <si>
    <t>HUUS/OB/INV20-165</t>
  </si>
  <si>
    <t>Received 22008 on 06/17/2020 1010 (8 over)</t>
  </si>
  <si>
    <t>REF-236</t>
  </si>
  <si>
    <t>Amazon.com</t>
  </si>
  <si>
    <t>50/100 Pcs replaceable activated carbon filters meltblown cloth filters by Moonli (500 pcs)</t>
  </si>
  <si>
    <t>ASIN B0877869VY</t>
  </si>
  <si>
    <t>Filters</t>
  </si>
  <si>
    <t>Ship to FAS Warehouse Attn:Mike Wong</t>
  </si>
  <si>
    <t>Paid by PP CC *6666, also included $5.99 S&amp;H</t>
  </si>
  <si>
    <t>Received 21,390 on 06/05/20 1005 (receiving report)</t>
  </si>
  <si>
    <t>REF-237</t>
  </si>
  <si>
    <t xml:space="preserve">Disposable face mask, 3-ply, 50 per box, 4,000 boxes. </t>
  </si>
  <si>
    <t>COM910160</t>
  </si>
  <si>
    <t>FA1-0000000034</t>
  </si>
  <si>
    <t>1967451-0</t>
  </si>
  <si>
    <t>Received 4000 on 06/11/20 0935,</t>
  </si>
  <si>
    <t>REF-238</t>
  </si>
  <si>
    <t>CompleteOffice_1967451-0.pdf</t>
  </si>
  <si>
    <t>Disposable face mask, 3-ply, 50 per box, 16,000</t>
  </si>
  <si>
    <t>1975233-1</t>
  </si>
  <si>
    <t>1978274-0</t>
  </si>
  <si>
    <t>Received 8000 boxes on 07/21/2020 at 0930 // Received 8000 boxes on 7/30/2020 per packing slip/email from Cregan.</t>
  </si>
  <si>
    <t>REF-239</t>
  </si>
  <si>
    <t>Hooded Coverall, Elastic, White, 2XL, Kleenguard, manufacturer part number 44325</t>
  </si>
  <si>
    <t>2WXA7</t>
  </si>
  <si>
    <t>FA1-0000000035</t>
  </si>
  <si>
    <t>9545098163 and 9545098171</t>
  </si>
  <si>
    <t>Received 25 on 06/01/20 1045 (Receiving report and packing slip - 24 cases @ 25/case = 600 each). Received 8 on 06/02/20 (Receiving report listing 8 cases @ 25/case = 200 each). Received 7 on 06/03/20 1045 (Receiving report listing 7 cases @ 25/case = 175 each).</t>
  </si>
  <si>
    <t>REF-240</t>
  </si>
  <si>
    <t>Grainger_9545098163.pdf, Grainger_9545098171.pdf, Grainger_9545293715.pdf</t>
  </si>
  <si>
    <t>Dupont Coverall, Tyvek Zipper Hood, elastic wrist and ankles, 25 per case, 40 cases</t>
  </si>
  <si>
    <t>FA1-0000000036, Blanket Contract 3342</t>
  </si>
  <si>
    <t>Received 200 on 06/19/2020 0824</t>
  </si>
  <si>
    <t>REF-241</t>
  </si>
  <si>
    <t>Lysol Spray Crisp Linen 12.5 oz, 141 cases, 12/case</t>
  </si>
  <si>
    <t>UPC FG19200074186 GIC #832092</t>
  </si>
  <si>
    <t>Ship to FAS Warehouse, Attn: Mike Wong</t>
  </si>
  <si>
    <t>FA1-06022020-PT</t>
  </si>
  <si>
    <t>SEA060220</t>
  </si>
  <si>
    <t>Received 141 cases (1692 ea) on 06/04/20 1150</t>
  </si>
  <si>
    <t>REF-242</t>
  </si>
  <si>
    <t>BartellDrugs_SEA060220.pdf</t>
  </si>
  <si>
    <t>Filter Chip Inserts for mask</t>
  </si>
  <si>
    <t>Ship to FAS Warehouse Attn: Mike Wong 98117</t>
  </si>
  <si>
    <t>FA1-0000000060</t>
  </si>
  <si>
    <t>This line was change ordered onto the PO</t>
  </si>
  <si>
    <t>Received 2,130 on 05/21/20 1510 (Receiving report - no packing slip). Received 5,330 on 05/22/20 1025 (Receiving report - no packing slip). Warehouse reported on 05/27/20 1309 that the total they had in stock was 16,109. Override outstanding to zero because the cloth masks arrived with an additional filter included with the cloth mask.</t>
  </si>
  <si>
    <t>REF-243</t>
  </si>
  <si>
    <t>Hand Sanitizer gel, 70%, clear scent 33.8 oz bottle with pump top</t>
  </si>
  <si>
    <t>Blumen</t>
  </si>
  <si>
    <t>FA1-0000000041, Blanket Contract 5128</t>
  </si>
  <si>
    <t>KI-00022480</t>
  </si>
  <si>
    <t>Received 156 on 06/04/20 1130 per receiving report</t>
  </si>
  <si>
    <t>REF-244</t>
  </si>
  <si>
    <t>Keeneys_KI-00022480.pdf</t>
  </si>
  <si>
    <t>MB Diversity</t>
  </si>
  <si>
    <t>Entaid Disinfectant Wipes, 80 wipes per tube</t>
  </si>
  <si>
    <t>Ship to Mike Wong, City of Seattle, 8532 15th Ave NW</t>
  </si>
  <si>
    <t>FA1-0000000044</t>
  </si>
  <si>
    <t>REF-245</t>
  </si>
  <si>
    <t>Ship to FAS, Mike Wong</t>
  </si>
  <si>
    <t>REF-246</t>
  </si>
  <si>
    <t>Milwaukee, switch tank, 4-gal backpack sprayer</t>
  </si>
  <si>
    <t>2820-21PS</t>
  </si>
  <si>
    <t xml:space="preserve">Ship to FAS </t>
  </si>
  <si>
    <t>FA1-0000000045</t>
  </si>
  <si>
    <t>Received 10 on 06/12/20 1330 (receiving report)</t>
  </si>
  <si>
    <t>REF-247</t>
  </si>
  <si>
    <t>Stellar_4213966.pdf</t>
  </si>
  <si>
    <t>Milwaukee battery pack</t>
  </si>
  <si>
    <t>48-11-1850</t>
  </si>
  <si>
    <t>Received 10 on 6/16/20 1020 (Receiving Report and packing slip 7156164).</t>
  </si>
  <si>
    <t>REF-248</t>
  </si>
  <si>
    <t>Ship to FAS Crown Hill Warehouse</t>
  </si>
  <si>
    <t>FA1-0000000046</t>
  </si>
  <si>
    <t>9 per case</t>
  </si>
  <si>
    <t>354635/1</t>
  </si>
  <si>
    <t>Received 1836 cases on 06/30/20 at 13:45</t>
  </si>
  <si>
    <t>REF-249</t>
  </si>
  <si>
    <t>N95 Masks, Honeywell, 20 per box</t>
  </si>
  <si>
    <t>N1115-14110391</t>
  </si>
  <si>
    <t>FA1-0000000026</t>
  </si>
  <si>
    <t>REF-250</t>
  </si>
  <si>
    <t>Avant Hand Sanitizer</t>
  </si>
  <si>
    <t>PO#3340, Orig Invoice # 188957-1</t>
  </si>
  <si>
    <t>REF C_131 - Western Safety issued credit invoice 191695-1 on 6/12/2020 (invoice date = 5/21/2020)</t>
  </si>
  <si>
    <t>REF-251</t>
  </si>
  <si>
    <t>BBDS55G</t>
  </si>
  <si>
    <t>FA1-0000000047</t>
  </si>
  <si>
    <t>NET 30</t>
  </si>
  <si>
    <t>Received 2 drums on 06/26/2020 at 1340</t>
  </si>
  <si>
    <t>REF-252</t>
  </si>
  <si>
    <t>Zogics</t>
  </si>
  <si>
    <t>Protexus handheld electrostatic sprayer</t>
  </si>
  <si>
    <t>PX200ES</t>
  </si>
  <si>
    <t>Ship to Crown Hill Warehouse</t>
  </si>
  <si>
    <t>FA1-STTL-xal5t</t>
  </si>
  <si>
    <t>Net 30</t>
  </si>
  <si>
    <t>Received 5 sprayers on 07/27/2020 1130</t>
  </si>
  <si>
    <t>REF-253</t>
  </si>
  <si>
    <t>Purtabs ESPT3.3G Disinfecting Tabs, 200 tabs per container, 108 containers</t>
  </si>
  <si>
    <t>ESPT3.3G-Single</t>
  </si>
  <si>
    <t>REF-254</t>
  </si>
  <si>
    <t>Isolation gown, XL, polyethylene, blue, pack of 100, 20 boxes</t>
  </si>
  <si>
    <t>56LA83</t>
  </si>
  <si>
    <t>Ship to 3807 2nd A</t>
  </si>
  <si>
    <t>Received 20 cases on 6.19.20 at 1030</t>
  </si>
  <si>
    <t>REF-255</t>
  </si>
  <si>
    <t>PAWS, Antimicrobial Towelette, 100 per box</t>
  </si>
  <si>
    <t>192629, PO#FA1-0000000049</t>
  </si>
  <si>
    <t>192629-1</t>
  </si>
  <si>
    <t>Received 300 boxes on 06/22/20 at 905</t>
  </si>
  <si>
    <t>REF-256</t>
  </si>
  <si>
    <t>Advanced Digital Solutions</t>
  </si>
  <si>
    <t>3-ply surgical masks, 100 per box, 20,000 boxes</t>
  </si>
  <si>
    <t>3PS-Masks</t>
  </si>
  <si>
    <t>PO# FA1-0000000050</t>
  </si>
  <si>
    <t>Received 2,016,000 on 07/08/20 0830 (Receiving Report). Overage is okay (donation).</t>
  </si>
  <si>
    <t>REF-257</t>
  </si>
  <si>
    <t>Mask Bracket, gray, purell, 2428-MB</t>
  </si>
  <si>
    <t>3EUE8</t>
  </si>
  <si>
    <t>Ship to FAS Warehouse 3807 2nd Ave S</t>
  </si>
  <si>
    <t>1386830349; PO# FA1-STTL-5x3p0e</t>
  </si>
  <si>
    <t>Net 30, ordered for Library</t>
  </si>
  <si>
    <t>Received 40 on 07/02/2020. Mike Wong emailed packing slip on 7/2</t>
  </si>
  <si>
    <t>REF-258</t>
  </si>
  <si>
    <t>Multi-fold 100% recycled</t>
  </si>
  <si>
    <t>APC EN416</t>
  </si>
  <si>
    <t xml:space="preserve">Order </t>
  </si>
  <si>
    <t>PO#FA1-0000000051</t>
  </si>
  <si>
    <t>Net 30, Blanket Contract, 3835</t>
  </si>
  <si>
    <t>1973926-0</t>
  </si>
  <si>
    <t>Received 200 cases on 6/29/2020 at 1020</t>
  </si>
  <si>
    <t>REF-259</t>
  </si>
  <si>
    <t>C-Fold, 100% recycled</t>
  </si>
  <si>
    <t>GPC 25190</t>
  </si>
  <si>
    <t>Net 30, Blanket Contract 3835</t>
  </si>
  <si>
    <t>Received 100 cases on 06/29/2020 at 1020</t>
  </si>
  <si>
    <t>REF-260</t>
  </si>
  <si>
    <t>MICRELL Antibacterial Lotion Soap 12 fl oz, pump bottle, 12 per case</t>
  </si>
  <si>
    <t>9759-12</t>
  </si>
  <si>
    <t>188973-0</t>
  </si>
  <si>
    <t xml:space="preserve">1%30 </t>
  </si>
  <si>
    <t>REF-261</t>
  </si>
  <si>
    <t>Rexel dba Platt</t>
  </si>
  <si>
    <t>Opticom floor mount dynamic temperature measurement camera</t>
  </si>
  <si>
    <t>OPT-7MFTD-FM</t>
  </si>
  <si>
    <t>Ship to 3807 2nd Ave S</t>
  </si>
  <si>
    <t>0M52621</t>
  </si>
  <si>
    <t>0N01899</t>
  </si>
  <si>
    <t>Received 3 on 07/07/2020 per Mike Wong email at 12:31pm; Receivd 3 on 7/10/20 (packing slip).</t>
  </si>
  <si>
    <t>REF-262</t>
  </si>
  <si>
    <t>WILL NEED SKU NUMBER AND PRICE</t>
  </si>
  <si>
    <t>Mask, Korea First Class</t>
  </si>
  <si>
    <t>KF94 Face Mask</t>
  </si>
  <si>
    <t>PO# FA1-0000000053</t>
  </si>
  <si>
    <t>Net 7</t>
  </si>
  <si>
    <t>HUONS/OB/INV20-202</t>
  </si>
  <si>
    <t>Received 5000 boxes of 50 masks on 7/22/2020 at 3:49 per receiving report</t>
  </si>
  <si>
    <t>REF-263</t>
  </si>
  <si>
    <t xml:space="preserve">Western Safety </t>
  </si>
  <si>
    <t>Gog</t>
  </si>
  <si>
    <t>Starlite FX3 anti-fog glass, clear</t>
  </si>
  <si>
    <t>46X9</t>
  </si>
  <si>
    <t>Ship to South Warehouse</t>
  </si>
  <si>
    <t>PO# FA1-0000000054</t>
  </si>
  <si>
    <t>Net 30, Blanket Contract #3340</t>
  </si>
  <si>
    <t>192980-1</t>
  </si>
  <si>
    <t>Received 100 07/02/20 (packing slip)</t>
  </si>
  <si>
    <t>REF-264</t>
  </si>
  <si>
    <t>Walter E. Nelson</t>
  </si>
  <si>
    <t>Foam soap, 1.2L - fragrance and dye free, kimberly clark, 2 per case</t>
  </si>
  <si>
    <t>Library</t>
  </si>
  <si>
    <t>PO# FA1-STTL5x3p0e</t>
  </si>
  <si>
    <t>Blanket Contract 3789</t>
  </si>
  <si>
    <t>Received 65 cases on 07/09/20 at 12:45</t>
  </si>
  <si>
    <t>REF-265</t>
  </si>
  <si>
    <t>2020-07</t>
  </si>
  <si>
    <t>3-ply earloop masks, CE Grade 50 masks</t>
  </si>
  <si>
    <t>0503-3plym</t>
  </si>
  <si>
    <t>PO# FA10000000057</t>
  </si>
  <si>
    <t>Blanket Contract 3832</t>
  </si>
  <si>
    <t>(not Recd), 124269, 124268, 124352</t>
  </si>
  <si>
    <t xml:space="preserve">Received 3600 boxes on 07/16/20 1300 (receiving report) //Received 7200 boxes on 07/17/20 at 0930 (receiving report) // Received 3600 boxes on 07.28.2020 at 1405 per receiving report. NEED Invoices as of 8/17/20. // Received 4800 (Boxes on 8/11/20 (Receiving Report and Packing slip 124269. Paid on Inv#124269 to A/P on 08/17/20. // Received 7,200 Boxes of 50 on 08/13/20 1030 (Receiving Report and Packing Slip 124268. Paid on Inv#124268 to A/P on 8/17/20. // Received 7,200 Boxes of 50 on 8/17/20 (Receiving Report and Packing slip 124352. Paid on Inv#124352 to A/P on 8/17/20. // </t>
  </si>
  <si>
    <t>REF-266</t>
  </si>
  <si>
    <t>Metrex Cavi-Wipes, Towelettes, 6 x 6.75, 160 count, 400 tubs</t>
  </si>
  <si>
    <t>13-100</t>
  </si>
  <si>
    <t>FA1-STTL-arx25a</t>
  </si>
  <si>
    <t>REF-267</t>
  </si>
  <si>
    <t>PDI Super-Sani Cloths (purple), germicidal, 160 count</t>
  </si>
  <si>
    <t>ACH 5 days after delivery</t>
  </si>
  <si>
    <t>Received 120 tubes on 07.08.20 at 1200 // Received 120 tubes on 7.20.20 at 1200</t>
  </si>
  <si>
    <t>REF-268</t>
  </si>
  <si>
    <t>Nitrile exam glove, purple, medium</t>
  </si>
  <si>
    <t>1101-55082-M</t>
  </si>
  <si>
    <t>FA1-0000000058</t>
  </si>
  <si>
    <t>Received 1000 boxes on 07.13.20 at 1100</t>
  </si>
  <si>
    <t>REF-269</t>
  </si>
  <si>
    <t>Nitrile exam glove, extended cuff, small</t>
  </si>
  <si>
    <t>1302-5825-S</t>
  </si>
  <si>
    <t>Received 100 boxes on 07.13.20 at 1100</t>
  </si>
  <si>
    <t>REF-270</t>
  </si>
  <si>
    <t>Nitrile Exam Glove, extended cuff, medium</t>
  </si>
  <si>
    <t>1302-5825-M</t>
  </si>
  <si>
    <t>Received 400 boxes on 07.13.20 at 1100</t>
  </si>
  <si>
    <t>REF-271</t>
  </si>
  <si>
    <t>Nitrile exam glove, extended cuff, large</t>
  </si>
  <si>
    <t>1302-5825-L</t>
  </si>
  <si>
    <t>Received 50 boxes on 07.13.20 at 1100</t>
  </si>
  <si>
    <t>REF-272</t>
  </si>
  <si>
    <t>Nitrile exam glove, extended cuff, x-large</t>
  </si>
  <si>
    <t>1302-5825-XL</t>
  </si>
  <si>
    <t>REF-273</t>
  </si>
  <si>
    <t>Blue Nitrile Exam glove, extended cuff, small</t>
  </si>
  <si>
    <t>FA1-0000000059</t>
  </si>
  <si>
    <t>Received 500 boxes on 07/16/20 1000 (receiving report and packing slip 123705)</t>
  </si>
  <si>
    <t>REF-274</t>
  </si>
  <si>
    <t>Blue nitrile exam glove, extended cuff, medium</t>
  </si>
  <si>
    <t>Received 1,000 boxes on 07/16/20 1000 (receiving report and packing slip 123705)</t>
  </si>
  <si>
    <t>REF-275</t>
  </si>
  <si>
    <t>Blue nitrile exam glove, extended cuff, large</t>
  </si>
  <si>
    <t>Received 1,500 boxes on 07/16/20 1000 (receiving report and packing slip 123705)</t>
  </si>
  <si>
    <t>REF-276</t>
  </si>
  <si>
    <t xml:space="preserve">Excel Supply Company </t>
  </si>
  <si>
    <t>Blue nitrile exam glove, extended cuff, x-large</t>
  </si>
  <si>
    <t>REF-277</t>
  </si>
  <si>
    <t>towel, recycled multi-fold, 250 per bundle, 16 bundles per case</t>
  </si>
  <si>
    <t>APC EW416</t>
  </si>
  <si>
    <t>PO# FA1-0000000060</t>
  </si>
  <si>
    <t>Blanket Contract #3835</t>
  </si>
  <si>
    <t>Received 1780 cases on 07/28/2020 at 1330 per receiving report // Received 1820 cases on 7.28.2020 at 1440 per receiving report.</t>
  </si>
  <si>
    <t>REF-278</t>
  </si>
  <si>
    <t>Coverall, hooded, elastic yellow, dupont QC127SYLXL001200, XL, 12 per pack</t>
  </si>
  <si>
    <t>4LUF4</t>
  </si>
  <si>
    <t>PO# FA1-0000000055</t>
  </si>
  <si>
    <t>Blanket Contract #2915</t>
  </si>
  <si>
    <t>Received 8 boxes on 07/21/2020 at 1230 per receiving report, received 17 boxes on 07/22/2020 at 1030 per receiving report</t>
  </si>
  <si>
    <t>REF-279</t>
  </si>
  <si>
    <t>Suit, tyvek, yellow without hood, XL</t>
  </si>
  <si>
    <t>QC125S</t>
  </si>
  <si>
    <t>PO# FA1-0000000062</t>
  </si>
  <si>
    <t>ACH, net 5</t>
  </si>
  <si>
    <t>REF-280</t>
  </si>
  <si>
    <t>Foam Hand Soap, 7.5oz, Dial# 02934, 8 per pack</t>
  </si>
  <si>
    <t>41D347</t>
  </si>
  <si>
    <t>Ship to Mt Baker Warehouse (Updated est. delivery date from 8/17 to 8/25)</t>
  </si>
  <si>
    <t>PO# FA1-0000000063</t>
  </si>
  <si>
    <t>REF-281</t>
  </si>
  <si>
    <t>Gloves - 2XL</t>
  </si>
  <si>
    <t>nitrile exam gloves, extended cuff, 2x-large</t>
  </si>
  <si>
    <t>1302-5825-2XL</t>
  </si>
  <si>
    <t>Deliver to Mt Baker Warehouse</t>
  </si>
  <si>
    <t>REF-282</t>
  </si>
  <si>
    <t>blue nitrile exam gloves, extended cuff, 2X-large</t>
  </si>
  <si>
    <t>Received 440 boxes on 07/16/20 1000 (receiving report and packing slip 123705)</t>
  </si>
  <si>
    <t>REF-283</t>
  </si>
  <si>
    <t>C69900</t>
  </si>
  <si>
    <t>N.A</t>
  </si>
  <si>
    <t>FA1-0000000061</t>
  </si>
  <si>
    <t xml:space="preserve">ACH Net 5 </t>
  </si>
  <si>
    <t>Received 20 cases on 07/16/20 at 10:00 am</t>
  </si>
  <si>
    <t>REF-284</t>
  </si>
  <si>
    <t>Wipes, Anti-bacterial, santa fe, 80 count</t>
  </si>
  <si>
    <t>PG94029</t>
  </si>
  <si>
    <t>FA1-0000000064</t>
  </si>
  <si>
    <t>ACH 1%, Net 5</t>
  </si>
  <si>
    <t>REF-285</t>
  </si>
  <si>
    <t>Gel dispenser with stand</t>
  </si>
  <si>
    <t>ASHBU M-51613</t>
  </si>
  <si>
    <t>FA1-STTL-dm6052</t>
  </si>
  <si>
    <t>Blanket Contract 3342</t>
  </si>
  <si>
    <t>received 20 on 8/6/20 at 1155 per receiving report</t>
  </si>
  <si>
    <t>REF-286</t>
  </si>
  <si>
    <t>Hand Cleaner Gel, citrus refill, 1-gallon</t>
  </si>
  <si>
    <t>LOMAF-Hand Cleaner Gel</t>
  </si>
  <si>
    <t>received 80 on 8/6/20 at 1155 per receiving report</t>
  </si>
  <si>
    <t>REF-287</t>
  </si>
  <si>
    <t>Received 120 on 8/5/2020 at 1100 per receiving report</t>
  </si>
  <si>
    <t>REF-288</t>
  </si>
  <si>
    <t>Gown, Isolation Gown with thumb loop, level 3, 35 to 45 gsm, universal size, one size fits most, 100 per case, 2,000 cases.</t>
  </si>
  <si>
    <t>0503-IG881T</t>
  </si>
  <si>
    <t>FA1-0000000066</t>
  </si>
  <si>
    <t>Received 1,500 EA on 08/17/20 1240 (Receiving report and packing slip) Paid on Inv#124361.</t>
  </si>
  <si>
    <t>REF-289</t>
  </si>
  <si>
    <t>Nitrile exam gloves, 4 mil, powder free, blue, medium, 100 per box</t>
  </si>
  <si>
    <t>EM1887</t>
  </si>
  <si>
    <t>FA1-0000000067</t>
  </si>
  <si>
    <t>REF-290</t>
  </si>
  <si>
    <t>Nitrile exam gloves, 4 mil, powder free, blue, large, 100 per box</t>
  </si>
  <si>
    <t>EM1888</t>
  </si>
  <si>
    <t xml:space="preserve">Box </t>
  </si>
  <si>
    <t>REF-291</t>
  </si>
  <si>
    <t>Nitrile exam gloves, 4 mil, powder free, blue, x-large, 100 per box</t>
  </si>
  <si>
    <t>EM1889</t>
  </si>
  <si>
    <t>REF-292</t>
  </si>
  <si>
    <t>Gloves - XXL</t>
  </si>
  <si>
    <t>Nitrile exam gloves, 4 mil, powder free, blue, 2x-large, 100 per box</t>
  </si>
  <si>
    <t>EM18810</t>
  </si>
  <si>
    <t>REF-293</t>
  </si>
  <si>
    <t>Towels</t>
  </si>
  <si>
    <t>Pacific blue select A#300, disposable bath towels, 200 per box</t>
  </si>
  <si>
    <t>GPC 80540</t>
  </si>
  <si>
    <t>PO#FA1-0000000056</t>
  </si>
  <si>
    <t>1975196-0</t>
  </si>
  <si>
    <t>Received 50 on 07/21/2020 at 0930</t>
  </si>
  <si>
    <t>REF-294</t>
  </si>
  <si>
    <t>Sid Tool Co dba MSC Industrial Supply</t>
  </si>
  <si>
    <t>Moldex N95 Masks, Small, 10 per box</t>
  </si>
  <si>
    <t>2701N95</t>
  </si>
  <si>
    <t>FA1-0000000071</t>
  </si>
  <si>
    <t>REF-295</t>
  </si>
  <si>
    <t>LINER,LD,22X25,.90MIL,BK,500CT</t>
  </si>
  <si>
    <t>E222509BK</t>
  </si>
  <si>
    <t>Boxes</t>
  </si>
  <si>
    <t>Deliver to Rainier Warehouse</t>
  </si>
  <si>
    <t>REF-296</t>
  </si>
  <si>
    <t>LINER,HD,30X37, 12MIC.NAT,500CT</t>
  </si>
  <si>
    <t>H303712NL</t>
  </si>
  <si>
    <t>Blanket Contract 3835</t>
  </si>
  <si>
    <t>REF-297</t>
  </si>
  <si>
    <t>LINER,HD,40X46, 19MIC,NAT,250CT</t>
  </si>
  <si>
    <t>PHD404619NL</t>
  </si>
  <si>
    <t>REF-298</t>
  </si>
  <si>
    <t>Element 6 Equity LLC</t>
  </si>
  <si>
    <t>none</t>
  </si>
  <si>
    <t>deliver to mt baker warehouse</t>
  </si>
  <si>
    <t>FA1-STTL-8hybo3</t>
  </si>
  <si>
    <t>delivery will also include 20,000 additional test swab kits as donation</t>
  </si>
  <si>
    <t>REF-299</t>
  </si>
  <si>
    <t>2020-08</t>
  </si>
  <si>
    <t>DONATION FROM E6</t>
  </si>
  <si>
    <t>REF-300</t>
  </si>
  <si>
    <t>CUBIK Promotions Inc</t>
  </si>
  <si>
    <t>Reusable Mask with Filter Insert, Individually wrapped, Black Color</t>
  </si>
  <si>
    <t>FA1-0000000073</t>
  </si>
  <si>
    <t>40k by 9/24; 40k by 10/22; 102k by 11/23/2020</t>
  </si>
  <si>
    <t>REF-301</t>
  </si>
  <si>
    <t>Filter Inserts, packs of 10</t>
  </si>
  <si>
    <t>packs</t>
  </si>
  <si>
    <t>REF-302</t>
  </si>
  <si>
    <t>COUNTS ONLY INCLUDE TO THIS LINE!</t>
  </si>
  <si>
    <t>Old Report Date</t>
  </si>
  <si>
    <t>Instructions:
1. Verify that the data table is sorted by Old Line Number (colum A - Philip provides his the data in the older line number order).
2. Copy cells A5 through O104 past the VALUES to Cell Q5 (will paste to Q5:AD104).
3. Copy cells E5 through N23 of Phillip's sheet and paste the VALUES to Cell F5 (will paste to A5:O23) 
4. Look for anomalies in the delta table at the far right (starting in column AG) and resolve any anomolies.
5. Dashboard will update with department counts.</t>
  </si>
  <si>
    <t>Old Line Number</t>
  </si>
  <si>
    <t>New Line Number</t>
  </si>
  <si>
    <t>(not reported here)</t>
  </si>
  <si>
    <t>Critical Supply Dashboard</t>
  </si>
  <si>
    <t>Cheat Sheet</t>
  </si>
  <si>
    <t>Warehouse Description</t>
  </si>
  <si>
    <t>UOM</t>
  </si>
  <si>
    <t>On Order Description</t>
  </si>
  <si>
    <t>Dashboard Units</t>
  </si>
  <si>
    <t>Conversion</t>
  </si>
  <si>
    <t>Assumption (actual varies by manufacturer)</t>
  </si>
  <si>
    <t>Clorox Wipes</t>
  </si>
  <si>
    <t>6 tubes per case; 75 sheets per tube</t>
  </si>
  <si>
    <t>20 boxes per case</t>
  </si>
  <si>
    <t>12 bottles per case</t>
  </si>
  <si>
    <t>4a</t>
  </si>
  <si>
    <t>10 per box</t>
  </si>
  <si>
    <t>4b</t>
  </si>
  <si>
    <t>100 pair per box</t>
  </si>
  <si>
    <t>12 packs per case</t>
  </si>
  <si>
    <t>Purell
(1200 ml stand refill)</t>
  </si>
  <si>
    <t>Hand Sanitizer (refill)</t>
  </si>
  <si>
    <t>4 bottles per box</t>
  </si>
  <si>
    <t>Purell
(12oz bottle)</t>
  </si>
  <si>
    <t>12 bottles per box</t>
  </si>
  <si>
    <t>60 rolls per case</t>
  </si>
  <si>
    <t>Small Trash bags</t>
  </si>
  <si>
    <t>1000 per box</t>
  </si>
  <si>
    <t>Trash cans
(no lid)</t>
  </si>
  <si>
    <t>1 each per box</t>
  </si>
  <si>
    <t>Tyvek Suits w/ hoods</t>
  </si>
  <si>
    <t>Tyvek coveralls</t>
  </si>
  <si>
    <t>1 per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</si>
</sst>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0.0"/>
    <numFmt numFmtId="166" formatCode="m/d/yy;@"/>
    <numFmt numFmtId="167" formatCode="_(&quot;$&quot;* #,##0.000_);_(&quot;$&quot;* \(#,##0.000\);_(&quot;$&quot;* &quot;-&quot;???_);_(@_)"/>
  </numFmts>
  <fonts count="36">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16"/>
      <color theme="1"/>
      <name val="Calibri"/>
      <family val="2"/>
      <scheme val="minor"/>
    </font>
    <font>
      <sz val="10"/>
      <color indexed="8"/>
      <name val="Arial"/>
      <family val="2"/>
    </font>
    <font>
      <b/>
      <sz val="14"/>
      <color theme="1"/>
      <name val="Calibri"/>
      <family val="2"/>
      <scheme val="minor"/>
    </font>
    <font>
      <sz val="11"/>
      <name val="Calibri"/>
      <family val="2"/>
      <scheme val="minor"/>
    </font>
    <font>
      <sz val="11"/>
      <color rgb="FF333333"/>
      <name val="Calibri"/>
      <family val="2"/>
      <scheme val="minor"/>
    </font>
    <font>
      <sz val="8"/>
      <color theme="1"/>
      <name val="Calibri"/>
      <family val="2"/>
      <scheme val="minor"/>
    </font>
    <font>
      <sz val="10"/>
      <color theme="1"/>
      <name val="Calibri"/>
      <family val="2"/>
      <scheme val="minor"/>
    </font>
    <font>
      <i/>
      <sz val="10"/>
      <color theme="1"/>
      <name val="Calibri"/>
      <family val="2"/>
      <scheme val="minor"/>
    </font>
    <font>
      <sz val="11"/>
      <name val="Calibri"/>
      <family val="2"/>
    </font>
    <font>
      <sz val="7.5"/>
      <color theme="1"/>
      <name val="Calibri"/>
      <family val="2"/>
      <scheme val="minor"/>
    </font>
    <font>
      <b/>
      <sz val="8"/>
      <color theme="1"/>
      <name val="Calibri"/>
      <family val="2"/>
      <scheme val="minor"/>
    </font>
    <font>
      <sz val="8"/>
      <name val="Calibri"/>
      <family val="2"/>
      <scheme val="minor"/>
    </font>
    <font>
      <b/>
      <sz val="12"/>
      <color theme="1"/>
      <name val="Calibri"/>
      <family val="2"/>
      <scheme val="minor"/>
    </font>
    <font>
      <strike/>
      <sz val="11"/>
      <color theme="1"/>
      <name val="Calibri"/>
      <family val="2"/>
      <scheme val="minor"/>
    </font>
    <font>
      <sz val="8"/>
      <color theme="2" tint="-0.499984740745262"/>
      <name val="Calibri"/>
      <family val="2"/>
      <scheme val="minor"/>
    </font>
    <font>
      <b/>
      <sz val="11"/>
      <color rgb="FFFF0000"/>
      <name val="Calibri"/>
      <family val="2"/>
      <scheme val="minor"/>
    </font>
    <font>
      <b/>
      <sz val="12"/>
      <color rgb="FFFF0000"/>
      <name val="Calibri"/>
      <family val="2"/>
      <scheme val="minor"/>
    </font>
    <font>
      <sz val="11"/>
      <color rgb="FF000000"/>
      <name val="Calibri"/>
      <family val="2"/>
    </font>
    <font>
      <sz val="8"/>
      <color theme="0"/>
      <name val="Calibri"/>
      <family val="2"/>
      <scheme val="minor"/>
    </font>
    <font>
      <sz val="24"/>
      <color theme="1"/>
      <name val="Calibri"/>
      <family val="2"/>
      <scheme val="minor"/>
    </font>
    <font>
      <sz val="11"/>
      <color rgb="FF002060"/>
      <name val="Calibri"/>
      <family val="2"/>
      <scheme val="minor"/>
    </font>
    <font>
      <b/>
      <sz val="9"/>
      <color indexed="81"/>
      <name val="Tahoma"/>
      <family val="2"/>
    </font>
    <font>
      <sz val="9"/>
      <color indexed="81"/>
      <name val="Tahoma"/>
      <family val="2"/>
    </font>
    <font>
      <sz val="11"/>
      <color theme="0"/>
      <name val="Calibri"/>
      <family val="2"/>
      <scheme val="minor"/>
    </font>
    <font>
      <b/>
      <sz val="11"/>
      <color theme="0"/>
      <name val="Calibri"/>
      <family val="2"/>
      <scheme val="minor"/>
    </font>
    <font>
      <sz val="11"/>
      <color rgb="FF002060"/>
      <name val="Calibri"/>
      <family val="2"/>
    </font>
    <font>
      <sz val="10"/>
      <color indexed="8"/>
      <name val="Arial"/>
      <family val="2"/>
    </font>
    <font>
      <b/>
      <sz val="13"/>
      <color rgb="FF0070C0"/>
      <name val="Calibri"/>
      <family val="2"/>
      <scheme val="minor"/>
    </font>
    <font>
      <sz val="13"/>
      <color rgb="FF0070C0"/>
      <name val="Calibri"/>
      <family val="2"/>
      <scheme val="minor"/>
    </font>
    <font>
      <sz val="11"/>
      <color rgb="FF0070C0"/>
      <name val="Calibri"/>
      <family val="2"/>
      <scheme val="minor"/>
    </font>
    <font>
      <b/>
      <sz val="14"/>
      <color rgb="FF0070C0"/>
      <name val="Calibri"/>
      <family val="2"/>
      <scheme val="minor"/>
    </font>
    <font>
      <sz val="10"/>
      <color indexed="8"/>
      <name val="Arial"/>
      <family val="2"/>
    </font>
  </fonts>
  <fills count="30">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theme="1" tint="0.14999847407452621"/>
        <bgColor indexed="64"/>
      </patternFill>
    </fill>
    <fill>
      <patternFill patternType="solid">
        <fgColor rgb="FF00B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000"/>
        <bgColor indexed="64"/>
      </patternFill>
    </fill>
    <fill>
      <patternFill patternType="solid">
        <fgColor rgb="FF0070C0"/>
        <bgColor indexed="64"/>
      </patternFill>
    </fill>
    <fill>
      <patternFill patternType="solid">
        <fgColor rgb="FFB4C6E7"/>
        <bgColor indexed="64"/>
      </patternFill>
    </fill>
    <fill>
      <patternFill patternType="solid">
        <fgColor theme="8" tint="0.79998168889431442"/>
        <bgColor indexed="64"/>
      </patternFill>
    </fill>
    <fill>
      <patternFill patternType="solid">
        <fgColor rgb="FFFFD5F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E1DED1"/>
        <bgColor indexed="64"/>
      </patternFill>
    </fill>
    <fill>
      <patternFill patternType="solid">
        <fgColor theme="4" tint="0.79998168889431442"/>
        <bgColor indexed="64"/>
      </patternFill>
    </fill>
    <fill>
      <patternFill patternType="solid">
        <fgColor theme="1"/>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0" tint="-0.34998626667073579"/>
        <bgColor indexed="64"/>
      </patternFill>
    </fill>
    <fill>
      <patternFill patternType="solid">
        <fgColor rgb="FFA9D08E"/>
        <bgColor indexed="64"/>
      </patternFill>
    </fill>
    <fill>
      <patternFill patternType="solid">
        <fgColor rgb="FFBFBFBF"/>
        <bgColor indexed="64"/>
      </patternFill>
    </fill>
    <fill>
      <patternFill patternType="solid">
        <fgColor rgb="FFA6A6A6"/>
        <bgColor indexed="64"/>
      </patternFill>
    </fill>
    <fill>
      <patternFill patternType="solid">
        <fgColor theme="5" tint="0.59999389629810485"/>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theme="4" tint="0.39997558519241921"/>
      </top>
      <bottom style="thin">
        <color indexed="64"/>
      </bottom>
      <diagonal/>
    </border>
    <border>
      <left style="thin">
        <color indexed="64"/>
      </left>
      <right style="thin">
        <color indexed="64"/>
      </right>
      <top style="thin">
        <color theme="4" tint="0.39997558519241921"/>
      </top>
      <bottom style="thin">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theme="4" tint="0.39997558519241921"/>
      </top>
      <bottom/>
      <diagonal/>
    </border>
  </borders>
  <cellStyleXfs count="8">
    <xf numFmtId="0" fontId="0" fillId="0" borderId="0"/>
    <xf numFmtId="44" fontId="1" fillId="0" borderId="0" applyFont="0" applyFill="0" applyBorder="0" applyAlignment="0" applyProtection="0"/>
    <xf numFmtId="0" fontId="3" fillId="0" borderId="0">
      <alignment vertical="top"/>
    </xf>
    <xf numFmtId="0" fontId="5" fillId="0" borderId="0">
      <alignment vertical="top"/>
    </xf>
    <xf numFmtId="43" fontId="1" fillId="0" borderId="0" applyFont="0" applyFill="0" applyBorder="0" applyAlignment="0" applyProtection="0"/>
    <xf numFmtId="0" fontId="30" fillId="0" borderId="0">
      <alignment vertical="top"/>
    </xf>
    <xf numFmtId="0" fontId="3" fillId="0" borderId="0">
      <alignment vertical="top"/>
    </xf>
    <xf numFmtId="0" fontId="35" fillId="0" borderId="0">
      <alignment vertical="top"/>
    </xf>
  </cellStyleXfs>
  <cellXfs count="463">
    <xf numFmtId="0" fontId="0" fillId="0" borderId="0" xfId="0"/>
    <xf numFmtId="14" fontId="0" fillId="0" borderId="0" xfId="0" applyNumberFormat="1"/>
    <xf numFmtId="0" fontId="0" fillId="0" borderId="0" xfId="0" applyAlignment="1">
      <alignment horizontal="center"/>
    </xf>
    <xf numFmtId="3" fontId="0" fillId="0" borderId="0" xfId="0" applyNumberFormat="1" applyAlignment="1">
      <alignment horizontal="center"/>
    </xf>
    <xf numFmtId="0" fontId="0" fillId="0" borderId="1" xfId="0" applyBorder="1"/>
    <xf numFmtId="0" fontId="0" fillId="0" borderId="1" xfId="0" applyBorder="1" applyAlignment="1">
      <alignment horizontal="center"/>
    </xf>
    <xf numFmtId="44" fontId="0" fillId="0" borderId="1" xfId="1" applyFont="1" applyBorder="1" applyAlignment="1">
      <alignment horizontal="center"/>
    </xf>
    <xf numFmtId="0" fontId="0" fillId="0" borderId="0" xfId="0" applyAlignment="1">
      <alignment horizontal="left"/>
    </xf>
    <xf numFmtId="3" fontId="0" fillId="0" borderId="0" xfId="0" applyNumberFormat="1" applyAlignment="1">
      <alignment horizontal="left"/>
    </xf>
    <xf numFmtId="0" fontId="4" fillId="0" borderId="0" xfId="0" applyFont="1"/>
    <xf numFmtId="0" fontId="2" fillId="0" borderId="0" xfId="0" applyFont="1" applyAlignment="1">
      <alignment horizontal="center"/>
    </xf>
    <xf numFmtId="0" fontId="0" fillId="0" borderId="0" xfId="0" pivotButton="1"/>
    <xf numFmtId="0" fontId="2" fillId="0" borderId="0" xfId="0" applyFont="1"/>
    <xf numFmtId="0" fontId="0" fillId="0" borderId="0" xfId="0" applyFill="1"/>
    <xf numFmtId="0" fontId="0" fillId="0" borderId="0" xfId="0" applyAlignment="1">
      <alignment vertical="top"/>
    </xf>
    <xf numFmtId="0" fontId="0" fillId="0" borderId="0" xfId="0" applyFill="1" applyAlignment="1">
      <alignment horizontal="center"/>
    </xf>
    <xf numFmtId="164" fontId="0" fillId="3" borderId="1" xfId="4" applyNumberFormat="1" applyFont="1" applyFill="1" applyBorder="1" applyAlignment="1">
      <alignment horizontal="right"/>
    </xf>
    <xf numFmtId="164" fontId="0" fillId="4" borderId="1" xfId="4" applyNumberFormat="1" applyFont="1" applyFill="1" applyBorder="1" applyAlignment="1">
      <alignment horizontal="right"/>
    </xf>
    <xf numFmtId="0" fontId="0" fillId="4" borderId="1" xfId="0" applyFill="1" applyBorder="1" applyAlignment="1">
      <alignment horizontal="center"/>
    </xf>
    <xf numFmtId="164" fontId="0" fillId="0" borderId="1" xfId="4" applyNumberFormat="1" applyFont="1" applyBorder="1" applyAlignment="1">
      <alignment horizontal="center"/>
    </xf>
    <xf numFmtId="164" fontId="0" fillId="0" borderId="1" xfId="4" applyNumberFormat="1" applyFont="1" applyBorder="1" applyAlignment="1">
      <alignment horizontal="right"/>
    </xf>
    <xf numFmtId="14" fontId="0" fillId="0" borderId="1" xfId="0" applyNumberFormat="1" applyBorder="1" applyAlignment="1" applyProtection="1">
      <alignment horizontal="center"/>
      <protection locked="0"/>
    </xf>
    <xf numFmtId="0" fontId="0" fillId="0" borderId="1" xfId="0" applyBorder="1" applyAlignment="1" applyProtection="1">
      <alignment horizontal="center"/>
      <protection locked="0"/>
    </xf>
    <xf numFmtId="0" fontId="10" fillId="0" borderId="0" xfId="0" applyFont="1" applyAlignment="1"/>
    <xf numFmtId="0" fontId="10" fillId="0" borderId="0" xfId="0" applyFont="1"/>
    <xf numFmtId="0" fontId="9" fillId="0" borderId="0" xfId="0" applyFont="1"/>
    <xf numFmtId="0" fontId="9" fillId="0" borderId="0" xfId="0" applyFont="1" applyFill="1" applyBorder="1" applyAlignment="1">
      <alignment horizontal="center"/>
    </xf>
    <xf numFmtId="0" fontId="9" fillId="0" borderId="0" xfId="0" applyFont="1" applyFill="1" applyBorder="1"/>
    <xf numFmtId="0" fontId="2" fillId="0" borderId="0" xfId="0" applyFont="1" applyAlignment="1"/>
    <xf numFmtId="0" fontId="2" fillId="9" borderId="0" xfId="0" applyFont="1" applyFill="1"/>
    <xf numFmtId="0" fontId="2" fillId="9" borderId="0" xfId="0" applyFont="1" applyFill="1" applyAlignment="1">
      <alignment horizontal="center"/>
    </xf>
    <xf numFmtId="0" fontId="2" fillId="0" borderId="0" xfId="0" applyFont="1" applyFill="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0" fontId="2" fillId="0" borderId="0" xfId="0" applyFont="1" applyAlignment="1">
      <alignment wrapText="1"/>
    </xf>
    <xf numFmtId="14" fontId="0" fillId="2" borderId="0" xfId="0" applyNumberFormat="1" applyFill="1"/>
    <xf numFmtId="0" fontId="0" fillId="0" borderId="4" xfId="0" applyBorder="1" applyAlignment="1">
      <alignment horizontal="center"/>
    </xf>
    <xf numFmtId="0" fontId="0" fillId="0" borderId="4" xfId="0" applyBorder="1"/>
    <xf numFmtId="14" fontId="0" fillId="2" borderId="4" xfId="0" applyNumberFormat="1" applyFill="1" applyBorder="1"/>
    <xf numFmtId="3" fontId="2" fillId="0" borderId="4" xfId="0" applyNumberFormat="1" applyFont="1" applyBorder="1" applyAlignment="1">
      <alignment horizontal="center"/>
    </xf>
    <xf numFmtId="0" fontId="0" fillId="0" borderId="0" xfId="0" applyAlignment="1">
      <alignment horizontal="right"/>
    </xf>
    <xf numFmtId="0" fontId="2" fillId="8" borderId="1" xfId="0" applyFont="1" applyFill="1" applyBorder="1" applyAlignment="1">
      <alignment horizontal="center" vertical="center" wrapText="1"/>
    </xf>
    <xf numFmtId="0" fontId="0" fillId="0" borderId="0" xfId="0" applyFont="1"/>
    <xf numFmtId="0" fontId="13" fillId="0" borderId="0" xfId="0" applyFont="1"/>
    <xf numFmtId="0" fontId="11" fillId="0" borderId="0" xfId="0" applyFont="1" applyAlignment="1"/>
    <xf numFmtId="0" fontId="14" fillId="8" borderId="1" xfId="0" applyFont="1" applyFill="1" applyBorder="1" applyAlignment="1">
      <alignment horizontal="center" vertical="center"/>
    </xf>
    <xf numFmtId="0" fontId="9" fillId="0" borderId="1" xfId="0" applyFont="1" applyFill="1" applyBorder="1" applyAlignment="1">
      <alignment horizontal="center"/>
    </xf>
    <xf numFmtId="0" fontId="9" fillId="0" borderId="1" xfId="0" applyFont="1" applyFill="1" applyBorder="1"/>
    <xf numFmtId="0" fontId="9" fillId="0" borderId="0" xfId="0" applyFont="1" applyFill="1" applyBorder="1" applyAlignment="1"/>
    <xf numFmtId="0" fontId="16" fillId="0" borderId="0" xfId="0" applyFont="1"/>
    <xf numFmtId="3" fontId="9" fillId="0" borderId="1" xfId="0" applyNumberFormat="1" applyFont="1" applyFill="1" applyBorder="1" applyAlignment="1">
      <alignment horizontal="center"/>
    </xf>
    <xf numFmtId="14" fontId="9" fillId="0" borderId="1" xfId="0" applyNumberFormat="1" applyFont="1" applyFill="1" applyBorder="1" applyAlignment="1">
      <alignment horizontal="center"/>
    </xf>
    <xf numFmtId="3" fontId="15" fillId="0" borderId="0" xfId="0" applyNumberFormat="1" applyFont="1" applyFill="1" applyBorder="1" applyAlignment="1">
      <alignment horizontal="center"/>
    </xf>
    <xf numFmtId="3" fontId="0" fillId="0" borderId="0" xfId="0" applyNumberFormat="1" applyFill="1" applyAlignment="1">
      <alignment horizontal="center"/>
    </xf>
    <xf numFmtId="3" fontId="17" fillId="0" borderId="0" xfId="0" applyNumberFormat="1" applyFont="1" applyAlignment="1">
      <alignment horizontal="center"/>
    </xf>
    <xf numFmtId="3" fontId="7" fillId="10" borderId="0" xfId="0" applyNumberFormat="1" applyFont="1" applyFill="1" applyAlignment="1">
      <alignment horizontal="center"/>
    </xf>
    <xf numFmtId="0" fontId="7" fillId="0" borderId="0" xfId="0" applyFont="1" applyFill="1" applyBorder="1" applyAlignment="1">
      <alignment horizontal="center"/>
    </xf>
    <xf numFmtId="0" fontId="12" fillId="0" borderId="0" xfId="0" applyFont="1" applyFill="1" applyBorder="1" applyAlignment="1">
      <alignment horizontal="center" vertical="center"/>
    </xf>
    <xf numFmtId="3" fontId="7" fillId="0" borderId="0" xfId="0" applyNumberFormat="1" applyFont="1" applyFill="1" applyBorder="1" applyAlignment="1">
      <alignment horizontal="center"/>
    </xf>
    <xf numFmtId="0" fontId="7" fillId="0" borderId="0" xfId="0" applyFont="1" applyFill="1" applyBorder="1" applyAlignment="1">
      <alignment horizontal="center" vertical="center"/>
    </xf>
    <xf numFmtId="0" fontId="0" fillId="0" borderId="0" xfId="0" applyFill="1" applyBorder="1" applyAlignment="1">
      <alignment horizontal="center"/>
    </xf>
    <xf numFmtId="3" fontId="12" fillId="0" borderId="0" xfId="0" applyNumberFormat="1" applyFont="1" applyFill="1" applyBorder="1" applyAlignment="1">
      <alignment horizontal="center" vertical="center"/>
    </xf>
    <xf numFmtId="0" fontId="9" fillId="0" borderId="0" xfId="0" applyFont="1" applyBorder="1" applyAlignment="1">
      <alignment horizontal="center" vertical="center"/>
    </xf>
    <xf numFmtId="3" fontId="0" fillId="11" borderId="0" xfId="0" applyNumberFormat="1" applyFill="1" applyAlignment="1">
      <alignment horizontal="center"/>
    </xf>
    <xf numFmtId="3" fontId="7" fillId="11" borderId="0" xfId="0" applyNumberFormat="1" applyFont="1" applyFill="1" applyAlignment="1">
      <alignment horizontal="center"/>
    </xf>
    <xf numFmtId="0" fontId="14" fillId="8" borderId="7" xfId="0" applyFont="1" applyFill="1" applyBorder="1" applyAlignment="1">
      <alignment horizontal="center" vertical="center"/>
    </xf>
    <xf numFmtId="0" fontId="14" fillId="8" borderId="8" xfId="0" applyFont="1" applyFill="1" applyBorder="1" applyAlignment="1">
      <alignment horizontal="center" vertical="center"/>
    </xf>
    <xf numFmtId="0" fontId="6" fillId="0" borderId="0" xfId="0" applyFont="1" applyFill="1"/>
    <xf numFmtId="0" fontId="2" fillId="0" borderId="1" xfId="0" applyFont="1" applyBorder="1" applyAlignment="1" applyProtection="1">
      <alignment horizontal="center"/>
      <protection locked="0"/>
    </xf>
    <xf numFmtId="164" fontId="0" fillId="3" borderId="1" xfId="4" applyNumberFormat="1" applyFont="1" applyFill="1" applyBorder="1" applyAlignment="1" applyProtection="1">
      <alignment horizontal="right"/>
      <protection locked="0"/>
    </xf>
    <xf numFmtId="164" fontId="0" fillId="4" borderId="1" xfId="4" applyNumberFormat="1" applyFont="1" applyFill="1" applyBorder="1" applyAlignment="1" applyProtection="1">
      <alignment horizontal="right"/>
      <protection locked="0"/>
    </xf>
    <xf numFmtId="0" fontId="0" fillId="4" borderId="1" xfId="0" applyFill="1" applyBorder="1" applyAlignment="1" applyProtection="1">
      <alignment horizontal="center"/>
      <protection locked="0"/>
    </xf>
    <xf numFmtId="164" fontId="0" fillId="0" borderId="1" xfId="4" applyNumberFormat="1" applyFont="1" applyBorder="1" applyAlignment="1" applyProtection="1">
      <alignment horizontal="center"/>
      <protection locked="0"/>
    </xf>
    <xf numFmtId="164" fontId="0" fillId="0" borderId="1" xfId="4" applyNumberFormat="1" applyFont="1" applyBorder="1" applyAlignment="1" applyProtection="1">
      <alignment horizontal="right"/>
      <protection locked="0"/>
    </xf>
    <xf numFmtId="44" fontId="0" fillId="0" borderId="1" xfId="1" applyFont="1" applyBorder="1" applyAlignment="1" applyProtection="1">
      <alignment horizontal="center"/>
      <protection locked="0"/>
    </xf>
    <xf numFmtId="44" fontId="0" fillId="0" borderId="1" xfId="0" applyNumberFormat="1" applyBorder="1" applyAlignment="1" applyProtection="1">
      <alignment horizontal="center"/>
      <protection locked="0"/>
    </xf>
    <xf numFmtId="3" fontId="0" fillId="4" borderId="1" xfId="0" applyNumberFormat="1" applyFill="1" applyBorder="1" applyAlignment="1" applyProtection="1">
      <alignment horizontal="center"/>
      <protection locked="0"/>
    </xf>
    <xf numFmtId="0" fontId="0" fillId="0" borderId="0" xfId="0" applyNumberFormat="1"/>
    <xf numFmtId="0" fontId="14" fillId="8" borderId="2" xfId="0" applyFont="1" applyFill="1" applyBorder="1" applyAlignment="1">
      <alignment vertical="center"/>
    </xf>
    <xf numFmtId="0" fontId="19" fillId="0" borderId="0" xfId="0" applyFont="1"/>
    <xf numFmtId="0" fontId="19" fillId="0" borderId="4" xfId="0" applyFont="1" applyBorder="1" applyAlignment="1">
      <alignment wrapText="1"/>
    </xf>
    <xf numFmtId="0" fontId="2" fillId="8" borderId="7" xfId="0" applyFont="1" applyFill="1" applyBorder="1" applyAlignment="1">
      <alignment vertical="center" wrapText="1"/>
    </xf>
    <xf numFmtId="0" fontId="2" fillId="8" borderId="7" xfId="0" applyFont="1" applyFill="1" applyBorder="1" applyAlignment="1">
      <alignment vertical="center"/>
    </xf>
    <xf numFmtId="0" fontId="2" fillId="8" borderId="9" xfId="0" applyFont="1" applyFill="1" applyBorder="1" applyAlignment="1">
      <alignment horizontal="center" vertical="center"/>
    </xf>
    <xf numFmtId="0" fontId="2" fillId="8" borderId="9" xfId="0" applyFont="1" applyFill="1" applyBorder="1" applyAlignment="1">
      <alignment horizontal="center" vertical="center" wrapText="1"/>
    </xf>
    <xf numFmtId="0" fontId="2" fillId="0" borderId="1" xfId="0" applyFont="1" applyBorder="1" applyAlignment="1" applyProtection="1">
      <alignment horizontal="center" wrapText="1"/>
      <protection locked="0"/>
    </xf>
    <xf numFmtId="164" fontId="2" fillId="3" borderId="1" xfId="4" applyNumberFormat="1" applyFont="1" applyFill="1" applyBorder="1" applyAlignment="1" applyProtection="1">
      <alignment horizontal="right" wrapText="1"/>
      <protection locked="0"/>
    </xf>
    <xf numFmtId="164" fontId="2" fillId="4" borderId="1" xfId="4" applyNumberFormat="1" applyFont="1" applyFill="1" applyBorder="1" applyAlignment="1" applyProtection="1">
      <alignment horizontal="center" wrapText="1"/>
      <protection locked="0"/>
    </xf>
    <xf numFmtId="0" fontId="2" fillId="4" borderId="1" xfId="0" applyFont="1" applyFill="1" applyBorder="1" applyAlignment="1" applyProtection="1">
      <alignment horizontal="center" wrapText="1"/>
      <protection locked="0"/>
    </xf>
    <xf numFmtId="164" fontId="2" fillId="0" borderId="1" xfId="4" applyNumberFormat="1" applyFont="1" applyBorder="1" applyAlignment="1" applyProtection="1">
      <alignment horizontal="center" wrapText="1"/>
      <protection locked="0"/>
    </xf>
    <xf numFmtId="164" fontId="2" fillId="0" borderId="1" xfId="4" applyNumberFormat="1" applyFont="1" applyBorder="1" applyAlignment="1" applyProtection="1">
      <alignment horizontal="right" wrapText="1"/>
      <protection locked="0"/>
    </xf>
    <xf numFmtId="44" fontId="2" fillId="0" borderId="1" xfId="1" applyFont="1" applyBorder="1" applyAlignment="1" applyProtection="1">
      <alignment horizontal="center"/>
      <protection locked="0"/>
    </xf>
    <xf numFmtId="0" fontId="2" fillId="13" borderId="1" xfId="0" applyFont="1" applyFill="1" applyBorder="1" applyAlignment="1" applyProtection="1">
      <alignment horizontal="center" wrapText="1"/>
      <protection locked="0"/>
    </xf>
    <xf numFmtId="0" fontId="2" fillId="14" borderId="1" xfId="0" applyFont="1" applyFill="1" applyBorder="1" applyAlignment="1" applyProtection="1">
      <alignment horizontal="center" wrapText="1"/>
      <protection locked="0"/>
    </xf>
    <xf numFmtId="0" fontId="2" fillId="15" borderId="1" xfId="0" applyFont="1" applyFill="1" applyBorder="1" applyAlignment="1" applyProtection="1">
      <alignment horizontal="center" wrapText="1"/>
      <protection locked="0"/>
    </xf>
    <xf numFmtId="0" fontId="2" fillId="16" borderId="1" xfId="0" applyFont="1" applyFill="1" applyBorder="1" applyAlignment="1" applyProtection="1">
      <alignment horizontal="center" wrapText="1"/>
      <protection locked="0"/>
    </xf>
    <xf numFmtId="0" fontId="0" fillId="0" borderId="1" xfId="0" applyBorder="1" applyProtection="1">
      <protection locked="0"/>
    </xf>
    <xf numFmtId="0" fontId="0" fillId="0" borderId="1" xfId="0" applyBorder="1" applyAlignment="1" applyProtection="1">
      <alignment horizontal="center" wrapText="1"/>
      <protection locked="0"/>
    </xf>
    <xf numFmtId="164" fontId="0" fillId="0" borderId="1" xfId="4" applyNumberFormat="1" applyFont="1" applyFill="1" applyBorder="1" applyAlignment="1" applyProtection="1">
      <alignment horizontal="right"/>
      <protection locked="0"/>
    </xf>
    <xf numFmtId="0" fontId="0" fillId="0" borderId="1" xfId="0" applyBorder="1" applyAlignment="1" applyProtection="1">
      <alignment wrapText="1"/>
      <protection locked="0"/>
    </xf>
    <xf numFmtId="14" fontId="0" fillId="0" borderId="1" xfId="0" applyNumberFormat="1" applyBorder="1" applyProtection="1">
      <protection locked="0"/>
    </xf>
    <xf numFmtId="164" fontId="0" fillId="0" borderId="1" xfId="4" applyNumberFormat="1" applyFont="1" applyBorder="1" applyProtection="1">
      <protection locked="0"/>
    </xf>
    <xf numFmtId="164" fontId="0" fillId="0" borderId="1" xfId="0" applyNumberFormat="1" applyBorder="1" applyProtection="1">
      <protection locked="0"/>
    </xf>
    <xf numFmtId="0" fontId="19" fillId="18" borderId="1" xfId="0" applyFont="1" applyFill="1" applyBorder="1" applyAlignment="1" applyProtection="1">
      <alignment horizontal="center" wrapText="1"/>
      <protection locked="0"/>
    </xf>
    <xf numFmtId="0" fontId="19" fillId="18" borderId="1" xfId="0" applyFont="1" applyFill="1" applyBorder="1" applyAlignment="1" applyProtection="1">
      <alignment horizontal="center"/>
      <protection locked="0"/>
    </xf>
    <xf numFmtId="0" fontId="23" fillId="5" borderId="1" xfId="0" applyFont="1" applyFill="1" applyBorder="1" applyAlignment="1">
      <alignment horizontal="left"/>
    </xf>
    <xf numFmtId="0" fontId="23" fillId="5" borderId="1" xfId="0" applyFont="1" applyFill="1" applyBorder="1" applyAlignment="1">
      <alignment horizontal="center"/>
    </xf>
    <xf numFmtId="164" fontId="23" fillId="5" borderId="1" xfId="4" applyNumberFormat="1" applyFont="1" applyFill="1" applyBorder="1" applyAlignment="1">
      <alignment horizontal="right"/>
    </xf>
    <xf numFmtId="164" fontId="23" fillId="5" borderId="1" xfId="4" applyNumberFormat="1" applyFont="1" applyFill="1" applyBorder="1" applyAlignment="1">
      <alignment horizontal="center"/>
    </xf>
    <xf numFmtId="44" fontId="23" fillId="5" borderId="1" xfId="1" applyFont="1" applyFill="1" applyBorder="1" applyAlignment="1">
      <alignment horizontal="center"/>
    </xf>
    <xf numFmtId="164" fontId="0" fillId="0" borderId="1" xfId="0" applyNumberFormat="1" applyBorder="1" applyAlignment="1" applyProtection="1">
      <alignment horizontal="left"/>
      <protection locked="0"/>
    </xf>
    <xf numFmtId="164" fontId="0" fillId="0" borderId="1" xfId="0" applyNumberFormat="1" applyBorder="1" applyAlignment="1" applyProtection="1">
      <alignment horizontal="center"/>
      <protection locked="0"/>
    </xf>
    <xf numFmtId="14" fontId="0" fillId="0" borderId="0" xfId="4" applyNumberFormat="1" applyFont="1"/>
    <xf numFmtId="166" fontId="0" fillId="0" borderId="0" xfId="0" applyNumberFormat="1"/>
    <xf numFmtId="14" fontId="0" fillId="0" borderId="0" xfId="0" applyNumberFormat="1" applyAlignment="1">
      <alignment horizontal="center"/>
    </xf>
    <xf numFmtId="166" fontId="0" fillId="0" borderId="0" xfId="0" applyNumberFormat="1" applyAlignment="1">
      <alignment horizontal="center"/>
    </xf>
    <xf numFmtId="0" fontId="9" fillId="0" borderId="2" xfId="0" applyFont="1" applyFill="1" applyBorder="1" applyAlignment="1">
      <alignment horizontal="center"/>
    </xf>
    <xf numFmtId="3" fontId="15" fillId="0" borderId="14" xfId="0" applyNumberFormat="1" applyFont="1" applyFill="1" applyBorder="1" applyAlignment="1">
      <alignment horizontal="center"/>
    </xf>
    <xf numFmtId="164" fontId="0" fillId="0" borderId="0" xfId="0" applyNumberFormat="1"/>
    <xf numFmtId="14" fontId="27" fillId="19" borderId="0" xfId="0" applyNumberFormat="1" applyFont="1" applyFill="1" applyAlignment="1">
      <alignment horizontal="center"/>
    </xf>
    <xf numFmtId="22" fontId="0" fillId="0" borderId="0" xfId="0" applyNumberFormat="1"/>
    <xf numFmtId="164" fontId="0" fillId="0" borderId="0" xfId="4" applyNumberFormat="1" applyFont="1" applyAlignment="1">
      <alignment horizontal="left" indent="2"/>
    </xf>
    <xf numFmtId="164" fontId="0" fillId="0" borderId="0" xfId="4" applyNumberFormat="1" applyFont="1"/>
    <xf numFmtId="164" fontId="2" fillId="0" borderId="0" xfId="4" applyNumberFormat="1" applyFont="1" applyAlignment="1">
      <alignment horizontal="left" indent="2"/>
    </xf>
    <xf numFmtId="164" fontId="2" fillId="0" borderId="0" xfId="4" applyNumberFormat="1" applyFont="1"/>
    <xf numFmtId="0" fontId="9" fillId="0" borderId="0" xfId="0" applyFont="1" applyBorder="1"/>
    <xf numFmtId="0" fontId="0" fillId="2" borderId="0" xfId="0" applyFill="1" applyAlignment="1">
      <alignment wrapText="1"/>
    </xf>
    <xf numFmtId="164" fontId="0" fillId="0" borderId="0" xfId="4" applyNumberFormat="1" applyFont="1" applyAlignment="1">
      <alignment horizontal="center"/>
    </xf>
    <xf numFmtId="0" fontId="2" fillId="9" borderId="0" xfId="0" applyFont="1" applyFill="1" applyAlignment="1">
      <alignment horizontal="right"/>
    </xf>
    <xf numFmtId="164" fontId="0" fillId="0" borderId="0" xfId="4" applyNumberFormat="1" applyFont="1" applyAlignment="1">
      <alignment horizontal="right"/>
    </xf>
    <xf numFmtId="0" fontId="9" fillId="8" borderId="12"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0" fillId="8" borderId="0" xfId="0" applyFill="1"/>
    <xf numFmtId="0" fontId="0" fillId="0" borderId="0" xfId="0" applyAlignment="1">
      <alignment vertical="center"/>
    </xf>
    <xf numFmtId="0" fontId="6" fillId="0" borderId="18" xfId="0" applyFont="1" applyBorder="1"/>
    <xf numFmtId="164" fontId="2" fillId="0" borderId="0" xfId="4" applyNumberFormat="1" applyFont="1" applyAlignment="1">
      <alignment horizontal="center" vertical="center"/>
    </xf>
    <xf numFmtId="0" fontId="0" fillId="20" borderId="0" xfId="0" applyFill="1" applyAlignment="1">
      <alignment horizontal="right"/>
    </xf>
    <xf numFmtId="164" fontId="0" fillId="20" borderId="0" xfId="4" applyNumberFormat="1" applyFont="1" applyFill="1" applyAlignment="1">
      <alignment horizontal="right"/>
    </xf>
    <xf numFmtId="0" fontId="0" fillId="20" borderId="0" xfId="0" applyFill="1" applyAlignment="1">
      <alignment horizontal="left" vertical="center" wrapText="1"/>
    </xf>
    <xf numFmtId="0" fontId="0" fillId="20" borderId="0" xfId="0" applyFill="1" applyAlignment="1">
      <alignment horizontal="left" vertical="center"/>
    </xf>
    <xf numFmtId="14" fontId="0" fillId="0" borderId="0" xfId="0" applyNumberFormat="1" applyAlignment="1">
      <alignment horizontal="left"/>
    </xf>
    <xf numFmtId="164" fontId="0" fillId="0" borderId="0" xfId="4" applyNumberFormat="1" applyFont="1" applyAlignment="1">
      <alignment horizontal="left"/>
    </xf>
    <xf numFmtId="0" fontId="0" fillId="0" borderId="0" xfId="0" applyAlignment="1">
      <alignment vertical="top" wrapText="1"/>
    </xf>
    <xf numFmtId="0" fontId="0" fillId="0" borderId="0" xfId="0" applyAlignment="1">
      <alignment wrapText="1"/>
    </xf>
    <xf numFmtId="0" fontId="2" fillId="9" borderId="0" xfId="0" applyFont="1" applyFill="1" applyAlignment="1">
      <alignment wrapText="1"/>
    </xf>
    <xf numFmtId="0" fontId="2" fillId="9" borderId="0" xfId="0" applyFont="1" applyFill="1" applyAlignment="1">
      <alignment horizontal="center" wrapText="1"/>
    </xf>
    <xf numFmtId="0" fontId="2" fillId="0" borderId="18" xfId="0" applyFont="1" applyBorder="1" applyAlignment="1">
      <alignment horizontal="center" wrapText="1"/>
    </xf>
    <xf numFmtId="0" fontId="2" fillId="21" borderId="0" xfId="0" applyFont="1" applyFill="1" applyAlignment="1">
      <alignment horizontal="center" wrapText="1"/>
    </xf>
    <xf numFmtId="3" fontId="15" fillId="0" borderId="13" xfId="0" applyNumberFormat="1" applyFont="1" applyFill="1" applyBorder="1" applyAlignment="1">
      <alignment horizontal="center"/>
    </xf>
    <xf numFmtId="18" fontId="0" fillId="0" borderId="0" xfId="0" applyNumberFormat="1" applyFont="1"/>
    <xf numFmtId="0" fontId="2" fillId="8" borderId="4" xfId="0" applyFont="1" applyFill="1" applyBorder="1" applyAlignment="1">
      <alignment vertical="center" wrapText="1"/>
    </xf>
    <xf numFmtId="0" fontId="0" fillId="0" borderId="3" xfId="0" applyBorder="1" applyAlignment="1">
      <alignment horizontal="center"/>
    </xf>
    <xf numFmtId="0" fontId="2" fillId="8" borderId="2" xfId="0" applyFont="1" applyFill="1" applyBorder="1" applyAlignment="1">
      <alignment horizontal="center" vertical="center" wrapText="1"/>
    </xf>
    <xf numFmtId="164" fontId="21" fillId="0" borderId="1" xfId="4" applyNumberFormat="1" applyFont="1" applyFill="1" applyBorder="1" applyAlignment="1">
      <alignment horizontal="center" vertical="center"/>
    </xf>
    <xf numFmtId="0" fontId="28" fillId="8" borderId="22" xfId="0" applyFont="1" applyFill="1" applyBorder="1" applyAlignment="1">
      <alignment vertical="center"/>
    </xf>
    <xf numFmtId="0" fontId="28" fillId="8" borderId="23" xfId="0" applyFont="1" applyFill="1" applyBorder="1" applyAlignment="1">
      <alignment horizontal="center" vertical="center"/>
    </xf>
    <xf numFmtId="0" fontId="28" fillId="8" borderId="23" xfId="0" applyFont="1" applyFill="1" applyBorder="1" applyAlignment="1">
      <alignment horizontal="center" vertical="center" wrapText="1"/>
    </xf>
    <xf numFmtId="0" fontId="28" fillId="8" borderId="1" xfId="0" applyFont="1" applyFill="1" applyBorder="1" applyAlignment="1">
      <alignment horizontal="center" vertical="center" wrapText="1"/>
    </xf>
    <xf numFmtId="164" fontId="0" fillId="0" borderId="0" xfId="0" applyNumberFormat="1" applyAlignment="1">
      <alignment horizontal="center"/>
    </xf>
    <xf numFmtId="3" fontId="15" fillId="0" borderId="24" xfId="0" applyNumberFormat="1" applyFont="1" applyFill="1" applyBorder="1" applyAlignment="1">
      <alignment horizontal="center"/>
    </xf>
    <xf numFmtId="3" fontId="15" fillId="0" borderId="17" xfId="0" applyNumberFormat="1" applyFont="1" applyFill="1" applyBorder="1" applyAlignment="1">
      <alignment horizontal="center"/>
    </xf>
    <xf numFmtId="0" fontId="13" fillId="23" borderId="0" xfId="0" applyFont="1" applyFill="1"/>
    <xf numFmtId="0" fontId="9" fillId="23" borderId="0" xfId="0" applyFont="1" applyFill="1" applyBorder="1" applyAlignment="1">
      <alignment horizontal="center"/>
    </xf>
    <xf numFmtId="3" fontId="15" fillId="23" borderId="0" xfId="0" applyNumberFormat="1" applyFont="1" applyFill="1" applyBorder="1" applyAlignment="1">
      <alignment horizontal="center"/>
    </xf>
    <xf numFmtId="0" fontId="0" fillId="0" borderId="0" xfId="0" applyFont="1" applyBorder="1"/>
    <xf numFmtId="164" fontId="0" fillId="0" borderId="0" xfId="4" applyNumberFormat="1" applyFont="1" applyBorder="1" applyAlignment="1">
      <alignment horizontal="left" indent="2"/>
    </xf>
    <xf numFmtId="0" fontId="9" fillId="8" borderId="1" xfId="0" applyFont="1" applyFill="1" applyBorder="1" applyAlignment="1">
      <alignment horizontal="center" vertical="center" wrapText="1"/>
    </xf>
    <xf numFmtId="3" fontId="15" fillId="0" borderId="1" xfId="0" applyNumberFormat="1" applyFont="1" applyFill="1" applyBorder="1" applyAlignment="1">
      <alignment horizontal="center"/>
    </xf>
    <xf numFmtId="0" fontId="9" fillId="8" borderId="3" xfId="0" applyFont="1" applyFill="1" applyBorder="1" applyAlignment="1">
      <alignment horizontal="center" vertical="center" wrapText="1"/>
    </xf>
    <xf numFmtId="3" fontId="15" fillId="0" borderId="12" xfId="0" applyNumberFormat="1" applyFont="1" applyFill="1" applyBorder="1" applyAlignment="1">
      <alignment horizontal="center"/>
    </xf>
    <xf numFmtId="0" fontId="0" fillId="0" borderId="0" xfId="0" applyNumberFormat="1" applyAlignment="1">
      <alignment vertical="top"/>
    </xf>
    <xf numFmtId="164" fontId="0" fillId="0" borderId="3" xfId="4" applyNumberFormat="1" applyFont="1" applyBorder="1"/>
    <xf numFmtId="164" fontId="7" fillId="0" borderId="1" xfId="4" applyNumberFormat="1" applyFont="1" applyBorder="1" applyAlignment="1">
      <alignment horizontal="center"/>
    </xf>
    <xf numFmtId="164" fontId="7" fillId="0" borderId="3" xfId="4" applyNumberFormat="1" applyFont="1" applyBorder="1" applyAlignment="1">
      <alignment horizontal="center"/>
    </xf>
    <xf numFmtId="0" fontId="0" fillId="0" borderId="1" xfId="0" applyBorder="1" applyAlignment="1" applyProtection="1">
      <alignment horizontal="left"/>
      <protection locked="0"/>
    </xf>
    <xf numFmtId="3" fontId="15" fillId="0" borderId="26" xfId="0" applyNumberFormat="1" applyFont="1" applyFill="1" applyBorder="1" applyAlignment="1">
      <alignment horizontal="center"/>
    </xf>
    <xf numFmtId="3" fontId="15" fillId="0" borderId="27" xfId="0" applyNumberFormat="1" applyFont="1" applyFill="1" applyBorder="1" applyAlignment="1">
      <alignment horizontal="center"/>
    </xf>
    <xf numFmtId="0" fontId="9" fillId="0" borderId="30" xfId="0" applyFont="1" applyBorder="1"/>
    <xf numFmtId="164" fontId="24" fillId="0" borderId="2" xfId="4" applyNumberFormat="1" applyFont="1" applyBorder="1" applyAlignment="1">
      <alignment horizontal="center"/>
    </xf>
    <xf numFmtId="164" fontId="29" fillId="0" borderId="2" xfId="4" applyNumberFormat="1" applyFont="1" applyBorder="1" applyAlignment="1">
      <alignment horizontal="center" vertical="center"/>
    </xf>
    <xf numFmtId="0" fontId="9" fillId="8" borderId="32" xfId="0" applyFont="1" applyFill="1" applyBorder="1" applyAlignment="1">
      <alignment horizontal="center" vertical="center" wrapText="1"/>
    </xf>
    <xf numFmtId="3" fontId="15" fillId="0" borderId="32" xfId="0" applyNumberFormat="1" applyFont="1" applyFill="1" applyBorder="1" applyAlignment="1">
      <alignment horizontal="center"/>
    </xf>
    <xf numFmtId="3" fontId="15" fillId="0" borderId="33" xfId="0" applyNumberFormat="1" applyFont="1" applyFill="1" applyBorder="1" applyAlignment="1">
      <alignment horizontal="center"/>
    </xf>
    <xf numFmtId="3" fontId="15" fillId="0" borderId="31" xfId="0" applyNumberFormat="1" applyFont="1" applyFill="1" applyBorder="1" applyAlignment="1">
      <alignment horizontal="center"/>
    </xf>
    <xf numFmtId="14" fontId="0" fillId="0" borderId="1" xfId="4" applyNumberFormat="1" applyFont="1" applyBorder="1" applyProtection="1">
      <protection locked="0"/>
    </xf>
    <xf numFmtId="0" fontId="0" fillId="2" borderId="0" xfId="0" applyFill="1" applyAlignment="1">
      <alignment horizontal="center"/>
    </xf>
    <xf numFmtId="0" fontId="0" fillId="0" borderId="1" xfId="0" applyBorder="1" applyAlignment="1">
      <alignment horizontal="left"/>
    </xf>
    <xf numFmtId="0" fontId="0" fillId="0" borderId="1" xfId="0" applyBorder="1" applyAlignment="1" applyProtection="1">
      <alignment horizontal="left" wrapText="1"/>
      <protection locked="0"/>
    </xf>
    <xf numFmtId="164" fontId="0" fillId="2" borderId="1" xfId="4" applyNumberFormat="1" applyFont="1" applyFill="1" applyBorder="1" applyProtection="1">
      <protection locked="0"/>
    </xf>
    <xf numFmtId="0" fontId="31" fillId="0" borderId="0" xfId="0" applyFont="1"/>
    <xf numFmtId="0" fontId="32" fillId="0" borderId="0" xfId="0" applyFont="1"/>
    <xf numFmtId="0" fontId="32" fillId="0" borderId="0" xfId="0" applyFont="1" applyAlignment="1">
      <alignment wrapText="1"/>
    </xf>
    <xf numFmtId="0" fontId="31" fillId="0" borderId="0" xfId="0" applyFont="1" applyAlignment="1">
      <alignment wrapText="1"/>
    </xf>
    <xf numFmtId="0" fontId="32" fillId="0" borderId="0" xfId="0" applyFont="1" applyAlignment="1">
      <alignment vertical="top" wrapText="1"/>
    </xf>
    <xf numFmtId="0" fontId="33" fillId="0" borderId="0" xfId="0" applyFont="1"/>
    <xf numFmtId="0" fontId="34" fillId="0" borderId="0" xfId="0" applyFont="1"/>
    <xf numFmtId="0" fontId="0" fillId="25" borderId="1" xfId="0" applyFill="1" applyBorder="1" applyProtection="1">
      <protection locked="0"/>
    </xf>
    <xf numFmtId="0" fontId="17" fillId="25" borderId="1" xfId="0" applyFont="1" applyFill="1" applyBorder="1" applyProtection="1">
      <protection locked="0"/>
    </xf>
    <xf numFmtId="164" fontId="2" fillId="0" borderId="1" xfId="4" applyNumberFormat="1" applyFont="1" applyBorder="1" applyAlignment="1" applyProtection="1">
      <alignment horizontal="center"/>
      <protection locked="0"/>
    </xf>
    <xf numFmtId="43" fontId="0" fillId="0" borderId="1" xfId="4" applyFont="1" applyBorder="1" applyProtection="1">
      <protection locked="0"/>
    </xf>
    <xf numFmtId="14" fontId="0" fillId="25" borderId="1" xfId="0" applyNumberFormat="1" applyFill="1" applyBorder="1" applyAlignment="1" applyProtection="1">
      <alignment horizontal="center"/>
      <protection locked="0"/>
    </xf>
    <xf numFmtId="0" fontId="0" fillId="25" borderId="1" xfId="0" applyFill="1" applyBorder="1" applyAlignment="1" applyProtection="1">
      <alignment horizontal="center"/>
      <protection locked="0"/>
    </xf>
    <xf numFmtId="0" fontId="0" fillId="25" borderId="1" xfId="0" applyFill="1" applyBorder="1" applyAlignment="1" applyProtection="1">
      <alignment horizontal="center" wrapText="1"/>
      <protection locked="0"/>
    </xf>
    <xf numFmtId="164" fontId="0" fillId="25" borderId="1" xfId="4" applyNumberFormat="1" applyFont="1" applyFill="1" applyBorder="1" applyAlignment="1" applyProtection="1">
      <alignment horizontal="right"/>
      <protection locked="0"/>
    </xf>
    <xf numFmtId="164" fontId="0" fillId="25" borderId="1" xfId="4" applyNumberFormat="1" applyFont="1" applyFill="1" applyBorder="1" applyAlignment="1" applyProtection="1">
      <alignment horizontal="center"/>
      <protection locked="0"/>
    </xf>
    <xf numFmtId="44" fontId="0" fillId="25" borderId="1" xfId="1" applyFont="1" applyFill="1" applyBorder="1" applyAlignment="1" applyProtection="1">
      <alignment horizontal="center"/>
      <protection locked="0"/>
    </xf>
    <xf numFmtId="0" fontId="0" fillId="25" borderId="1" xfId="0" applyFill="1" applyBorder="1" applyAlignment="1" applyProtection="1">
      <alignment wrapText="1"/>
      <protection locked="0"/>
    </xf>
    <xf numFmtId="164" fontId="0" fillId="25" borderId="1" xfId="4" applyNumberFormat="1" applyFont="1" applyFill="1" applyBorder="1" applyProtection="1">
      <protection locked="0"/>
    </xf>
    <xf numFmtId="164" fontId="0" fillId="25" borderId="1" xfId="0" applyNumberFormat="1" applyFill="1" applyBorder="1" applyProtection="1">
      <protection locked="0"/>
    </xf>
    <xf numFmtId="164" fontId="0" fillId="25" borderId="1" xfId="0" applyNumberFormat="1" applyFill="1" applyBorder="1" applyAlignment="1" applyProtection="1">
      <alignment horizontal="left"/>
      <protection locked="0"/>
    </xf>
    <xf numFmtId="164" fontId="0" fillId="25" borderId="1" xfId="0" applyNumberFormat="1" applyFill="1" applyBorder="1" applyAlignment="1" applyProtection="1">
      <alignment horizontal="center"/>
      <protection locked="0"/>
    </xf>
    <xf numFmtId="14" fontId="0" fillId="25" borderId="1" xfId="4" applyNumberFormat="1" applyFont="1" applyFill="1" applyBorder="1" applyProtection="1">
      <protection locked="0"/>
    </xf>
    <xf numFmtId="43" fontId="0" fillId="25" borderId="1" xfId="4" applyFont="1" applyFill="1" applyBorder="1" applyProtection="1">
      <protection locked="0"/>
    </xf>
    <xf numFmtId="14" fontId="17" fillId="25" borderId="1" xfId="0" applyNumberFormat="1" applyFont="1" applyFill="1" applyBorder="1" applyAlignment="1" applyProtection="1">
      <alignment horizontal="center"/>
      <protection locked="0"/>
    </xf>
    <xf numFmtId="0" fontId="17" fillId="25" borderId="1" xfId="0" applyFont="1" applyFill="1" applyBorder="1" applyAlignment="1" applyProtection="1">
      <alignment horizontal="center"/>
      <protection locked="0"/>
    </xf>
    <xf numFmtId="0" fontId="17" fillId="25" borderId="1" xfId="0" applyFont="1" applyFill="1" applyBorder="1" applyAlignment="1" applyProtection="1">
      <alignment horizontal="center" wrapText="1"/>
      <protection locked="0"/>
    </xf>
    <xf numFmtId="164" fontId="17" fillId="25" borderId="1" xfId="4" applyNumberFormat="1" applyFont="1" applyFill="1" applyBorder="1" applyAlignment="1" applyProtection="1">
      <alignment horizontal="right"/>
      <protection locked="0"/>
    </xf>
    <xf numFmtId="164" fontId="17" fillId="25" borderId="1" xfId="4" applyNumberFormat="1" applyFont="1" applyFill="1" applyBorder="1" applyAlignment="1" applyProtection="1">
      <alignment horizontal="center"/>
      <protection locked="0"/>
    </xf>
    <xf numFmtId="44" fontId="17" fillId="25" borderId="1" xfId="1" applyFont="1" applyFill="1" applyBorder="1" applyAlignment="1" applyProtection="1">
      <alignment horizontal="center"/>
      <protection locked="0"/>
    </xf>
    <xf numFmtId="0" fontId="17" fillId="25" borderId="1" xfId="0" applyFont="1" applyFill="1" applyBorder="1" applyAlignment="1" applyProtection="1">
      <alignment wrapText="1"/>
      <protection locked="0"/>
    </xf>
    <xf numFmtId="164" fontId="17" fillId="25" borderId="1" xfId="4" applyNumberFormat="1" applyFont="1" applyFill="1" applyBorder="1" applyProtection="1">
      <protection locked="0"/>
    </xf>
    <xf numFmtId="164" fontId="17" fillId="25" borderId="1" xfId="0" applyNumberFormat="1" applyFont="1" applyFill="1" applyBorder="1" applyProtection="1">
      <protection locked="0"/>
    </xf>
    <xf numFmtId="164" fontId="17" fillId="25" borderId="1" xfId="0" applyNumberFormat="1" applyFont="1" applyFill="1" applyBorder="1" applyAlignment="1" applyProtection="1">
      <alignment horizontal="left"/>
      <protection locked="0"/>
    </xf>
    <xf numFmtId="0" fontId="0" fillId="25" borderId="1" xfId="0" applyFill="1" applyBorder="1" applyAlignment="1" applyProtection="1">
      <alignment horizontal="left"/>
      <protection locked="0"/>
    </xf>
    <xf numFmtId="0" fontId="0" fillId="25" borderId="1" xfId="0" applyFill="1" applyBorder="1" applyAlignment="1">
      <alignment horizontal="left"/>
    </xf>
    <xf numFmtId="0" fontId="17" fillId="25" borderId="1" xfId="0" applyFont="1" applyFill="1" applyBorder="1" applyAlignment="1">
      <alignment horizontal="left"/>
    </xf>
    <xf numFmtId="164" fontId="17" fillId="25" borderId="1" xfId="0" applyNumberFormat="1" applyFont="1" applyFill="1" applyBorder="1" applyAlignment="1" applyProtection="1">
      <alignment horizontal="center"/>
      <protection locked="0"/>
    </xf>
    <xf numFmtId="14" fontId="0" fillId="26" borderId="1" xfId="0" applyNumberFormat="1" applyFill="1" applyBorder="1" applyAlignment="1" applyProtection="1">
      <alignment horizontal="center"/>
      <protection locked="0"/>
    </xf>
    <xf numFmtId="0" fontId="0" fillId="26" borderId="1" xfId="0" applyFill="1" applyBorder="1" applyProtection="1">
      <protection locked="0"/>
    </xf>
    <xf numFmtId="0" fontId="0" fillId="26" borderId="1" xfId="0" applyFill="1" applyBorder="1" applyAlignment="1" applyProtection="1">
      <alignment horizontal="center"/>
      <protection locked="0"/>
    </xf>
    <xf numFmtId="0" fontId="0" fillId="26" borderId="1" xfId="0" applyFill="1" applyBorder="1" applyAlignment="1" applyProtection="1">
      <alignment horizontal="center" wrapText="1"/>
      <protection locked="0"/>
    </xf>
    <xf numFmtId="164" fontId="0" fillId="26" borderId="1" xfId="4" applyNumberFormat="1" applyFont="1" applyFill="1" applyBorder="1" applyAlignment="1" applyProtection="1">
      <alignment horizontal="right"/>
      <protection locked="0"/>
    </xf>
    <xf numFmtId="164" fontId="0" fillId="26" borderId="1" xfId="4" applyNumberFormat="1" applyFont="1" applyFill="1" applyBorder="1" applyAlignment="1" applyProtection="1">
      <alignment horizontal="center"/>
      <protection locked="0"/>
    </xf>
    <xf numFmtId="44" fontId="0" fillId="26" borderId="1" xfId="1" applyFont="1" applyFill="1" applyBorder="1" applyAlignment="1" applyProtection="1">
      <alignment horizontal="center"/>
      <protection locked="0"/>
    </xf>
    <xf numFmtId="44" fontId="0" fillId="26" borderId="1" xfId="0" applyNumberFormat="1" applyFill="1" applyBorder="1" applyAlignment="1" applyProtection="1">
      <alignment horizontal="center"/>
      <protection locked="0"/>
    </xf>
    <xf numFmtId="0" fontId="0" fillId="26" borderId="1" xfId="0" applyFill="1" applyBorder="1" applyAlignment="1" applyProtection="1">
      <alignment wrapText="1"/>
      <protection locked="0"/>
    </xf>
    <xf numFmtId="14" fontId="0" fillId="26" borderId="1" xfId="0" applyNumberFormat="1" applyFill="1" applyBorder="1" applyProtection="1">
      <protection locked="0"/>
    </xf>
    <xf numFmtId="164" fontId="0" fillId="26" borderId="1" xfId="4" applyNumberFormat="1" applyFont="1" applyFill="1" applyBorder="1" applyProtection="1">
      <protection locked="0"/>
    </xf>
    <xf numFmtId="164" fontId="0" fillId="26" borderId="1" xfId="0" applyNumberFormat="1" applyFill="1" applyBorder="1" applyProtection="1">
      <protection locked="0"/>
    </xf>
    <xf numFmtId="164" fontId="0" fillId="26" borderId="1" xfId="0" applyNumberFormat="1" applyFill="1" applyBorder="1" applyAlignment="1" applyProtection="1">
      <alignment horizontal="left"/>
      <protection locked="0"/>
    </xf>
    <xf numFmtId="164" fontId="0" fillId="26" borderId="1" xfId="0" applyNumberFormat="1" applyFill="1" applyBorder="1" applyAlignment="1" applyProtection="1">
      <alignment horizontal="center"/>
      <protection locked="0"/>
    </xf>
    <xf numFmtId="14" fontId="0" fillId="26" borderId="1" xfId="4" applyNumberFormat="1" applyFont="1" applyFill="1" applyBorder="1" applyProtection="1">
      <protection locked="0"/>
    </xf>
    <xf numFmtId="43" fontId="0" fillId="26" borderId="1" xfId="4" applyFont="1" applyFill="1" applyBorder="1" applyProtection="1">
      <protection locked="0"/>
    </xf>
    <xf numFmtId="43" fontId="0" fillId="26" borderId="1" xfId="0" applyNumberFormat="1" applyFill="1" applyBorder="1" applyProtection="1">
      <protection locked="0"/>
    </xf>
    <xf numFmtId="0" fontId="7" fillId="26" borderId="1" xfId="0" applyFont="1" applyFill="1" applyBorder="1" applyAlignment="1" applyProtection="1">
      <alignment horizontal="center" wrapText="1"/>
      <protection locked="0"/>
    </xf>
    <xf numFmtId="0" fontId="8" fillId="26" borderId="1" xfId="0" applyFont="1" applyFill="1" applyBorder="1" applyProtection="1">
      <protection locked="0"/>
    </xf>
    <xf numFmtId="14" fontId="0" fillId="26" borderId="1" xfId="0" applyNumberFormat="1" applyFill="1" applyBorder="1" applyAlignment="1" applyProtection="1">
      <alignment horizontal="center" wrapText="1"/>
      <protection locked="0"/>
    </xf>
    <xf numFmtId="0" fontId="0" fillId="26" borderId="1" xfId="0" applyFill="1" applyBorder="1" applyAlignment="1">
      <alignment horizontal="left"/>
    </xf>
    <xf numFmtId="0" fontId="0" fillId="26" borderId="1" xfId="0" applyFill="1" applyBorder="1" applyAlignment="1" applyProtection="1">
      <alignment horizontal="left"/>
      <protection locked="0"/>
    </xf>
    <xf numFmtId="0" fontId="0" fillId="26" borderId="1" xfId="0" quotePrefix="1" applyFill="1" applyBorder="1" applyAlignment="1" applyProtection="1">
      <alignment horizontal="center" wrapText="1"/>
      <protection locked="0"/>
    </xf>
    <xf numFmtId="14" fontId="0" fillId="2" borderId="1" xfId="0" applyNumberFormat="1" applyFill="1" applyBorder="1" applyAlignment="1" applyProtection="1">
      <alignment horizontal="center"/>
      <protection locked="0"/>
    </xf>
    <xf numFmtId="0" fontId="0" fillId="2" borderId="1" xfId="0" applyFill="1" applyBorder="1" applyProtection="1">
      <protection locked="0"/>
    </xf>
    <xf numFmtId="0" fontId="0" fillId="2" borderId="1" xfId="0" applyFill="1" applyBorder="1" applyAlignment="1" applyProtection="1">
      <alignment horizontal="center"/>
      <protection locked="0"/>
    </xf>
    <xf numFmtId="0" fontId="0" fillId="2" borderId="1" xfId="0" applyFill="1" applyBorder="1" applyAlignment="1" applyProtection="1">
      <alignment horizontal="center" wrapText="1"/>
      <protection locked="0"/>
    </xf>
    <xf numFmtId="164" fontId="0" fillId="2" borderId="1" xfId="4" applyNumberFormat="1" applyFont="1" applyFill="1" applyBorder="1" applyAlignment="1" applyProtection="1">
      <alignment horizontal="right"/>
      <protection locked="0"/>
    </xf>
    <xf numFmtId="164" fontId="0" fillId="2" borderId="1" xfId="4" applyNumberFormat="1" applyFont="1" applyFill="1" applyBorder="1" applyAlignment="1" applyProtection="1">
      <alignment horizontal="center"/>
      <protection locked="0"/>
    </xf>
    <xf numFmtId="44" fontId="0" fillId="2" borderId="1" xfId="1" applyFont="1" applyFill="1" applyBorder="1" applyAlignment="1" applyProtection="1">
      <alignment horizontal="center"/>
      <protection locked="0"/>
    </xf>
    <xf numFmtId="0" fontId="0" fillId="2" borderId="1" xfId="0" applyFill="1" applyBorder="1" applyAlignment="1" applyProtection="1">
      <alignment wrapText="1"/>
      <protection locked="0"/>
    </xf>
    <xf numFmtId="164" fontId="0" fillId="2" borderId="1" xfId="0" applyNumberFormat="1" applyFill="1" applyBorder="1" applyProtection="1">
      <protection locked="0"/>
    </xf>
    <xf numFmtId="0" fontId="0" fillId="2" borderId="1" xfId="0" applyFill="1" applyBorder="1" applyAlignment="1" applyProtection="1">
      <alignment horizontal="left"/>
      <protection locked="0"/>
    </xf>
    <xf numFmtId="14" fontId="0" fillId="2" borderId="1" xfId="4" applyNumberFormat="1" applyFont="1" applyFill="1" applyBorder="1" applyProtection="1">
      <protection locked="0"/>
    </xf>
    <xf numFmtId="43" fontId="0" fillId="2" borderId="1" xfId="4" applyFont="1" applyFill="1" applyBorder="1" applyProtection="1">
      <protection locked="0"/>
    </xf>
    <xf numFmtId="14" fontId="0" fillId="2" borderId="1" xfId="0" applyNumberFormat="1" applyFill="1" applyBorder="1" applyProtection="1">
      <protection locked="0"/>
    </xf>
    <xf numFmtId="0" fontId="0" fillId="2" borderId="1" xfId="0" quotePrefix="1" applyFill="1" applyBorder="1" applyAlignment="1" applyProtection="1">
      <alignment horizontal="center" wrapText="1"/>
      <protection locked="0"/>
    </xf>
    <xf numFmtId="0" fontId="0" fillId="2" borderId="1" xfId="0" applyFill="1" applyBorder="1" applyAlignment="1">
      <alignment horizontal="left"/>
    </xf>
    <xf numFmtId="164" fontId="0" fillId="2" borderId="1" xfId="0" applyNumberFormat="1" applyFill="1" applyBorder="1" applyAlignment="1" applyProtection="1">
      <alignment horizontal="center"/>
      <protection locked="0"/>
    </xf>
    <xf numFmtId="0" fontId="0" fillId="26" borderId="1" xfId="0" applyFill="1" applyBorder="1"/>
    <xf numFmtId="0" fontId="0" fillId="26" borderId="1" xfId="0" applyFill="1" applyBorder="1" applyAlignment="1">
      <alignment horizontal="center" wrapText="1"/>
    </xf>
    <xf numFmtId="0" fontId="0" fillId="26" borderId="1" xfId="0" applyFill="1" applyBorder="1" applyAlignment="1">
      <alignment horizontal="center"/>
    </xf>
    <xf numFmtId="164" fontId="0" fillId="26" borderId="2" xfId="0" applyNumberFormat="1" applyFill="1" applyBorder="1" applyAlignment="1" applyProtection="1">
      <alignment horizontal="left"/>
      <protection locked="0"/>
    </xf>
    <xf numFmtId="0" fontId="0" fillId="26" borderId="0" xfId="0" applyFill="1" applyProtection="1">
      <protection locked="0"/>
    </xf>
    <xf numFmtId="14" fontId="0" fillId="26" borderId="1" xfId="0" applyNumberFormat="1" applyFill="1" applyBorder="1" applyAlignment="1">
      <alignment horizontal="center"/>
    </xf>
    <xf numFmtId="164" fontId="0" fillId="26" borderId="1" xfId="4" applyNumberFormat="1" applyFont="1" applyFill="1" applyBorder="1" applyAlignment="1">
      <alignment horizontal="right"/>
    </xf>
    <xf numFmtId="164" fontId="0" fillId="26" borderId="1" xfId="4" applyNumberFormat="1" applyFont="1" applyFill="1" applyBorder="1" applyAlignment="1">
      <alignment horizontal="center"/>
    </xf>
    <xf numFmtId="44" fontId="0" fillId="26" borderId="1" xfId="1" applyFont="1" applyFill="1" applyBorder="1" applyAlignment="1">
      <alignment horizontal="center"/>
    </xf>
    <xf numFmtId="44" fontId="0" fillId="26" borderId="1" xfId="0" applyNumberFormat="1" applyFill="1" applyBorder="1" applyAlignment="1">
      <alignment horizontal="center"/>
    </xf>
    <xf numFmtId="0" fontId="0" fillId="26" borderId="1" xfId="0" applyFill="1" applyBorder="1" applyAlignment="1">
      <alignment wrapText="1"/>
    </xf>
    <xf numFmtId="49" fontId="0" fillId="2" borderId="1" xfId="0" applyNumberFormat="1" applyFill="1" applyBorder="1" applyAlignment="1" applyProtection="1">
      <alignment horizontal="center" wrapText="1"/>
      <protection locked="0"/>
    </xf>
    <xf numFmtId="0" fontId="0" fillId="0" borderId="2" xfId="0" applyBorder="1" applyAlignment="1" applyProtection="1">
      <alignment horizontal="left"/>
      <protection locked="0"/>
    </xf>
    <xf numFmtId="0" fontId="0" fillId="26" borderId="1" xfId="4" applyNumberFormat="1" applyFont="1" applyFill="1" applyBorder="1" applyProtection="1">
      <protection locked="0"/>
    </xf>
    <xf numFmtId="3" fontId="0" fillId="26" borderId="1" xfId="0" applyNumberFormat="1" applyFill="1" applyBorder="1" applyAlignment="1" applyProtection="1">
      <alignment horizontal="center"/>
      <protection locked="0"/>
    </xf>
    <xf numFmtId="0" fontId="0" fillId="2" borderId="1" xfId="4" applyNumberFormat="1" applyFont="1" applyFill="1" applyBorder="1" applyProtection="1">
      <protection locked="0"/>
    </xf>
    <xf numFmtId="2" fontId="0" fillId="26" borderId="1" xfId="4" applyNumberFormat="1" applyFont="1" applyFill="1" applyBorder="1" applyAlignment="1">
      <alignment horizontal="right"/>
    </xf>
    <xf numFmtId="0" fontId="6" fillId="0" borderId="0" xfId="0" applyFont="1" applyBorder="1" applyAlignment="1">
      <alignment horizontal="center"/>
    </xf>
    <xf numFmtId="43" fontId="0" fillId="0" borderId="1" xfId="4" applyFont="1" applyFill="1" applyBorder="1" applyProtection="1">
      <protection locked="0"/>
    </xf>
    <xf numFmtId="164" fontId="0" fillId="0" borderId="1" xfId="4" applyNumberFormat="1" applyFont="1" applyFill="1" applyBorder="1" applyAlignment="1" applyProtection="1">
      <alignment horizontal="center"/>
      <protection locked="0"/>
    </xf>
    <xf numFmtId="44" fontId="0" fillId="0" borderId="1" xfId="1" applyFont="1" applyFill="1" applyBorder="1" applyAlignment="1" applyProtection="1">
      <alignment horizontal="center"/>
      <protection locked="0"/>
    </xf>
    <xf numFmtId="164" fontId="0" fillId="0" borderId="1" xfId="4" applyNumberFormat="1" applyFont="1" applyFill="1" applyBorder="1" applyProtection="1">
      <protection locked="0"/>
    </xf>
    <xf numFmtId="14" fontId="0" fillId="0" borderId="1" xfId="4" applyNumberFormat="1" applyFont="1" applyFill="1" applyBorder="1" applyProtection="1">
      <protection locked="0"/>
    </xf>
    <xf numFmtId="164" fontId="0" fillId="26" borderId="1" xfId="4" applyNumberFormat="1" applyFont="1" applyFill="1" applyBorder="1" applyAlignment="1" applyProtection="1">
      <alignment horizontal="right"/>
    </xf>
    <xf numFmtId="44" fontId="0" fillId="26" borderId="1" xfId="1" applyFont="1" applyFill="1" applyBorder="1" applyAlignment="1" applyProtection="1">
      <alignment horizontal="center"/>
    </xf>
    <xf numFmtId="43" fontId="0" fillId="26" borderId="0" xfId="4" applyFont="1" applyFill="1" applyBorder="1" applyProtection="1">
      <protection locked="0"/>
    </xf>
    <xf numFmtId="14" fontId="0" fillId="2" borderId="0" xfId="0" applyNumberFormat="1" applyFill="1" applyAlignment="1">
      <alignment horizontal="left"/>
    </xf>
    <xf numFmtId="43" fontId="2" fillId="0" borderId="1" xfId="4" applyFont="1" applyBorder="1" applyAlignment="1" applyProtection="1">
      <alignment horizontal="center"/>
      <protection locked="0"/>
    </xf>
    <xf numFmtId="43" fontId="17" fillId="25" borderId="1" xfId="4" applyFont="1" applyFill="1" applyBorder="1" applyProtection="1">
      <protection locked="0"/>
    </xf>
    <xf numFmtId="164" fontId="0" fillId="26" borderId="0" xfId="4" applyNumberFormat="1" applyFont="1" applyFill="1" applyBorder="1" applyProtection="1">
      <protection locked="0"/>
    </xf>
    <xf numFmtId="43" fontId="0" fillId="0" borderId="1" xfId="0" applyNumberFormat="1" applyBorder="1" applyProtection="1">
      <protection locked="0"/>
    </xf>
    <xf numFmtId="0" fontId="17" fillId="27" borderId="1" xfId="0" applyFont="1" applyFill="1" applyBorder="1" applyProtection="1">
      <protection locked="0"/>
    </xf>
    <xf numFmtId="0" fontId="17" fillId="27" borderId="1" xfId="0" applyFont="1" applyFill="1" applyBorder="1" applyAlignment="1" applyProtection="1">
      <alignment horizontal="center"/>
      <protection locked="0"/>
    </xf>
    <xf numFmtId="0" fontId="17" fillId="27" borderId="1" xfId="0" applyFont="1" applyFill="1" applyBorder="1" applyAlignment="1" applyProtection="1">
      <alignment horizontal="center" wrapText="1"/>
      <protection locked="0"/>
    </xf>
    <xf numFmtId="164" fontId="17" fillId="27" borderId="1" xfId="4" applyNumberFormat="1" applyFont="1" applyFill="1" applyBorder="1" applyAlignment="1" applyProtection="1">
      <alignment horizontal="right"/>
      <protection locked="0"/>
    </xf>
    <xf numFmtId="0" fontId="17" fillId="27" borderId="1" xfId="0" applyFont="1" applyFill="1" applyBorder="1" applyAlignment="1">
      <alignment horizontal="center"/>
    </xf>
    <xf numFmtId="164" fontId="17" fillId="27" borderId="1" xfId="4" applyNumberFormat="1" applyFont="1" applyFill="1" applyBorder="1" applyAlignment="1" applyProtection="1">
      <alignment horizontal="center"/>
      <protection locked="0"/>
    </xf>
    <xf numFmtId="164" fontId="17" fillId="27" borderId="1" xfId="4" applyNumberFormat="1" applyFont="1" applyFill="1" applyBorder="1" applyAlignment="1">
      <alignment horizontal="right"/>
    </xf>
    <xf numFmtId="44" fontId="17" fillId="27" borderId="1" xfId="1" applyFont="1" applyFill="1" applyBorder="1" applyAlignment="1" applyProtection="1">
      <alignment horizontal="center"/>
      <protection locked="0"/>
    </xf>
    <xf numFmtId="44" fontId="17" fillId="27" borderId="1" xfId="1" applyFont="1" applyFill="1" applyBorder="1" applyAlignment="1">
      <alignment horizontal="center"/>
    </xf>
    <xf numFmtId="14" fontId="17" fillId="27" borderId="1" xfId="0" applyNumberFormat="1" applyFont="1" applyFill="1" applyBorder="1" applyAlignment="1" applyProtection="1">
      <alignment horizontal="center"/>
      <protection locked="0"/>
    </xf>
    <xf numFmtId="0" fontId="17" fillId="27" borderId="1" xfId="0" applyFont="1" applyFill="1" applyBorder="1" applyAlignment="1" applyProtection="1">
      <alignment wrapText="1"/>
      <protection locked="0"/>
    </xf>
    <xf numFmtId="164" fontId="17" fillId="27" borderId="1" xfId="0" applyNumberFormat="1" applyFont="1" applyFill="1" applyBorder="1" applyProtection="1">
      <protection locked="0"/>
    </xf>
    <xf numFmtId="164" fontId="17" fillId="27" borderId="1" xfId="4" applyNumberFormat="1" applyFont="1" applyFill="1" applyBorder="1" applyProtection="1">
      <protection locked="0"/>
    </xf>
    <xf numFmtId="14" fontId="17" fillId="27" borderId="1" xfId="4" applyNumberFormat="1" applyFont="1" applyFill="1" applyBorder="1" applyProtection="1">
      <protection locked="0"/>
    </xf>
    <xf numFmtId="43" fontId="17" fillId="27" borderId="1" xfId="4" applyFont="1" applyFill="1" applyBorder="1" applyProtection="1">
      <protection locked="0"/>
    </xf>
    <xf numFmtId="164" fontId="1" fillId="0" borderId="0" xfId="4" applyNumberFormat="1" applyFont="1" applyAlignment="1">
      <alignment wrapText="1"/>
    </xf>
    <xf numFmtId="164" fontId="1" fillId="0" borderId="0" xfId="4" applyNumberFormat="1" applyFont="1" applyAlignment="1">
      <alignment horizontal="center"/>
    </xf>
    <xf numFmtId="164" fontId="1" fillId="0" borderId="0" xfId="4" applyNumberFormat="1" applyFont="1"/>
    <xf numFmtId="0" fontId="0" fillId="0" borderId="0" xfId="0" applyFont="1" applyAlignment="1">
      <alignment wrapText="1"/>
    </xf>
    <xf numFmtId="164" fontId="1" fillId="0" borderId="0" xfId="4" applyNumberFormat="1" applyFont="1" applyAlignment="1">
      <alignment horizontal="center" wrapText="1"/>
    </xf>
    <xf numFmtId="164" fontId="2" fillId="21" borderId="0" xfId="4" applyNumberFormat="1" applyFont="1" applyFill="1" applyAlignment="1">
      <alignment horizontal="center" wrapText="1"/>
    </xf>
    <xf numFmtId="164" fontId="0" fillId="2" borderId="1" xfId="0" applyNumberFormat="1" applyFill="1" applyBorder="1" applyAlignment="1" applyProtection="1">
      <alignment horizontal="left"/>
      <protection locked="0"/>
    </xf>
    <xf numFmtId="0" fontId="2" fillId="2" borderId="0" xfId="0" applyFont="1" applyFill="1" applyAlignment="1">
      <alignment horizontal="center"/>
    </xf>
    <xf numFmtId="43" fontId="0" fillId="0" borderId="0" xfId="4" applyFont="1" applyAlignment="1">
      <alignment horizontal="right"/>
    </xf>
    <xf numFmtId="43" fontId="6" fillId="0" borderId="0" xfId="4" applyFont="1" applyBorder="1" applyAlignment="1">
      <alignment horizontal="center"/>
    </xf>
    <xf numFmtId="43" fontId="0" fillId="0" borderId="0" xfId="4" applyFont="1" applyAlignment="1">
      <alignment horizontal="left" vertical="center"/>
    </xf>
    <xf numFmtId="43" fontId="2" fillId="9" borderId="0" xfId="4" applyFont="1" applyFill="1" applyAlignment="1">
      <alignment horizontal="right" wrapText="1"/>
    </xf>
    <xf numFmtId="0" fontId="2" fillId="9" borderId="0" xfId="0" applyFont="1" applyFill="1" applyAlignment="1">
      <alignment horizontal="right" wrapText="1"/>
    </xf>
    <xf numFmtId="0" fontId="2" fillId="0" borderId="0" xfId="0" applyFont="1" applyAlignment="1">
      <alignment horizontal="left"/>
    </xf>
    <xf numFmtId="0" fontId="2" fillId="0" borderId="0" xfId="0" applyFont="1" applyAlignment="1">
      <alignment horizontal="right"/>
    </xf>
    <xf numFmtId="43" fontId="2" fillId="0" borderId="0" xfId="4" applyFont="1" applyAlignment="1">
      <alignment horizontal="right"/>
    </xf>
    <xf numFmtId="164" fontId="2" fillId="0" borderId="0" xfId="0" applyNumberFormat="1" applyFont="1" applyAlignment="1">
      <alignment horizontal="right"/>
    </xf>
    <xf numFmtId="164" fontId="2" fillId="0" borderId="0" xfId="4" applyNumberFormat="1" applyFont="1" applyAlignment="1">
      <alignment horizontal="right"/>
    </xf>
    <xf numFmtId="164" fontId="2" fillId="20" borderId="0" xfId="4" applyNumberFormat="1" applyFont="1" applyFill="1" applyAlignment="1">
      <alignment horizontal="right"/>
    </xf>
    <xf numFmtId="43" fontId="0" fillId="2" borderId="1" xfId="0" applyNumberFormat="1" applyFill="1" applyBorder="1" applyProtection="1">
      <protection locked="0"/>
    </xf>
    <xf numFmtId="43" fontId="0" fillId="0" borderId="1" xfId="4" applyFont="1" applyBorder="1" applyAlignment="1" applyProtection="1">
      <alignment horizontal="center"/>
      <protection locked="0"/>
    </xf>
    <xf numFmtId="43" fontId="0" fillId="25" borderId="1" xfId="0" applyNumberFormat="1" applyFill="1" applyBorder="1" applyProtection="1">
      <protection locked="0"/>
    </xf>
    <xf numFmtId="44" fontId="0" fillId="26" borderId="1" xfId="0" applyNumberFormat="1" applyFill="1" applyBorder="1" applyProtection="1">
      <protection locked="0"/>
    </xf>
    <xf numFmtId="167" fontId="0" fillId="26" borderId="1" xfId="0" applyNumberFormat="1" applyFill="1" applyBorder="1" applyProtection="1">
      <protection locked="0"/>
    </xf>
    <xf numFmtId="44" fontId="0" fillId="2" borderId="1" xfId="0" applyNumberFormat="1" applyFill="1" applyBorder="1" applyProtection="1">
      <protection locked="0"/>
    </xf>
    <xf numFmtId="167" fontId="0" fillId="2" borderId="1" xfId="0" applyNumberFormat="1" applyFill="1" applyBorder="1" applyProtection="1">
      <protection locked="0"/>
    </xf>
    <xf numFmtId="44" fontId="0" fillId="0" borderId="1" xfId="0" applyNumberFormat="1" applyBorder="1" applyProtection="1">
      <protection locked="0"/>
    </xf>
    <xf numFmtId="167" fontId="0" fillId="0" borderId="1" xfId="0" applyNumberFormat="1" applyBorder="1" applyProtection="1">
      <protection locked="0"/>
    </xf>
    <xf numFmtId="0" fontId="23" fillId="5" borderId="1" xfId="0" applyFont="1" applyFill="1" applyBorder="1"/>
    <xf numFmtId="0" fontId="23" fillId="0" borderId="1" xfId="0" applyFont="1" applyBorder="1"/>
    <xf numFmtId="14" fontId="17" fillId="28" borderId="1" xfId="0" applyNumberFormat="1" applyFont="1" applyFill="1" applyBorder="1" applyAlignment="1" applyProtection="1">
      <alignment horizontal="center"/>
      <protection locked="0"/>
    </xf>
    <xf numFmtId="0" fontId="17" fillId="28" borderId="1" xfId="0" applyFont="1" applyFill="1" applyBorder="1" applyProtection="1">
      <protection locked="0"/>
    </xf>
    <xf numFmtId="0" fontId="17" fillId="28" borderId="1" xfId="0" applyFont="1" applyFill="1" applyBorder="1" applyAlignment="1" applyProtection="1">
      <alignment horizontal="center"/>
      <protection locked="0"/>
    </xf>
    <xf numFmtId="0" fontId="17" fillId="28" borderId="1" xfId="0" applyFont="1" applyFill="1" applyBorder="1" applyAlignment="1" applyProtection="1">
      <alignment horizontal="center" wrapText="1"/>
      <protection locked="0"/>
    </xf>
    <xf numFmtId="164" fontId="17" fillId="28" borderId="1" xfId="4" applyNumberFormat="1" applyFont="1" applyFill="1" applyBorder="1" applyAlignment="1" applyProtection="1">
      <alignment horizontal="right"/>
      <protection locked="0"/>
    </xf>
    <xf numFmtId="164" fontId="17" fillId="28" borderId="1" xfId="4" applyNumberFormat="1" applyFont="1" applyFill="1" applyBorder="1" applyAlignment="1" applyProtection="1">
      <alignment horizontal="center"/>
      <protection locked="0"/>
    </xf>
    <xf numFmtId="44" fontId="17" fillId="28" borderId="1" xfId="1" applyFont="1" applyFill="1" applyBorder="1" applyAlignment="1" applyProtection="1">
      <alignment horizontal="center"/>
      <protection locked="0"/>
    </xf>
    <xf numFmtId="0" fontId="17" fillId="28" borderId="1" xfId="0" applyFont="1" applyFill="1" applyBorder="1" applyAlignment="1" applyProtection="1">
      <alignment wrapText="1"/>
      <protection locked="0"/>
    </xf>
    <xf numFmtId="164" fontId="17" fillId="28" borderId="1" xfId="0" applyNumberFormat="1" applyFont="1" applyFill="1" applyBorder="1" applyProtection="1">
      <protection locked="0"/>
    </xf>
    <xf numFmtId="0" fontId="17" fillId="28" borderId="1" xfId="0" applyFont="1" applyFill="1" applyBorder="1" applyAlignment="1" applyProtection="1">
      <alignment horizontal="left"/>
      <protection locked="0"/>
    </xf>
    <xf numFmtId="164" fontId="17" fillId="28" borderId="1" xfId="4" applyNumberFormat="1" applyFont="1" applyFill="1" applyBorder="1" applyProtection="1">
      <protection locked="0"/>
    </xf>
    <xf numFmtId="14" fontId="17" fillId="28" borderId="1" xfId="4" applyNumberFormat="1" applyFont="1" applyFill="1" applyBorder="1" applyProtection="1">
      <protection locked="0"/>
    </xf>
    <xf numFmtId="43" fontId="17" fillId="28" borderId="1" xfId="4" applyFont="1" applyFill="1" applyBorder="1" applyProtection="1">
      <protection locked="0"/>
    </xf>
    <xf numFmtId="0" fontId="0" fillId="0" borderId="0" xfId="0" applyBorder="1" applyAlignment="1" applyProtection="1">
      <alignment horizontal="center"/>
      <protection locked="0"/>
    </xf>
    <xf numFmtId="164" fontId="2" fillId="0" borderId="0" xfId="0" applyNumberFormat="1" applyFont="1"/>
    <xf numFmtId="0" fontId="2" fillId="16" borderId="0" xfId="0" applyFont="1" applyFill="1"/>
    <xf numFmtId="0" fontId="0" fillId="29" borderId="0" xfId="0" applyFill="1"/>
    <xf numFmtId="164" fontId="21" fillId="0" borderId="1" xfId="4" applyNumberFormat="1" applyFont="1" applyBorder="1" applyAlignment="1">
      <alignment horizontal="center" vertical="center"/>
    </xf>
    <xf numFmtId="164" fontId="21" fillId="0" borderId="3" xfId="4" applyNumberFormat="1" applyFont="1" applyBorder="1" applyAlignment="1">
      <alignment horizontal="center" vertical="center"/>
    </xf>
    <xf numFmtId="164" fontId="21" fillId="0" borderId="2" xfId="4" applyNumberFormat="1" applyFont="1" applyBorder="1" applyAlignment="1">
      <alignment horizontal="center" vertical="center"/>
    </xf>
    <xf numFmtId="0" fontId="9" fillId="2" borderId="10" xfId="0" applyFont="1" applyFill="1" applyBorder="1" applyAlignment="1">
      <alignment horizontal="center" vertical="center"/>
    </xf>
    <xf numFmtId="0" fontId="22" fillId="6" borderId="10" xfId="0" applyFont="1" applyFill="1" applyBorder="1" applyAlignment="1">
      <alignment horizontal="center" vertical="center"/>
    </xf>
    <xf numFmtId="0" fontId="9" fillId="5" borderId="10" xfId="0" applyFont="1" applyFill="1" applyBorder="1" applyAlignment="1">
      <alignment horizontal="center" vertical="center"/>
    </xf>
    <xf numFmtId="0" fontId="14" fillId="8" borderId="5" xfId="0" applyFont="1" applyFill="1" applyBorder="1" applyAlignment="1">
      <alignment horizontal="center" vertical="center"/>
    </xf>
    <xf numFmtId="0" fontId="0" fillId="0" borderId="0" xfId="0" applyAlignment="1">
      <alignment horizontal="left" vertical="center" wrapText="1"/>
    </xf>
    <xf numFmtId="0" fontId="2" fillId="0" borderId="0" xfId="0" applyFont="1" applyAlignment="1">
      <alignment horizontal="center" wrapText="1"/>
    </xf>
    <xf numFmtId="0" fontId="0" fillId="0" borderId="0" xfId="0" applyAlignment="1">
      <alignment horizontal="left" vertical="center"/>
    </xf>
    <xf numFmtId="14" fontId="17" fillId="27" borderId="1" xfId="0" applyNumberFormat="1" applyFont="1" applyFill="1" applyBorder="1" applyAlignment="1">
      <alignment horizontal="center"/>
    </xf>
    <xf numFmtId="14" fontId="0" fillId="26" borderId="3" xfId="0" applyNumberFormat="1" applyFill="1" applyBorder="1" applyAlignment="1" applyProtection="1">
      <alignment horizontal="center"/>
      <protection locked="0"/>
    </xf>
    <xf numFmtId="14" fontId="0" fillId="2" borderId="1" xfId="0" applyNumberFormat="1" applyFill="1" applyBorder="1" applyAlignment="1">
      <alignment horizontal="center"/>
    </xf>
    <xf numFmtId="0" fontId="0" fillId="2" borderId="1" xfId="0" applyFill="1" applyBorder="1"/>
    <xf numFmtId="0" fontId="0" fillId="2" borderId="1" xfId="0" applyFill="1" applyBorder="1" applyAlignment="1">
      <alignment horizontal="center"/>
    </xf>
    <xf numFmtId="0" fontId="0" fillId="2" borderId="1" xfId="0" applyFill="1" applyBorder="1" applyAlignment="1">
      <alignment horizontal="center" wrapText="1"/>
    </xf>
    <xf numFmtId="0" fontId="0" fillId="26" borderId="0" xfId="0" applyFill="1" applyBorder="1" applyAlignment="1" applyProtection="1">
      <alignment horizontal="center" wrapText="1"/>
      <protection locked="0"/>
    </xf>
    <xf numFmtId="164" fontId="0" fillId="2" borderId="1" xfId="4" applyNumberFormat="1" applyFont="1" applyFill="1" applyBorder="1" applyAlignment="1">
      <alignment horizontal="right"/>
    </xf>
    <xf numFmtId="164" fontId="0" fillId="2" borderId="1" xfId="4" applyNumberFormat="1" applyFont="1" applyFill="1" applyBorder="1" applyAlignment="1">
      <alignment horizontal="center"/>
    </xf>
    <xf numFmtId="44" fontId="0" fillId="2" borderId="1" xfId="1" applyFont="1" applyFill="1" applyBorder="1" applyAlignment="1">
      <alignment horizontal="center"/>
    </xf>
    <xf numFmtId="0" fontId="0" fillId="2" borderId="1" xfId="0" applyFill="1" applyBorder="1" applyAlignment="1">
      <alignment wrapText="1"/>
    </xf>
    <xf numFmtId="0" fontId="0" fillId="26" borderId="0" xfId="0" applyFill="1" applyBorder="1" applyAlignment="1" applyProtection="1">
      <alignment horizontal="center"/>
      <protection locked="0"/>
    </xf>
    <xf numFmtId="164" fontId="0" fillId="0" borderId="1" xfId="4" applyNumberFormat="1" applyFont="1" applyFill="1" applyBorder="1" applyAlignment="1">
      <alignment horizontal="center"/>
    </xf>
    <xf numFmtId="0" fontId="0" fillId="26" borderId="2" xfId="0" applyFill="1" applyBorder="1" applyAlignment="1" applyProtection="1">
      <alignment horizontal="left"/>
      <protection locked="0"/>
    </xf>
    <xf numFmtId="164" fontId="17" fillId="27" borderId="1" xfId="0" applyNumberFormat="1" applyFont="1" applyFill="1" applyBorder="1" applyAlignment="1" applyProtection="1">
      <alignment horizontal="left"/>
      <protection locked="0"/>
    </xf>
    <xf numFmtId="0" fontId="0" fillId="26" borderId="0" xfId="0" applyFill="1" applyBorder="1" applyAlignment="1" applyProtection="1">
      <alignment horizontal="left"/>
      <protection locked="0"/>
    </xf>
    <xf numFmtId="0" fontId="0" fillId="26" borderId="2" xfId="0" applyFill="1" applyBorder="1" applyAlignment="1" applyProtection="1">
      <alignment horizontal="center"/>
      <protection locked="0"/>
    </xf>
    <xf numFmtId="0" fontId="0" fillId="0" borderId="2" xfId="0" applyBorder="1" applyAlignment="1" applyProtection="1">
      <alignment horizontal="center"/>
      <protection locked="0"/>
    </xf>
    <xf numFmtId="0" fontId="0" fillId="26" borderId="0" xfId="0" applyFill="1" applyBorder="1" applyAlignment="1" applyProtection="1">
      <alignment wrapText="1"/>
      <protection locked="0"/>
    </xf>
    <xf numFmtId="164" fontId="0" fillId="2" borderId="1" xfId="0" applyNumberFormat="1" applyFill="1" applyBorder="1" applyAlignment="1">
      <alignment horizontal="left"/>
    </xf>
    <xf numFmtId="0" fontId="0" fillId="26" borderId="0" xfId="0" applyFill="1" applyBorder="1" applyProtection="1">
      <protection locked="0"/>
    </xf>
    <xf numFmtId="0" fontId="17" fillId="27" borderId="1" xfId="0" applyFont="1" applyFill="1" applyBorder="1"/>
    <xf numFmtId="164" fontId="17" fillId="28" borderId="5" xfId="4" applyNumberFormat="1" applyFont="1" applyFill="1" applyBorder="1" applyAlignment="1">
      <alignment horizontal="center"/>
    </xf>
    <xf numFmtId="164" fontId="0" fillId="0" borderId="5" xfId="4" applyNumberFormat="1" applyFont="1" applyFill="1" applyBorder="1" applyAlignment="1" applyProtection="1">
      <alignment horizontal="center"/>
      <protection locked="0"/>
    </xf>
    <xf numFmtId="0" fontId="0" fillId="2" borderId="0" xfId="0" applyFill="1" applyBorder="1" applyProtection="1">
      <protection locked="0"/>
    </xf>
    <xf numFmtId="2" fontId="0" fillId="0" borderId="1" xfId="4" applyNumberFormat="1" applyFont="1" applyBorder="1" applyAlignment="1" applyProtection="1">
      <alignment horizontal="right"/>
      <protection locked="0"/>
    </xf>
    <xf numFmtId="2" fontId="23" fillId="5" borderId="1" xfId="0" applyNumberFormat="1" applyFont="1" applyFill="1" applyBorder="1"/>
    <xf numFmtId="2" fontId="0" fillId="0" borderId="1" xfId="0" applyNumberFormat="1" applyBorder="1"/>
    <xf numFmtId="14" fontId="0" fillId="2" borderId="5" xfId="0" applyNumberFormat="1" applyFill="1" applyBorder="1" applyAlignment="1" applyProtection="1">
      <alignment horizontal="center"/>
      <protection locked="0"/>
    </xf>
    <xf numFmtId="14" fontId="0" fillId="26" borderId="3" xfId="0" applyNumberFormat="1" applyFill="1" applyBorder="1" applyAlignment="1">
      <alignment horizontal="center"/>
    </xf>
    <xf numFmtId="14" fontId="0" fillId="25" borderId="3" xfId="0" applyNumberFormat="1" applyFill="1" applyBorder="1" applyAlignment="1" applyProtection="1">
      <alignment horizontal="center"/>
      <protection locked="0"/>
    </xf>
    <xf numFmtId="0" fontId="0" fillId="2" borderId="5" xfId="0" applyFill="1" applyBorder="1" applyProtection="1">
      <protection locked="0"/>
    </xf>
    <xf numFmtId="0" fontId="0" fillId="2" borderId="5" xfId="0" applyFill="1" applyBorder="1" applyAlignment="1" applyProtection="1">
      <alignment horizontal="center"/>
      <protection locked="0"/>
    </xf>
    <xf numFmtId="0" fontId="0" fillId="2" borderId="5" xfId="0" applyFill="1" applyBorder="1" applyAlignment="1" applyProtection="1">
      <alignment horizontal="center" wrapText="1"/>
      <protection locked="0"/>
    </xf>
    <xf numFmtId="164" fontId="0" fillId="2" borderId="5" xfId="4" applyNumberFormat="1" applyFont="1" applyFill="1" applyBorder="1" applyAlignment="1" applyProtection="1">
      <alignment horizontal="right"/>
      <protection locked="0"/>
    </xf>
    <xf numFmtId="164" fontId="0" fillId="2" borderId="5" xfId="4" applyNumberFormat="1" applyFont="1" applyFill="1" applyBorder="1" applyAlignment="1" applyProtection="1">
      <alignment horizontal="center"/>
      <protection locked="0"/>
    </xf>
    <xf numFmtId="44" fontId="0" fillId="2" borderId="5" xfId="1" applyFont="1" applyFill="1" applyBorder="1" applyAlignment="1" applyProtection="1">
      <alignment horizontal="center"/>
      <protection locked="0"/>
    </xf>
    <xf numFmtId="0" fontId="0" fillId="2" borderId="5" xfId="0" applyFill="1" applyBorder="1" applyAlignment="1" applyProtection="1">
      <alignment wrapText="1"/>
      <protection locked="0"/>
    </xf>
    <xf numFmtId="164" fontId="0" fillId="0" borderId="5" xfId="4" applyNumberFormat="1" applyFont="1" applyFill="1" applyBorder="1" applyAlignment="1">
      <alignment horizontal="center"/>
    </xf>
    <xf numFmtId="0" fontId="0" fillId="25" borderId="2" xfId="0" applyFill="1" applyBorder="1" applyAlignment="1" applyProtection="1">
      <alignment horizontal="left"/>
      <protection locked="0"/>
    </xf>
    <xf numFmtId="0" fontId="0" fillId="2" borderId="34" xfId="0" applyFill="1" applyBorder="1" applyAlignment="1" applyProtection="1">
      <alignment wrapText="1"/>
      <protection locked="0"/>
    </xf>
    <xf numFmtId="0" fontId="0" fillId="26" borderId="0" xfId="4" applyNumberFormat="1" applyFont="1" applyFill="1" applyBorder="1" applyProtection="1">
      <protection locked="0"/>
    </xf>
    <xf numFmtId="43" fontId="0" fillId="25" borderId="0" xfId="4" applyFont="1" applyFill="1" applyBorder="1" applyProtection="1">
      <protection locked="0"/>
    </xf>
    <xf numFmtId="0" fontId="9" fillId="2" borderId="2"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3"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10" xfId="0" applyFont="1" applyFill="1" applyBorder="1" applyAlignment="1">
      <alignment horizontal="center" vertical="center"/>
    </xf>
    <xf numFmtId="0" fontId="9" fillId="7" borderId="3" xfId="0" applyFont="1" applyFill="1" applyBorder="1" applyAlignment="1">
      <alignment horizontal="center" vertical="center"/>
    </xf>
    <xf numFmtId="0" fontId="16" fillId="0" borderId="0" xfId="0" applyFont="1" applyAlignment="1">
      <alignment horizontal="left"/>
    </xf>
    <xf numFmtId="0" fontId="16" fillId="0" borderId="4" xfId="0" applyFont="1" applyBorder="1" applyAlignment="1">
      <alignment horizontal="left"/>
    </xf>
    <xf numFmtId="0" fontId="0" fillId="24" borderId="28" xfId="0" applyFill="1" applyBorder="1" applyAlignment="1">
      <alignment horizontal="center" vertical="center" textRotation="90"/>
    </xf>
    <xf numFmtId="0" fontId="0" fillId="24" borderId="29" xfId="0" applyFill="1" applyBorder="1" applyAlignment="1">
      <alignment horizontal="center" vertical="center" textRotation="90"/>
    </xf>
    <xf numFmtId="0" fontId="0" fillId="24" borderId="9" xfId="0" applyFill="1" applyBorder="1" applyAlignment="1">
      <alignment horizontal="center" vertical="center" textRotation="90"/>
    </xf>
    <xf numFmtId="2" fontId="18" fillId="17" borderId="2" xfId="0" applyNumberFormat="1" applyFont="1" applyFill="1" applyBorder="1" applyAlignment="1">
      <alignment horizontal="center" vertical="center"/>
    </xf>
    <xf numFmtId="2" fontId="18" fillId="17" borderId="10" xfId="0" applyNumberFormat="1" applyFont="1" applyFill="1" applyBorder="1" applyAlignment="1">
      <alignment horizontal="center" vertical="center"/>
    </xf>
    <xf numFmtId="2" fontId="18" fillId="17" borderId="3" xfId="0" applyNumberFormat="1" applyFont="1" applyFill="1" applyBorder="1" applyAlignment="1">
      <alignment horizontal="center" vertical="center"/>
    </xf>
    <xf numFmtId="3" fontId="15" fillId="12" borderId="2" xfId="0" applyNumberFormat="1" applyFont="1" applyFill="1" applyBorder="1" applyAlignment="1">
      <alignment horizontal="center" vertical="center"/>
    </xf>
    <xf numFmtId="3" fontId="15" fillId="12" borderId="3" xfId="0" applyNumberFormat="1" applyFont="1" applyFill="1" applyBorder="1" applyAlignment="1">
      <alignment horizontal="center" vertical="center"/>
    </xf>
    <xf numFmtId="0" fontId="22" fillId="6" borderId="2" xfId="0" applyFont="1" applyFill="1" applyBorder="1" applyAlignment="1">
      <alignment horizontal="center" vertical="center"/>
    </xf>
    <xf numFmtId="0" fontId="22" fillId="6" borderId="10" xfId="0" applyFont="1" applyFill="1" applyBorder="1" applyAlignment="1">
      <alignment horizontal="center" vertical="center"/>
    </xf>
    <xf numFmtId="0" fontId="22" fillId="6" borderId="3"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10" xfId="0" applyFont="1" applyFill="1" applyBorder="1" applyAlignment="1">
      <alignment horizontal="center" vertical="center"/>
    </xf>
    <xf numFmtId="0" fontId="9" fillId="5" borderId="3" xfId="0" applyFont="1" applyFill="1" applyBorder="1" applyAlignment="1">
      <alignment horizontal="center" vertical="center"/>
    </xf>
    <xf numFmtId="0" fontId="14" fillId="8" borderId="1" xfId="0" applyFont="1" applyFill="1" applyBorder="1" applyAlignment="1">
      <alignment horizontal="center" vertical="center" wrapText="1"/>
    </xf>
    <xf numFmtId="0" fontId="14" fillId="8" borderId="15" xfId="0" applyFont="1" applyFill="1" applyBorder="1" applyAlignment="1">
      <alignment horizontal="center" vertical="center" wrapText="1"/>
    </xf>
    <xf numFmtId="0" fontId="14" fillId="8" borderId="25" xfId="0" applyFont="1" applyFill="1" applyBorder="1" applyAlignment="1">
      <alignment horizontal="center" vertical="center" wrapText="1"/>
    </xf>
    <xf numFmtId="0" fontId="14" fillId="8" borderId="5" xfId="0" applyFont="1" applyFill="1" applyBorder="1" applyAlignment="1">
      <alignment horizontal="center" vertical="center"/>
    </xf>
    <xf numFmtId="0" fontId="14" fillId="8" borderId="6" xfId="0" applyFont="1" applyFill="1" applyBorder="1" applyAlignment="1">
      <alignment horizontal="center" vertical="center"/>
    </xf>
    <xf numFmtId="0" fontId="14" fillId="8" borderId="3" xfId="0" applyFont="1" applyFill="1" applyBorder="1" applyAlignment="1">
      <alignment horizontal="center" vertical="center" wrapText="1"/>
    </xf>
    <xf numFmtId="0" fontId="14" fillId="8" borderId="2" xfId="0" applyNumberFormat="1" applyFont="1" applyFill="1" applyBorder="1" applyAlignment="1">
      <alignment horizontal="center" vertical="center" wrapText="1"/>
    </xf>
    <xf numFmtId="0" fontId="14" fillId="8" borderId="3" xfId="0" applyNumberFormat="1" applyFont="1" applyFill="1" applyBorder="1" applyAlignment="1">
      <alignment horizontal="center" vertical="center" wrapText="1"/>
    </xf>
    <xf numFmtId="14" fontId="9" fillId="0" borderId="2" xfId="0" applyNumberFormat="1" applyFont="1" applyFill="1" applyBorder="1" applyAlignment="1">
      <alignment horizontal="center"/>
    </xf>
    <xf numFmtId="14" fontId="9" fillId="0" borderId="3" xfId="0" applyNumberFormat="1" applyFont="1" applyFill="1" applyBorder="1" applyAlignment="1">
      <alignment horizontal="center"/>
    </xf>
    <xf numFmtId="0" fontId="14" fillId="8" borderId="16" xfId="0" applyFont="1" applyFill="1" applyBorder="1" applyAlignment="1">
      <alignment horizontal="center" vertical="center" wrapText="1"/>
    </xf>
    <xf numFmtId="0" fontId="0" fillId="0" borderId="0" xfId="0" applyAlignment="1">
      <alignment horizontal="left" vertical="center" wrapText="1"/>
    </xf>
    <xf numFmtId="0" fontId="2" fillId="0" borderId="0" xfId="0" applyFont="1" applyAlignment="1">
      <alignment horizontal="center" wrapText="1"/>
    </xf>
    <xf numFmtId="0" fontId="0" fillId="0" borderId="0" xfId="0" applyAlignment="1">
      <alignment horizontal="left" vertical="center"/>
    </xf>
    <xf numFmtId="0" fontId="6" fillId="0" borderId="19" xfId="0" applyFont="1" applyBorder="1" applyAlignment="1">
      <alignment horizontal="center"/>
    </xf>
    <xf numFmtId="0" fontId="6" fillId="0" borderId="20" xfId="0" applyFont="1" applyBorder="1" applyAlignment="1">
      <alignment horizontal="center"/>
    </xf>
    <xf numFmtId="0" fontId="6" fillId="0" borderId="21" xfId="0" applyFont="1" applyBorder="1" applyAlignment="1">
      <alignment horizontal="center"/>
    </xf>
    <xf numFmtId="0" fontId="2" fillId="22" borderId="19" xfId="0" applyFont="1" applyFill="1" applyBorder="1" applyAlignment="1">
      <alignment horizontal="center" wrapText="1"/>
    </xf>
    <xf numFmtId="0" fontId="2" fillId="22" borderId="20" xfId="0" applyFont="1" applyFill="1" applyBorder="1" applyAlignment="1">
      <alignment horizontal="center" wrapText="1"/>
    </xf>
    <xf numFmtId="0" fontId="2" fillId="22" borderId="21" xfId="0" applyFont="1" applyFill="1" applyBorder="1" applyAlignment="1">
      <alignment horizontal="center" wrapText="1"/>
    </xf>
    <xf numFmtId="0" fontId="20" fillId="0" borderId="11" xfId="0" applyFont="1" applyBorder="1" applyAlignment="1">
      <alignment horizontal="left" wrapText="1"/>
    </xf>
    <xf numFmtId="0" fontId="20" fillId="0" borderId="0" xfId="0" applyFont="1" applyBorder="1" applyAlignment="1">
      <alignment horizontal="left" wrapText="1"/>
    </xf>
    <xf numFmtId="1" fontId="0" fillId="26" borderId="1" xfId="4" applyNumberFormat="1" applyFont="1" applyFill="1" applyBorder="1" applyAlignment="1" applyProtection="1">
      <alignment horizontal="right"/>
      <protection locked="0"/>
    </xf>
    <xf numFmtId="1" fontId="0" fillId="0" borderId="1" xfId="4" applyNumberFormat="1" applyFont="1" applyBorder="1" applyAlignment="1" applyProtection="1">
      <alignment horizontal="right"/>
      <protection locked="0"/>
    </xf>
    <xf numFmtId="1" fontId="0" fillId="26" borderId="1" xfId="4" quotePrefix="1" applyNumberFormat="1" applyFont="1" applyFill="1" applyBorder="1" applyAlignment="1" applyProtection="1">
      <alignment horizontal="right"/>
      <protection locked="0"/>
    </xf>
    <xf numFmtId="1" fontId="0" fillId="26" borderId="1" xfId="0" applyNumberFormat="1" applyFill="1" applyBorder="1" applyProtection="1">
      <protection locked="0"/>
    </xf>
    <xf numFmtId="1" fontId="0" fillId="2" borderId="1" xfId="4" applyNumberFormat="1" applyFont="1" applyFill="1" applyBorder="1" applyAlignment="1" applyProtection="1">
      <alignment horizontal="right"/>
      <protection locked="0"/>
    </xf>
    <xf numFmtId="1" fontId="0" fillId="2" borderId="1" xfId="0" applyNumberFormat="1" applyFill="1" applyBorder="1" applyProtection="1">
      <protection locked="0"/>
    </xf>
    <xf numFmtId="1" fontId="0" fillId="0" borderId="1" xfId="0" applyNumberFormat="1" applyBorder="1" applyProtection="1">
      <protection locked="0"/>
    </xf>
  </cellXfs>
  <cellStyles count="8">
    <cellStyle name="Comma" xfId="4" builtinId="3"/>
    <cellStyle name="Currency" xfId="1" builtinId="4"/>
    <cellStyle name="Normal" xfId="0" builtinId="0"/>
    <cellStyle name="Normal 2" xfId="2" xr:uid="{E095AEC6-F9A6-4DC7-A62D-AC0E7025B734}"/>
    <cellStyle name="Normal 3" xfId="3" xr:uid="{51467BB2-53FB-444D-B701-440041C69A1A}"/>
    <cellStyle name="Normal 3 2" xfId="6" xr:uid="{47EDEE5A-5701-4EE7-82F3-5CF767A5E330}"/>
    <cellStyle name="Normal 3 3" xfId="5" xr:uid="{4E7CECC6-3D2A-46BF-88D0-7F70C79E9F94}"/>
    <cellStyle name="Normal 3 4" xfId="7" xr:uid="{DFF7AA8C-3293-4309-845B-68306449410C}"/>
  </cellStyles>
  <dxfs count="1947">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rgb="FF000000"/>
        <name val="Calibri"/>
        <family val="2"/>
        <scheme val="none"/>
      </font>
      <fill>
        <patternFill patternType="solid">
          <fgColor indexed="64"/>
          <bgColor rgb="FFFFFF0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ont>
        <b val="0"/>
        <i/>
        <strike/>
      </font>
      <fill>
        <patternFill>
          <bgColor theme="0" tint="-0.24994659260841701"/>
        </patternFill>
      </fill>
    </dxf>
    <dxf>
      <fill>
        <patternFill>
          <bgColor rgb="FFFF0000"/>
        </patternFill>
      </fill>
    </dxf>
    <dxf>
      <numFmt numFmtId="166" formatCode="m/d/yy;@"/>
    </dxf>
    <dxf>
      <numFmt numFmtId="164" formatCode="_(* #,##0_);_(* \(#,##0\);_(* &quot;-&quot;??_);_(@_)"/>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alignment horizontal="left" vertical="bottom" textRotation="0" wrapText="0" indent="2"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alignment horizontal="left" vertical="bottom" textRotation="0" wrapText="0" indent="2"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alignment horizontal="left" vertical="bottom" textRotation="0" wrapText="0" indent="2" justifyLastLine="0" shrinkToFit="0" readingOrder="0"/>
    </dxf>
    <dxf>
      <border outline="0">
        <bottom style="thin">
          <color indexed="64"/>
        </bottom>
      </border>
    </dxf>
    <dxf>
      <font>
        <b val="0"/>
        <i val="0"/>
        <strike val="0"/>
        <condense val="0"/>
        <extend val="0"/>
        <outline val="0"/>
        <shadow val="0"/>
        <u val="none"/>
        <vertAlign val="baseline"/>
        <sz val="11"/>
        <color theme="1"/>
        <name val="Calibri"/>
        <family val="2"/>
        <scheme val="minor"/>
      </font>
      <alignment horizontal="left" vertical="bottom" textRotation="0" wrapText="0" indent="2" justifyLastLine="0" shrinkToFit="0" readingOrder="0"/>
    </dxf>
    <dxf>
      <numFmt numFmtId="0" formatCode="General"/>
    </dxf>
    <dxf>
      <numFmt numFmtId="0" formatCode="General"/>
    </dxf>
    <dxf>
      <numFmt numFmtId="0" formatCode="General"/>
    </dxf>
    <dxf>
      <numFmt numFmtId="0" formatCode="General"/>
    </dxf>
    <dxf>
      <numFmt numFmtId="168" formatCode="m/d/yyyy\ h:mm"/>
    </dxf>
    <dxf>
      <numFmt numFmtId="0" formatCode="General"/>
    </dxf>
    <dxf>
      <numFmt numFmtId="0" formatCode="General"/>
    </dxf>
    <dxf>
      <numFmt numFmtId="0" formatCode="General"/>
    </dxf>
    <dxf>
      <numFmt numFmtId="168" formatCode="m/d/yyyy\ h:mm"/>
    </dxf>
    <dxf>
      <numFmt numFmtId="0" formatCode="General"/>
    </dxf>
    <dxf>
      <numFmt numFmtId="0" formatCode="General"/>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ill>
        <patternFill>
          <bgColor rgb="FFB4C6E7"/>
        </patternFill>
      </fill>
    </dxf>
    <dxf>
      <font>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ont>
        <color auto="1"/>
      </font>
      <fill>
        <patternFill patternType="solid">
          <bgColor theme="0" tint="-0.24994659260841701"/>
        </patternFill>
      </fill>
    </dxf>
    <dxf>
      <font>
        <color auto="1"/>
      </font>
      <fill>
        <patternFill patternType="none">
          <bgColor auto="1"/>
        </patternFill>
      </fill>
    </dxf>
    <dxf>
      <font>
        <color auto="1"/>
      </font>
      <fill>
        <patternFill patternType="solid">
          <bgColor theme="0" tint="-0.24994659260841701"/>
        </patternFill>
      </fill>
    </dxf>
    <dxf>
      <font>
        <color auto="1"/>
      </font>
      <fill>
        <patternFill patternType="none">
          <bgColor auto="1"/>
        </patternFill>
      </fill>
    </dxf>
    <dxf>
      <font>
        <color auto="1"/>
      </font>
      <fill>
        <patternFill patternType="solid">
          <bgColor theme="0" tint="-0.24994659260841701"/>
        </patternFill>
      </fill>
    </dxf>
    <dxf>
      <font>
        <color auto="1"/>
      </font>
      <fill>
        <patternFill patternType="none">
          <bgColor auto="1"/>
        </patternFill>
      </fill>
    </dxf>
    <dxf>
      <font>
        <color auto="1"/>
      </font>
      <fill>
        <patternFill patternType="solid">
          <bgColor theme="0" tint="-0.24994659260841701"/>
        </patternFill>
      </fill>
    </dxf>
    <dxf>
      <font>
        <color auto="1"/>
      </font>
      <fill>
        <patternFill patternType="none">
          <bgColor auto="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B4C6E7"/>
        </patternFill>
      </fill>
    </dxf>
    <dxf>
      <font>
        <color theme="2" tint="-0.499984740745262"/>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auto="1"/>
      </font>
      <fill>
        <patternFill>
          <bgColor rgb="FFE1DED1"/>
        </patternFill>
      </fill>
    </dxf>
    <dxf>
      <fill>
        <patternFill>
          <bgColor rgb="FFFF0000"/>
        </patternFill>
      </fill>
    </dxf>
    <dxf>
      <fill>
        <patternFill>
          <bgColor rgb="FFFFFF00"/>
        </patternFill>
      </fill>
    </dxf>
    <dxf>
      <fill>
        <patternFill>
          <bgColor rgb="FF00B050"/>
        </patternFill>
      </fill>
    </dxf>
    <dxf>
      <font>
        <color theme="0"/>
      </font>
      <fill>
        <patternFill>
          <bgColor theme="1"/>
        </patternFill>
      </fill>
    </dxf>
    <dxf>
      <font>
        <strike val="0"/>
        <color theme="2" tint="-0.499984740745262"/>
      </font>
      <fill>
        <patternFill>
          <bgColor rgb="FFE1DED1"/>
        </patternFill>
      </fill>
    </dxf>
    <dxf>
      <font>
        <color auto="1"/>
      </font>
      <fill>
        <patternFill patternType="solid">
          <bgColor theme="0" tint="-0.24994659260841701"/>
        </patternFill>
      </fill>
    </dxf>
    <dxf>
      <font>
        <color auto="1"/>
      </font>
      <fill>
        <patternFill patternType="none">
          <bgColor auto="1"/>
        </patternFill>
      </fill>
    </dxf>
  </dxfs>
  <tableStyles count="0" defaultTableStyle="TableStyleMedium2" defaultPivotStyle="PivotStyleLight16"/>
  <colors>
    <mruColors>
      <color rgb="FFE1DED1"/>
      <color rgb="FFB4C6E7"/>
      <color rgb="FFDFE0D2"/>
      <color rgb="FFDFE1D1"/>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FAS-Centralized Warehouse</c:v>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DATA_WebEOC!$A$3:$A$9</c:f>
              <c:strCache>
                <c:ptCount val="7"/>
                <c:pt idx="0">
                  <c:v>Accepted</c:v>
                </c:pt>
                <c:pt idx="1">
                  <c:v>Assigned</c:v>
                </c:pt>
                <c:pt idx="2">
                  <c:v>Transferred</c:v>
                </c:pt>
                <c:pt idx="3">
                  <c:v>In Progress</c:v>
                </c:pt>
                <c:pt idx="4">
                  <c:v>Completed</c:v>
                </c:pt>
                <c:pt idx="5">
                  <c:v>Cancelled</c:v>
                </c:pt>
                <c:pt idx="6">
                  <c:v>TOTAL</c:v>
                </c:pt>
              </c:strCache>
            </c:strRef>
          </c:cat>
          <c:val>
            <c:numRef>
              <c:f>DATA_WebEOC!$B$3:$B$9</c:f>
              <c:numCache>
                <c:formatCode>General</c:formatCode>
                <c:ptCount val="7"/>
                <c:pt idx="0">
                  <c:v>3</c:v>
                </c:pt>
                <c:pt idx="1">
                  <c:v>5</c:v>
                </c:pt>
                <c:pt idx="2">
                  <c:v>1</c:v>
                </c:pt>
                <c:pt idx="3">
                  <c:v>33</c:v>
                </c:pt>
                <c:pt idx="4">
                  <c:v>231</c:v>
                </c:pt>
                <c:pt idx="5">
                  <c:v>11</c:v>
                </c:pt>
                <c:pt idx="6">
                  <c:v>284</c:v>
                </c:pt>
              </c:numCache>
            </c:numRef>
          </c:val>
          <c:extLst>
            <c:ext xmlns:c16="http://schemas.microsoft.com/office/drawing/2014/chart" uri="{C3380CC4-5D6E-409C-BE32-E72D297353CC}">
              <c16:uniqueId val="{00000000-5069-4C6A-9A6E-A9F44C5A8391}"/>
            </c:ext>
          </c:extLst>
        </c:ser>
        <c:ser>
          <c:idx val="1"/>
          <c:order val="1"/>
          <c:tx>
            <c:strRef>
              <c:f>DATA_WebEOC!$C$2</c:f>
              <c:strCache>
                <c:ptCount val="1"/>
                <c:pt idx="0">
                  <c:v>Supplies and Equipment Unit</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DATA_WebEOC!$A$3:$A$9</c:f>
              <c:strCache>
                <c:ptCount val="7"/>
                <c:pt idx="0">
                  <c:v>Accepted</c:v>
                </c:pt>
                <c:pt idx="1">
                  <c:v>Assigned</c:v>
                </c:pt>
                <c:pt idx="2">
                  <c:v>Transferred</c:v>
                </c:pt>
                <c:pt idx="3">
                  <c:v>In Progress</c:v>
                </c:pt>
                <c:pt idx="4">
                  <c:v>Completed</c:v>
                </c:pt>
                <c:pt idx="5">
                  <c:v>Cancelled</c:v>
                </c:pt>
                <c:pt idx="6">
                  <c:v>TOTAL</c:v>
                </c:pt>
              </c:strCache>
            </c:strRef>
          </c:cat>
          <c:val>
            <c:numRef>
              <c:f>DATA_WebEOC!$C$3:$C$9</c:f>
              <c:numCache>
                <c:formatCode>General</c:formatCode>
                <c:ptCount val="7"/>
                <c:pt idx="0">
                  <c:v>2</c:v>
                </c:pt>
                <c:pt idx="1">
                  <c:v>2</c:v>
                </c:pt>
                <c:pt idx="3">
                  <c:v>15</c:v>
                </c:pt>
                <c:pt idx="4">
                  <c:v>43</c:v>
                </c:pt>
                <c:pt idx="5">
                  <c:v>11</c:v>
                </c:pt>
                <c:pt idx="6">
                  <c:v>73</c:v>
                </c:pt>
              </c:numCache>
            </c:numRef>
          </c:val>
          <c:extLst>
            <c:ext xmlns:c16="http://schemas.microsoft.com/office/drawing/2014/chart" uri="{C3380CC4-5D6E-409C-BE32-E72D297353CC}">
              <c16:uniqueId val="{00000001-5069-4C6A-9A6E-A9F44C5A8391}"/>
            </c:ext>
          </c:extLst>
        </c:ser>
        <c:dLbls>
          <c:showLegendKey val="0"/>
          <c:showVal val="0"/>
          <c:showCatName val="0"/>
          <c:showSerName val="0"/>
          <c:showPercent val="0"/>
          <c:showBubbleSize val="0"/>
        </c:dLbls>
        <c:gapWidth val="50"/>
        <c:axId val="731235384"/>
        <c:axId val="731226856"/>
      </c:barChart>
      <c:catAx>
        <c:axId val="73123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31226856"/>
        <c:crosses val="autoZero"/>
        <c:auto val="1"/>
        <c:lblAlgn val="ctr"/>
        <c:lblOffset val="100"/>
        <c:noMultiLvlLbl val="0"/>
      </c:catAx>
      <c:valAx>
        <c:axId val="73122685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31235384"/>
        <c:crosses val="autoZero"/>
        <c:crossBetween val="between"/>
        <c:majorUnit val="15"/>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175" cap="flat" cmpd="sng" algn="ctr">
      <a:solidFill>
        <a:schemeClr val="tx1"/>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8</xdr:col>
      <xdr:colOff>77319</xdr:colOff>
      <xdr:row>111</xdr:row>
      <xdr:rowOff>398</xdr:rowOff>
    </xdr:from>
    <xdr:to>
      <xdr:col>24</xdr:col>
      <xdr:colOff>489088</xdr:colOff>
      <xdr:row>135</xdr:row>
      <xdr:rowOff>132522</xdr:rowOff>
    </xdr:to>
    <xdr:graphicFrame macro="">
      <xdr:nvGraphicFramePr>
        <xdr:cNvPr id="3" name="Chart 1">
          <a:extLst>
            <a:ext uri="{FF2B5EF4-FFF2-40B4-BE49-F238E27FC236}">
              <a16:creationId xmlns:a16="http://schemas.microsoft.com/office/drawing/2014/main" id="{C8DED701-B587-4908-A939-9C6D8E687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Buch, Erin" id="{019AE63A-C55F-46B8-9E84-205CBD201C35}" userId="Erin.Buch@seattle.gov" providerId="PeoplePicker"/>
  <person displayName="McLean, David" id="{972081B3-C373-4B90-B2A7-5843C4264858}" userId="David.McLean@seattle.gov" providerId="PeoplePicker"/>
  <person displayName="Tokunaga, Pam" id="{58C9E30F-96A1-4FEA-B6F0-57E0497D2530}" userId="Pam.Tokunaga@seattle.gov" providerId="PeoplePicker"/>
  <person displayName="Salinas, Julie" id="{ACE0C5C5-61F4-454E-845B-5CB3F45615C2}" userId="Julie.Salinas@seattle.gov" providerId="PeoplePicker"/>
  <person displayName="Palmer, Presley" id="{5163259D-6EE4-4A92-B313-E3DCBC6EAC2D}" userId="Presley.Palmer@seattle.gov" providerId="PeoplePicker"/>
  <person displayName="Vanderveer, Steven" id="{B3371C7B-3D03-4B4A-B061-A3B6246E9D8A}" userId="Steven.Vanderveer@seattle.gov" providerId="PeoplePicker"/>
  <person displayName="Buch, Erin" id="{AF5CD949-4B8D-466F-B7FE-17238E167758}" userId="S::erin.buch@seattle.gov::6efc83e0-d95e-4f0a-95cc-618e37036f49" providerId="AD"/>
  <person displayName="McLean, David" id="{E7905F8B-0480-4D90-905F-DAFA54CE6B8B}" userId="S::david.mclean@seattle.gov::282cebb2-7bd4-46d6-bc94-f372ef990eb5" providerId="AD"/>
  <person displayName="Vanderveer, Steven" id="{4A7B041D-9A82-4FF1-A423-6D6A6351F570}" userId="S::steven.vanderveer@seattle.gov::5f8066de-fdc5-4909-8265-e4d9b7f488f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derveer, Steven" refreshedDate="44061.042900694447" createdVersion="6" refreshedVersion="6" minRefreshableVersion="3" recordCount="339" xr:uid="{AFD6FB99-3A44-4D55-9221-1EFE2BB63216}">
  <cacheSource type="worksheet">
    <worksheetSource ref="A1:AO340" sheet="DATA_Orders"/>
  </cacheSource>
  <cacheFields count="41">
    <cacheField name="Date" numFmtId="14">
      <sharedItems containsNonDate="0" containsDate="1" containsString="0" containsBlank="1" minDate="2020-03-05T00:00:00" maxDate="2020-08-11T00:00:00"/>
    </cacheField>
    <cacheField name="Supplier" numFmtId="0">
      <sharedItems containsBlank="1"/>
    </cacheField>
    <cacheField name="Category" numFmtId="0">
      <sharedItems containsBlank="1"/>
    </cacheField>
    <cacheField name="Description " numFmtId="0">
      <sharedItems containsBlank="1"/>
    </cacheField>
    <cacheField name="Part Number" numFmtId="0">
      <sharedItems containsBlank="1" containsMixedTypes="1" containsNumber="1" containsInteger="1" minValue="2239" maxValue="310650026"/>
    </cacheField>
    <cacheField name="Oz. per Item" numFmtId="0">
      <sharedItems containsBlank="1" containsMixedTypes="1" containsNumber="1" minValue="-16.899999999999999" maxValue="35200"/>
    </cacheField>
    <cacheField name="Total Oz. per Order" numFmtId="164">
      <sharedItems containsBlank="1" containsMixedTypes="1" containsNumber="1" minValue="-32064" maxValue="528192"/>
    </cacheField>
    <cacheField name="Primary Qty" numFmtId="164">
      <sharedItems containsBlank="1" containsMixedTypes="1" containsNumber="1" containsInteger="1" minValue="-2004" maxValue="2000000"/>
    </cacheField>
    <cacheField name="Primary Unit" numFmtId="0">
      <sharedItems containsBlank="1"/>
    </cacheField>
    <cacheField name="Secondary Qty" numFmtId="0">
      <sharedItems containsBlank="1" containsMixedTypes="1" containsNumber="1" containsInteger="1" minValue="1" maxValue="60667"/>
    </cacheField>
    <cacheField name="Secondary Unit" numFmtId="0">
      <sharedItems containsBlank="1"/>
    </cacheField>
    <cacheField name="Tirtiary Qty" numFmtId="164">
      <sharedItems containsString="0" containsBlank="1" containsNumber="1" minValue="1" maxValue="2500"/>
    </cacheField>
    <cacheField name="Tirtiary Unit" numFmtId="164">
      <sharedItems containsBlank="1"/>
    </cacheField>
    <cacheField name="Total Primary Qty/Order" numFmtId="164">
      <sharedItems containsBlank="1" containsMixedTypes="1" containsNumber="1" containsInteger="1" minValue="-2004" maxValue="4160640"/>
    </cacheField>
    <cacheField name="Total Secondary" numFmtId="164">
      <sharedItems containsBlank="1" containsMixedTypes="1" containsNumber="1" containsInteger="1" minValue="1" maxValue="606670"/>
    </cacheField>
    <cacheField name="Price " numFmtId="44">
      <sharedItems containsString="0" containsBlank="1" containsNumber="1" minValue="0" maxValue="9625"/>
    </cacheField>
    <cacheField name="Extended Price" numFmtId="0">
      <sharedItems containsString="0" containsBlank="1" containsNumber="1" minValue="-12324.6" maxValue="925000"/>
    </cacheField>
    <cacheField name="Estimated Delivery Date" numFmtId="0">
      <sharedItems containsDate="1" containsBlank="1" containsMixedTypes="1" minDate="2020-03-13T00:00:00" maxDate="2021-07-25T00:00:00"/>
    </cacheField>
    <cacheField name="Delivery Notes" numFmtId="0">
      <sharedItems containsBlank="1"/>
    </cacheField>
    <cacheField name="Ordering Dept" numFmtId="0">
      <sharedItems containsBlank="1"/>
    </cacheField>
    <cacheField name="Order No. (or PO No. if no blanket contract available)" numFmtId="0">
      <sharedItems containsBlank="1" containsMixedTypes="1" containsNumber="1" containsInteger="1" minValue="3835" maxValue="43942923"/>
    </cacheField>
    <cacheField name="Order Notes" numFmtId="0">
      <sharedItems containsBlank="1" containsMixedTypes="1" containsNumber="1" containsInteger="1" minValue="3" maxValue="3"/>
    </cacheField>
    <cacheField name="Order Completely Received?" numFmtId="0">
      <sharedItems containsBlank="1"/>
    </cacheField>
    <cacheField name="Delivery 1 Qty Received" numFmtId="0">
      <sharedItems containsBlank="1" containsMixedTypes="1" containsNumber="1" containsInteger="1" minValue="1" maxValue="2016000"/>
    </cacheField>
    <cacheField name="Delivery 1 Inv No." numFmtId="0">
      <sharedItems containsBlank="1" containsMixedTypes="1" containsNumber="1" containsInteger="1" minValue="121" maxValue="9574665403"/>
    </cacheField>
    <cacheField name="Inv 1 Sent to FAS AP" numFmtId="0">
      <sharedItems containsNonDate="0" containsDate="1" containsString="0" containsBlank="1" minDate="2020-03-23T00:00:00" maxDate="2020-08-18T00:00:00"/>
    </cacheField>
    <cacheField name="Delivery 2 Qty Received" numFmtId="0">
      <sharedItems containsBlank="1" containsMixedTypes="1" containsNumber="1" containsInteger="1" minValue="2" maxValue="560000"/>
    </cacheField>
    <cacheField name="Delivery 2 Inv No." numFmtId="0">
      <sharedItems containsBlank="1" containsMixedTypes="1" containsNumber="1" containsInteger="1" minValue="6738" maxValue="954293715"/>
    </cacheField>
    <cacheField name="Inv 2 Sent to FAS AP" numFmtId="0">
      <sharedItems containsDate="1" containsString="0" containsBlank="1" containsMixedTypes="1" minDate="2020-03-25T00:00:00" maxDate="2020-08-18T00:00:00"/>
    </cacheField>
    <cacheField name="Delivery 3 Qty Received" numFmtId="0">
      <sharedItems containsString="0" containsBlank="1" containsNumber="1" containsInteger="1" minValue="7" maxValue="290000"/>
    </cacheField>
    <cacheField name="Delivery 3 Inv No." numFmtId="0">
      <sharedItems containsBlank="1" containsMixedTypes="1" containsNumber="1" containsInteger="1" minValue="6744" maxValue="954293715"/>
    </cacheField>
    <cacheField name="Inv 3 Sent to FAS AP" numFmtId="0">
      <sharedItems containsNonDate="0" containsDate="1" containsString="0" containsBlank="1" minDate="2020-05-15T00:00:00" maxDate="2020-08-18T00:00:00"/>
    </cacheField>
    <cacheField name="Outstanding Qty" numFmtId="0">
      <sharedItems containsString="0" containsBlank="1" containsNumber="1" minValue="-16000" maxValue="1260800"/>
    </cacheField>
    <cacheField name="Dashboard Category" numFmtId="0">
      <sharedItems containsBlank="1" count="37">
        <m/>
        <s v="Nitrile Gloves (General Use)"/>
        <s v="Paper Towels"/>
        <s v="Toilet Paper"/>
        <s v="Facial Tissue"/>
        <s v="Hand Soap"/>
        <s v="Hand Sanitizer (12oz or equiv)"/>
        <s v="Masks (N95)"/>
        <s v="Masks (Surgical)"/>
        <s v="Tyvek Suits w/hoods"/>
        <s v="N/A"/>
        <s v="Disinfectant Wipes"/>
        <s v="Thermometers"/>
        <s v="Antimicrobial (PAWS) Wipes"/>
        <s v="Face Shields"/>
        <s v="Masks (Cloth)"/>
        <s v="Surgical gowns"/>
        <s v="Nitrile Gloves (Public Safety)"/>
        <s v="Purell (1200 ml stand refill)"/>
        <s v="Disinfecting Sprayers"/>
        <s v="Other"/>
        <s v="Disinfecting Solution for Sprayers"/>
        <s v="Purell Stands/Dispensers"/>
        <s v="Mask Holders for Dispensers"/>
        <s v="Isopropyl Alcohol (16oz or equiv)"/>
        <s v="Tyvek Suits"/>
        <s v="Goggles"/>
        <s v="(adding new SKU)"/>
        <s v="Disinfectant Solution for Sprayers" u="1"/>
        <s v="HS Refill Bags" u="1"/>
        <s v="Hand Sanitizer" u="1"/>
        <s v="Surgical Gown" u="1"/>
        <s v="Disinfectant Sprayers" u="1"/>
        <s v="Hand Sanitzer (12oz or equiv)" u="1"/>
        <s v="Cloth Masks" u="1"/>
        <s v="Disnifectant Wipes" u="1"/>
        <s v="Purrell (1200 ml stand refill)" u="1"/>
      </sharedItems>
    </cacheField>
    <cacheField name="Dashboard Unit" numFmtId="0">
      <sharedItems containsBlank="1"/>
    </cacheField>
    <cacheField name="Dashboard Outstanding" numFmtId="164">
      <sharedItems containsString="0" containsBlank="1" containsNumber="1" minValue="-16000" maxValue="1260800"/>
    </cacheField>
    <cacheField name="Dashboard Delivery Date" numFmtId="0">
      <sharedItems containsDate="1" containsBlank="1" containsMixedTypes="1" minDate="1899-12-30T00:00:00" maxDate="2036-01-01T00:00:00"/>
    </cacheField>
    <cacheField name="Invoice Notes" numFmtId="0">
      <sharedItems containsBlank="1" longText="1"/>
    </cacheField>
    <cacheField name="Short Issue?" numFmtId="0">
      <sharedItems containsBlank="1"/>
    </cacheField>
    <cacheField name="Short Issue Resolved?" numFmtId="0">
      <sharedItems containsBlank="1"/>
    </cacheField>
    <cacheField name="Short Issue Resolu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9">
  <r>
    <d v="2020-03-13T00:00:00"/>
    <s v="Brake &amp; Clutch"/>
    <s v="Gloves - M"/>
    <s v="Raven - Black - 6 mil - Medium "/>
    <s v="SAS66517"/>
    <s v="N/A"/>
    <s v="N/A"/>
    <n v="100"/>
    <s v="Pairs"/>
    <n v="300"/>
    <s v="Box"/>
    <n v="1"/>
    <s v="Order"/>
    <n v="30000"/>
    <n v="300"/>
    <n v="13.52"/>
    <n v="4056"/>
    <d v="2020-03-13T00:00:00"/>
    <s v="Ship to FAS Warehouse. Attn: Mike Wong"/>
    <s v="FAS"/>
    <n v="316902"/>
    <m/>
    <s v="Yes"/>
    <n v="300"/>
    <n v="636052"/>
    <d v="2020-04-01T00:00:00"/>
    <m/>
    <m/>
    <m/>
    <m/>
    <m/>
    <m/>
    <n v="0"/>
    <x v="0"/>
    <m/>
    <n v="0"/>
    <d v="2020-03-13T00:00:00"/>
    <m/>
    <m/>
    <m/>
    <m/>
  </r>
  <r>
    <d v="2020-03-13T00:00:00"/>
    <s v="Brake &amp; Clutch"/>
    <s v="Gloves - L"/>
    <s v="Raven - Black - 6 mil - Large"/>
    <s v="SAS66518"/>
    <s v="N/A"/>
    <s v="N/A"/>
    <n v="100"/>
    <s v="Pairs"/>
    <n v="300"/>
    <s v="Box"/>
    <n v="1"/>
    <s v="Order"/>
    <n v="30000"/>
    <n v="300"/>
    <n v="13.52"/>
    <n v="4056"/>
    <d v="2020-03-13T00:00:00"/>
    <s v="Ship to FAS Warehouse. Attn: Mike Wong"/>
    <s v="FAS"/>
    <n v="316902"/>
    <m/>
    <s v="Yes"/>
    <n v="300"/>
    <n v="636052"/>
    <d v="2020-04-01T00:00:00"/>
    <m/>
    <m/>
    <m/>
    <m/>
    <m/>
    <m/>
    <n v="0"/>
    <x v="0"/>
    <m/>
    <n v="0"/>
    <d v="2020-03-13T00:00:00"/>
    <m/>
    <m/>
    <m/>
    <m/>
  </r>
  <r>
    <d v="2020-03-13T00:00:00"/>
    <s v="Brake &amp; Clutch"/>
    <s v="Gloves - XL"/>
    <s v="Raven - Black - 6 mil - X-Large"/>
    <s v="SAS66519"/>
    <s v="N/A"/>
    <s v="N/A"/>
    <n v="100"/>
    <s v="Pairs"/>
    <n v="300"/>
    <s v="Box"/>
    <n v="1"/>
    <s v="Order"/>
    <n v="30000"/>
    <n v="300"/>
    <n v="13.52"/>
    <n v="4056"/>
    <d v="2020-03-13T00:00:00"/>
    <s v="Ship to FAS Warehouse. Attn: Mike Wong"/>
    <s v="FAS"/>
    <n v="316902"/>
    <m/>
    <s v="Yes"/>
    <n v="300"/>
    <n v="636052"/>
    <d v="2020-04-01T00:00:00"/>
    <m/>
    <m/>
    <m/>
    <m/>
    <m/>
    <m/>
    <n v="0"/>
    <x v="0"/>
    <m/>
    <n v="0"/>
    <d v="2020-03-13T00:00:00"/>
    <m/>
    <m/>
    <m/>
    <m/>
  </r>
  <r>
    <d v="2020-03-13T00:00:00"/>
    <s v="Tacoma Screw"/>
    <s v="Gloves - L"/>
    <s v="Black Diamond - Large - 6 mil - 100 per box - 10 boxes per case - 30 cases"/>
    <s v="566-342"/>
    <s v="N/A"/>
    <s v="N/A"/>
    <n v="100"/>
    <s v="Pairs"/>
    <n v="10"/>
    <s v="Box"/>
    <n v="30"/>
    <s v="Case"/>
    <n v="30000"/>
    <n v="300"/>
    <n v="7.32"/>
    <n v="2196"/>
    <d v="2020-03-13T00:00:00"/>
    <s v="Will call at Tacoma location by FFD"/>
    <s v="FAS"/>
    <s v="S616031"/>
    <m/>
    <s v="Yes"/>
    <n v="300"/>
    <n v="12849582"/>
    <d v="2020-03-23T00:00:00"/>
    <m/>
    <m/>
    <m/>
    <m/>
    <m/>
    <m/>
    <n v="0"/>
    <x v="0"/>
    <m/>
    <n v="0"/>
    <d v="2020-03-13T00:00:00"/>
    <m/>
    <m/>
    <m/>
    <m/>
  </r>
  <r>
    <d v="2020-03-13T00:00:00"/>
    <s v="Western Safety"/>
    <s v="Gloves - L"/>
    <s v="Biodegradable - black - 4mil - large"/>
    <s v="6112PF-L"/>
    <s v="N/A"/>
    <s v="N/A"/>
    <n v="100"/>
    <s v="Pairs"/>
    <n v="40"/>
    <s v="Box"/>
    <n v="1"/>
    <s v="Order"/>
    <n v="4000"/>
    <n v="40"/>
    <n v="8"/>
    <n v="320"/>
    <d v="2020-03-16T00:00:00"/>
    <s v="Ship to FAS Warehouse. Attn: Mike Wong"/>
    <s v="FAS"/>
    <s v="188920-0"/>
    <m/>
    <s v="Yes"/>
    <n v="40"/>
    <s v="188920-1"/>
    <d v="2020-03-25T00:00:00"/>
    <m/>
    <m/>
    <m/>
    <m/>
    <m/>
    <m/>
    <n v="0"/>
    <x v="0"/>
    <m/>
    <n v="0"/>
    <d v="2020-03-16T00:00:00"/>
    <m/>
    <m/>
    <m/>
    <m/>
  </r>
  <r>
    <d v="2020-03-13T00:00:00"/>
    <s v="Western Safety"/>
    <s v="Gloves - L"/>
    <s v="Biodegradable - black - 4mil - large"/>
    <s v="6112PF-L"/>
    <s v="N/A"/>
    <s v="N/A"/>
    <n v="100"/>
    <s v="Pairs"/>
    <n v="10"/>
    <s v="Box"/>
    <n v="1"/>
    <s v="Order"/>
    <n v="1000"/>
    <n v="10"/>
    <n v="8"/>
    <n v="80"/>
    <d v="2020-03-16T00:00:00"/>
    <s v="Ship to FAS Warehouse. Attn: Mike Wong"/>
    <s v="FAS"/>
    <s v="188920-0"/>
    <m/>
    <s v="Yes"/>
    <n v="10"/>
    <s v="188920-1"/>
    <d v="2020-03-25T00:00:00"/>
    <m/>
    <m/>
    <m/>
    <m/>
    <m/>
    <m/>
    <n v="0"/>
    <x v="0"/>
    <m/>
    <n v="0"/>
    <d v="2020-03-16T00:00:00"/>
    <m/>
    <m/>
    <m/>
    <m/>
  </r>
  <r>
    <d v="2020-03-13T00:00:00"/>
    <s v="Western Safety"/>
    <s v="Gloves - M"/>
    <s v="Biodegradable - black - 4mil - medium"/>
    <s v="6112PF-M"/>
    <s v="N/A"/>
    <s v="N/A"/>
    <n v="100"/>
    <s v="Pairs"/>
    <n v="40"/>
    <s v="Box"/>
    <n v="1"/>
    <s v="Order"/>
    <n v="4000"/>
    <n v="40"/>
    <n v="8"/>
    <n v="320"/>
    <d v="2020-03-16T00:00:00"/>
    <s v="Ship to FAS Warehouse. Attn: Mike Wong"/>
    <s v="FAS"/>
    <s v="188920-0"/>
    <m/>
    <s v="Yes"/>
    <n v="40"/>
    <s v="188920-1"/>
    <d v="2020-03-25T00:00:00"/>
    <m/>
    <m/>
    <m/>
    <m/>
    <m/>
    <m/>
    <n v="0"/>
    <x v="0"/>
    <m/>
    <n v="0"/>
    <d v="2020-03-16T00:00:00"/>
    <m/>
    <m/>
    <m/>
    <m/>
  </r>
  <r>
    <d v="2020-03-13T00:00:00"/>
    <s v="Western Safety"/>
    <s v="Gloves - M"/>
    <s v="Biodegradable - black - 4mil - medium"/>
    <s v="6112PF-M"/>
    <s v="N/A"/>
    <s v="N/A"/>
    <n v="100"/>
    <s v="Pairs"/>
    <n v="10"/>
    <s v="Box"/>
    <n v="1"/>
    <s v="Order"/>
    <n v="1000"/>
    <n v="10"/>
    <n v="8"/>
    <n v="80"/>
    <d v="2020-03-16T00:00:00"/>
    <s v="Ship to FAS Warehouse. Attn: Mike Wong"/>
    <s v="FAS"/>
    <s v="188920-0"/>
    <m/>
    <s v="Yes"/>
    <n v="10"/>
    <s v="188920-1"/>
    <d v="2020-03-25T00:00:00"/>
    <m/>
    <m/>
    <m/>
    <m/>
    <m/>
    <m/>
    <n v="0"/>
    <x v="0"/>
    <m/>
    <n v="0"/>
    <d v="2020-03-16T00:00:00"/>
    <m/>
    <m/>
    <m/>
    <m/>
  </r>
  <r>
    <d v="2020-03-13T00:00:00"/>
    <s v="Western Safety"/>
    <s v="Gloves - S"/>
    <s v="Biodegradable - black - 4mil - small"/>
    <s v="6112PF-S"/>
    <s v="N/A"/>
    <s v="N/A"/>
    <n v="100"/>
    <s v="Pairs"/>
    <n v="10"/>
    <s v="Box"/>
    <n v="1"/>
    <s v="Order"/>
    <n v="1000"/>
    <n v="10"/>
    <n v="10.5"/>
    <n v="105"/>
    <d v="2020-03-16T00:00:00"/>
    <s v="Ship to FAS Warehouse. Attn: Mike Wong"/>
    <s v="FAS"/>
    <s v="188920-0"/>
    <m/>
    <s v="Yes"/>
    <n v="10"/>
    <s v="188920-1"/>
    <d v="2020-03-25T00:00:00"/>
    <m/>
    <m/>
    <m/>
    <m/>
    <m/>
    <m/>
    <n v="0"/>
    <x v="0"/>
    <m/>
    <n v="0"/>
    <d v="2020-03-16T00:00:00"/>
    <m/>
    <m/>
    <m/>
    <m/>
  </r>
  <r>
    <d v="2020-03-13T00:00:00"/>
    <s v="Western Safety"/>
    <s v="Gloves - S"/>
    <s v="Biodegradable - black - 4mil - small"/>
    <s v="6112PF-S"/>
    <s v="N/A"/>
    <s v="N/A"/>
    <n v="100"/>
    <s v="Pairs"/>
    <n v="10"/>
    <s v="Box"/>
    <n v="1"/>
    <s v="Order"/>
    <n v="1000"/>
    <n v="10"/>
    <n v="8"/>
    <n v="80"/>
    <d v="2020-03-16T00:00:00"/>
    <s v="Ship to FAS Warehouse. Attn: Mike Wong"/>
    <s v="FAS"/>
    <s v="188920-0"/>
    <m/>
    <s v="Yes"/>
    <n v="10"/>
    <s v="188920-1"/>
    <d v="2020-03-25T00:00:00"/>
    <m/>
    <m/>
    <m/>
    <m/>
    <m/>
    <m/>
    <n v="0"/>
    <x v="0"/>
    <m/>
    <n v="0"/>
    <d v="2020-03-16T00:00:00"/>
    <m/>
    <m/>
    <m/>
    <m/>
  </r>
  <r>
    <d v="2020-03-13T00:00:00"/>
    <s v="Western Safety"/>
    <s v="Gloves - XL"/>
    <s v="Biodegradable - black - 4mil - x-large"/>
    <s v="6112PF-XL"/>
    <s v="N/A"/>
    <s v="N/A"/>
    <n v="100"/>
    <s v="Pairs"/>
    <n v="40"/>
    <s v="Box"/>
    <n v="1"/>
    <s v="Order"/>
    <n v="4000"/>
    <n v="40"/>
    <n v="8"/>
    <n v="320"/>
    <d v="2020-03-16T00:00:00"/>
    <s v="Ship to FAS Warehouse. Attn: Mike Wong"/>
    <s v="FAS"/>
    <s v="188920-0"/>
    <m/>
    <s v="Yes"/>
    <n v="40"/>
    <s v="188920-1"/>
    <d v="2020-03-25T00:00:00"/>
    <m/>
    <m/>
    <m/>
    <m/>
    <m/>
    <m/>
    <n v="0"/>
    <x v="0"/>
    <m/>
    <n v="0"/>
    <d v="2020-03-16T00:00:00"/>
    <m/>
    <m/>
    <m/>
    <m/>
  </r>
  <r>
    <d v="2020-03-13T00:00:00"/>
    <s v="Western Safety"/>
    <s v="Gloves - XL"/>
    <s v="Biodegradable - black - 4mil - x-large"/>
    <s v="6112PF-XL"/>
    <s v="N/A"/>
    <s v="N/A"/>
    <n v="100"/>
    <s v="Pairs"/>
    <n v="10"/>
    <s v="Box"/>
    <n v="1"/>
    <s v="Order"/>
    <n v="1000"/>
    <n v="10"/>
    <n v="8"/>
    <n v="80"/>
    <d v="2020-03-16T00:00:00"/>
    <s v="Ship to FAS Warehouse. Attn: Mike Wong"/>
    <s v="FAS"/>
    <s v="188920-0"/>
    <m/>
    <s v="Yes"/>
    <n v="10"/>
    <m/>
    <m/>
    <m/>
    <m/>
    <m/>
    <m/>
    <m/>
    <m/>
    <n v="0"/>
    <x v="0"/>
    <m/>
    <n v="0"/>
    <d v="2020-03-16T00:00:00"/>
    <m/>
    <m/>
    <m/>
    <m/>
  </r>
  <r>
    <d v="2020-03-13T00:00:00"/>
    <s v="Western Safety"/>
    <s v="Gloves - XL"/>
    <s v="Biodegradable - green - 4mil - x-large"/>
    <s v="6110PF-XL"/>
    <s v="N/A"/>
    <s v="N/A"/>
    <n v="100"/>
    <s v="Pairs"/>
    <n v="60"/>
    <s v="Box"/>
    <n v="1"/>
    <s v="Order"/>
    <n v="6000"/>
    <n v="60"/>
    <n v="8"/>
    <n v="480"/>
    <d v="2020-03-16T00:00:00"/>
    <s v="Ship to FAS Warehouse. Attn: Mike Wong"/>
    <s v="FAS"/>
    <s v="188920-0"/>
    <m/>
    <s v="Yes"/>
    <n v="60"/>
    <s v="188920-1"/>
    <d v="2020-03-25T00:00:00"/>
    <m/>
    <m/>
    <m/>
    <m/>
    <m/>
    <m/>
    <n v="0"/>
    <x v="0"/>
    <m/>
    <n v="0"/>
    <d v="2020-03-16T00:00:00"/>
    <m/>
    <m/>
    <m/>
    <m/>
  </r>
  <r>
    <d v="2020-03-13T00:00:00"/>
    <s v="Western Safety"/>
    <s v="Gloves - M"/>
    <s v="Black Nitrile - Medium - 4.25mil"/>
    <s v="N4432-M"/>
    <s v="N/A"/>
    <s v="N/A"/>
    <n v="100"/>
    <s v="Pairs"/>
    <n v="43"/>
    <s v="Box"/>
    <n v="1"/>
    <s v="Order"/>
    <n v="4300"/>
    <n v="43"/>
    <n v="7.95"/>
    <n v="341.85"/>
    <d v="2020-03-13T00:00:00"/>
    <s v="Ship to FAS Warehouse. Attn: Mike Wong"/>
    <s v="FAS"/>
    <s v="188906-0"/>
    <m/>
    <s v="Yes"/>
    <n v="33"/>
    <s v="188906-1"/>
    <d v="2020-05-12T00:00:00"/>
    <m/>
    <m/>
    <m/>
    <m/>
    <m/>
    <m/>
    <n v="0"/>
    <x v="1"/>
    <s v="Pair"/>
    <n v="0"/>
    <d v="2020-03-13T00:00:00"/>
    <s v="Short 10 - packing slip showed 43 shipped; received 33."/>
    <s v="Yes"/>
    <s v="Yes"/>
    <m/>
  </r>
  <r>
    <d v="2020-03-13T00:00:00"/>
    <s v="Western Safety"/>
    <s v="Gloves - XL"/>
    <s v="Black Nitrile - X-Large - 4.25mil"/>
    <s v="N4434-XL"/>
    <s v="N/A"/>
    <s v="N/A"/>
    <n v="100"/>
    <s v="Pairs"/>
    <n v="24"/>
    <s v="Box"/>
    <n v="1"/>
    <s v="Order"/>
    <n v="2400"/>
    <n v="24"/>
    <n v="7.95"/>
    <n v="190.8"/>
    <d v="2020-03-13T00:00:00"/>
    <s v="Ship to FAS Warehouse. Attn: Mike Wong"/>
    <s v="FAS"/>
    <s v="188906-0"/>
    <m/>
    <s v="Yes"/>
    <n v="24"/>
    <s v="188906-1"/>
    <d v="2020-05-12T00:00:00"/>
    <m/>
    <m/>
    <m/>
    <m/>
    <m/>
    <m/>
    <n v="0"/>
    <x v="0"/>
    <m/>
    <n v="0"/>
    <d v="2020-03-13T00:00:00"/>
    <m/>
    <m/>
    <m/>
    <m/>
  </r>
  <r>
    <d v="2020-03-13T00:00:00"/>
    <s v="Western Safety"/>
    <s v="Gloves - M"/>
    <s v="Blue Nitrile - Medium - 5mil"/>
    <s v="N4222-M"/>
    <s v="N/A"/>
    <s v="N/A"/>
    <n v="100"/>
    <s v="Pairs"/>
    <n v="7"/>
    <s v="Box"/>
    <n v="1"/>
    <s v="Order"/>
    <n v="700"/>
    <n v="7"/>
    <n v="7.6"/>
    <n v="53.199999999999996"/>
    <d v="2020-03-13T00:00:00"/>
    <s v="Ship to FAS Warehouse. Attn: Mike Wong"/>
    <s v="FAS"/>
    <s v="188889-0"/>
    <m/>
    <s v="Yes"/>
    <n v="7"/>
    <s v="188889-1"/>
    <d v="2020-03-25T00:00:00"/>
    <m/>
    <m/>
    <m/>
    <m/>
    <m/>
    <m/>
    <n v="0"/>
    <x v="0"/>
    <m/>
    <n v="0"/>
    <d v="2020-03-13T00:00:00"/>
    <m/>
    <m/>
    <m/>
    <m/>
  </r>
  <r>
    <d v="2020-03-13T00:00:00"/>
    <s v="Western Safety"/>
    <s v="Gloves - S"/>
    <s v="Blue Nitrile - Small - 5mil"/>
    <s v="N4221-S"/>
    <s v="N/A"/>
    <s v="N/A"/>
    <n v="100"/>
    <s v="Pairs"/>
    <n v="10"/>
    <s v="Box"/>
    <n v="1"/>
    <s v="Order"/>
    <n v="1000"/>
    <n v="10"/>
    <n v="7.6"/>
    <n v="76"/>
    <d v="2020-03-13T00:00:00"/>
    <s v="Ship to FAS Warehouse. Attn: Mike Wong"/>
    <s v="FAS"/>
    <s v="188889-0"/>
    <m/>
    <s v="Yes"/>
    <n v="10"/>
    <s v="188889-1"/>
    <d v="2020-03-25T00:00:00"/>
    <m/>
    <m/>
    <m/>
    <m/>
    <m/>
    <m/>
    <n v="0"/>
    <x v="0"/>
    <m/>
    <n v="0"/>
    <d v="2020-03-13T00:00:00"/>
    <m/>
    <m/>
    <m/>
    <m/>
  </r>
  <r>
    <d v="2020-03-13T00:00:00"/>
    <s v="Western Safety"/>
    <s v="Gloves - XL"/>
    <s v="Blue Nitrile - X-Large - 5mil"/>
    <s v="N4224-XL"/>
    <s v="N/A"/>
    <s v="N/A"/>
    <n v="100"/>
    <s v="Pairs"/>
    <n v="92"/>
    <s v="Box"/>
    <n v="1"/>
    <s v="Order"/>
    <n v="9200"/>
    <n v="92"/>
    <n v="7.6"/>
    <n v="699.19999999999993"/>
    <d v="2020-03-13T00:00:00"/>
    <s v="Ship to FAS Warehouse. Attn: Mike Wong"/>
    <s v="FAS"/>
    <s v="188889-0"/>
    <m/>
    <s v="Yes"/>
    <n v="92"/>
    <s v="188889-1"/>
    <d v="2020-03-25T00:00:00"/>
    <m/>
    <m/>
    <m/>
    <m/>
    <m/>
    <m/>
    <n v="0"/>
    <x v="0"/>
    <m/>
    <n v="0"/>
    <d v="2020-03-13T00:00:00"/>
    <m/>
    <m/>
    <m/>
    <m/>
  </r>
  <r>
    <d v="2020-03-16T00:00:00"/>
    <s v="Western Safety"/>
    <s v="Gloves - L"/>
    <s v="Derma-Lite PF Nitrile Gloves 100/box - large - Blue"/>
    <s v="6608-20-L"/>
    <s v="N/A"/>
    <s v="N/A"/>
    <n v="100"/>
    <s v="Pairs"/>
    <n v="600"/>
    <s v="Box"/>
    <n v="1"/>
    <s v="Order"/>
    <n v="60000"/>
    <n v="600"/>
    <n v="7.1"/>
    <m/>
    <s v="TBD"/>
    <s v="Ship to FAS Warehouse. Attn: Mike Wong"/>
    <s v="FAS"/>
    <s v="188981-0"/>
    <m/>
    <s v="Cancelled"/>
    <m/>
    <m/>
    <m/>
    <m/>
    <m/>
    <m/>
    <m/>
    <m/>
    <m/>
    <n v="0"/>
    <x v="1"/>
    <s v="Pair"/>
    <m/>
    <m/>
    <m/>
    <m/>
    <m/>
    <m/>
  </r>
  <r>
    <d v="2020-03-16T00:00:00"/>
    <s v="Western Safety"/>
    <s v="Gloves - M"/>
    <s v="Derma-Lite PF Nitrile Gloves 100/box - medium - Blue"/>
    <s v="6607-20-M"/>
    <s v="N/A"/>
    <s v="N/A"/>
    <n v="100"/>
    <s v="Pairs"/>
    <n v="500"/>
    <s v="Box"/>
    <n v="1"/>
    <s v="Order"/>
    <n v="50000"/>
    <n v="500"/>
    <n v="7.1"/>
    <m/>
    <s v="TBD"/>
    <s v="Ship to FAS Warehouse. Attn: Mike Wong"/>
    <s v="FAS"/>
    <s v="188981-0"/>
    <m/>
    <s v="Cancelled"/>
    <m/>
    <m/>
    <m/>
    <m/>
    <m/>
    <m/>
    <m/>
    <m/>
    <m/>
    <m/>
    <x v="1"/>
    <s v="Pair"/>
    <m/>
    <m/>
    <m/>
    <m/>
    <m/>
    <m/>
  </r>
  <r>
    <d v="2020-03-16T00:00:00"/>
    <s v="Western Safety"/>
    <s v="Gloves - XL"/>
    <s v="Derma-Lite PF Nitrile Gloves 100/box - x-large - Blue"/>
    <s v="6609-20-XL"/>
    <s v="N/A"/>
    <s v="N/A"/>
    <n v="100"/>
    <s v="Pairs"/>
    <n v="600"/>
    <s v="Box"/>
    <n v="1"/>
    <s v="Order"/>
    <n v="60000"/>
    <n v="600"/>
    <n v="7.1"/>
    <m/>
    <s v="TBD"/>
    <s v="Ship to FAS Warehouse. Attn: Mike Wong"/>
    <s v="FAS"/>
    <s v="188981-0"/>
    <m/>
    <s v="Cancelled"/>
    <m/>
    <m/>
    <m/>
    <m/>
    <m/>
    <m/>
    <m/>
    <m/>
    <m/>
    <m/>
    <x v="1"/>
    <s v="Pair"/>
    <m/>
    <m/>
    <m/>
    <m/>
    <m/>
    <m/>
  </r>
  <r>
    <d v="2020-03-16T00:00:00"/>
    <s v="Western Safety"/>
    <s v="Gloves - S"/>
    <s v="Derma-Lite Small PF Nitrile Gloves 100/box - small - Blue"/>
    <s v="6606-20-S"/>
    <s v="N/A"/>
    <s v="N/A"/>
    <n v="100"/>
    <s v="Pairs"/>
    <n v="300"/>
    <s v="Box"/>
    <n v="1"/>
    <s v="Order"/>
    <n v="30000"/>
    <n v="300"/>
    <n v="7.1"/>
    <m/>
    <s v="TBD"/>
    <s v="Ship to FAS Warehouse. Attn: Mike Wong"/>
    <s v="FAS"/>
    <s v="188981-0"/>
    <m/>
    <s v="Cancelled"/>
    <m/>
    <m/>
    <m/>
    <m/>
    <m/>
    <m/>
    <m/>
    <m/>
    <m/>
    <m/>
    <x v="1"/>
    <s v="Pair"/>
    <m/>
    <m/>
    <m/>
    <m/>
    <m/>
    <m/>
  </r>
  <r>
    <d v="2020-03-13T00:00:00"/>
    <s v="Western Safety"/>
    <s v="Gloves - L"/>
    <s v="N-Dex - Large"/>
    <s v="8005PF-L"/>
    <s v="N/A"/>
    <s v="N/A"/>
    <n v="100"/>
    <s v="Pairs"/>
    <n v="15"/>
    <s v="Box"/>
    <n v="1"/>
    <s v="Order"/>
    <n v="1500"/>
    <n v="15"/>
    <n v="15"/>
    <n v="225"/>
    <d v="2020-03-13T00:00:00"/>
    <s v="Ship to FAS Warehouse. Attn: Mike Wong"/>
    <s v="FAS"/>
    <s v="188879-0"/>
    <m/>
    <s v="Yes"/>
    <n v="15"/>
    <s v="188879-1"/>
    <d v="2020-05-12T00:00:00"/>
    <m/>
    <m/>
    <m/>
    <m/>
    <m/>
    <m/>
    <n v="0"/>
    <x v="0"/>
    <m/>
    <n v="0"/>
    <d v="2020-03-13T00:00:00"/>
    <m/>
    <m/>
    <m/>
    <m/>
  </r>
  <r>
    <d v="2020-03-13T00:00:00"/>
    <s v="Western Safety"/>
    <s v="Gloves - L"/>
    <s v="N-Dex - Large"/>
    <s v="7005PFL"/>
    <s v="N/A"/>
    <s v="N/A"/>
    <n v="100"/>
    <s v="Pairs"/>
    <n v="5"/>
    <s v="Box"/>
    <n v="1"/>
    <s v="Order"/>
    <n v="500"/>
    <n v="5"/>
    <n v="13"/>
    <n v="65"/>
    <d v="2020-03-13T00:00:00"/>
    <s v="Ship to FAS Warehouse. Attn: Mike Wong"/>
    <s v="FAS"/>
    <s v="188879-0"/>
    <m/>
    <s v="Yes"/>
    <n v="5"/>
    <s v="188879-1"/>
    <d v="2020-05-12T00:00:00"/>
    <m/>
    <m/>
    <m/>
    <m/>
    <m/>
    <m/>
    <n v="0"/>
    <x v="0"/>
    <m/>
    <n v="0"/>
    <d v="2020-03-13T00:00:00"/>
    <m/>
    <m/>
    <m/>
    <m/>
  </r>
  <r>
    <d v="2020-03-13T00:00:00"/>
    <s v="Western Safety"/>
    <s v="Gloves - M"/>
    <s v="N-Dex - Medium - 4 mil"/>
    <s v="7005M"/>
    <s v="N/A"/>
    <s v="N/A"/>
    <n v="100"/>
    <s v="Pairs"/>
    <n v="11"/>
    <s v="Box"/>
    <n v="1"/>
    <s v="Order"/>
    <n v="1100"/>
    <n v="11"/>
    <n v="13"/>
    <n v="143"/>
    <d v="2020-03-13T00:00:00"/>
    <s v="Ship to FAS Warehouse. Attn: Mike Wong"/>
    <s v="FAS"/>
    <s v="188879-0"/>
    <m/>
    <s v="Yes"/>
    <n v="11"/>
    <s v="188879-1"/>
    <d v="2020-05-12T00:00:00"/>
    <m/>
    <m/>
    <m/>
    <m/>
    <m/>
    <m/>
    <n v="0"/>
    <x v="0"/>
    <m/>
    <n v="0"/>
    <d v="2020-03-13T00:00:00"/>
    <m/>
    <m/>
    <m/>
    <m/>
  </r>
  <r>
    <d v="2020-03-10T00:00:00"/>
    <s v="Keeney's"/>
    <s v="Hand Soap"/>
    <s v="16 oz. bottle"/>
    <s v="DIA06044"/>
    <n v="16"/>
    <n v="96000"/>
    <n v="12"/>
    <s v="Bottles"/>
    <s v="N/A"/>
    <s v="N/A"/>
    <n v="500"/>
    <s v="Case"/>
    <n v="6000"/>
    <n v="500"/>
    <n v="41.25"/>
    <n v="20625"/>
    <d v="2020-03-16T00:00:00"/>
    <s v="Ship to FAS Warehouse. Attn: Mike Wong"/>
    <s v="FAS"/>
    <s v="K0004736"/>
    <m/>
    <s v="Yes"/>
    <n v="500"/>
    <s v="KI-00017284"/>
    <d v="2020-04-16T00:00:00"/>
    <m/>
    <m/>
    <m/>
    <m/>
    <m/>
    <m/>
    <n v="0"/>
    <x v="0"/>
    <m/>
    <m/>
    <d v="2020-03-16T00:00:00"/>
    <m/>
    <m/>
    <m/>
    <m/>
  </r>
  <r>
    <d v="2020-03-10T00:00:00"/>
    <s v="Mallory Safety"/>
    <s v="Gloves - M"/>
    <s v="Diamond M  100 pair/box, 10 boxes per case"/>
    <s v="DM-GL31215-MD"/>
    <s v="N/A"/>
    <s v="N/A"/>
    <n v="100"/>
    <s v="Pairs"/>
    <n v="2000"/>
    <s v="Box"/>
    <n v="1"/>
    <s v="Order"/>
    <n v="200000"/>
    <n v="2000"/>
    <n v="5.22"/>
    <n v="10440"/>
    <d v="2020-03-16T00:00:00"/>
    <s v="Ship to FAS Warehouse. Attn: Mike Wong"/>
    <s v="FAS"/>
    <n v="2585105"/>
    <m/>
    <s v="Yes"/>
    <n v="2000"/>
    <n v="4805455"/>
    <d v="2020-03-23T00:00:00"/>
    <m/>
    <m/>
    <m/>
    <m/>
    <m/>
    <m/>
    <n v="0"/>
    <x v="0"/>
    <m/>
    <n v="0"/>
    <d v="2020-03-16T00:00:00"/>
    <m/>
    <m/>
    <m/>
    <m/>
  </r>
  <r>
    <d v="2020-03-10T00:00:00"/>
    <s v="Mallory Safety"/>
    <s v="Gloves - M"/>
    <s v="Diamond M  100 pair/box      "/>
    <s v="DM-GLDNBL5EF-LG"/>
    <s v="N/A"/>
    <s v="N/A"/>
    <n v="100"/>
    <s v="Pairs"/>
    <n v="2000"/>
    <s v="Box"/>
    <n v="1"/>
    <s v="Order"/>
    <n v="200000"/>
    <n v="2000"/>
    <n v="5.22"/>
    <n v="10440"/>
    <d v="2020-03-16T00:00:00"/>
    <s v="Ship to FAS Warehouse. Attn: Mike Wong"/>
    <s v="FAS"/>
    <n v="2585105"/>
    <m/>
    <s v="Yes"/>
    <n v="2000"/>
    <n v="4811271"/>
    <d v="2020-04-01T00:00:00"/>
    <m/>
    <m/>
    <m/>
    <m/>
    <m/>
    <m/>
    <n v="0"/>
    <x v="0"/>
    <m/>
    <n v="0"/>
    <d v="2020-03-16T00:00:00"/>
    <m/>
    <m/>
    <m/>
    <m/>
  </r>
  <r>
    <d v="2020-03-10T00:00:00"/>
    <s v="Mallory Safety"/>
    <s v="Gloves - M"/>
    <s v="Diamond M  100 pair/box      "/>
    <s v="DM-GLDNBL5EF-XL"/>
    <s v="N/A"/>
    <s v="N/A"/>
    <n v="100"/>
    <s v="Pairs"/>
    <n v="2000"/>
    <s v="Box"/>
    <n v="1"/>
    <s v="Order"/>
    <n v="200000"/>
    <n v="2000"/>
    <n v="5.22"/>
    <n v="10440"/>
    <d v="2020-03-16T00:00:00"/>
    <s v="Ship to FAS Warehouse. Attn: Mike Wong"/>
    <s v="FAS"/>
    <n v="2585105"/>
    <m/>
    <s v="Yes"/>
    <n v="2000"/>
    <n v="4812091"/>
    <d v="2020-04-01T00:00:00"/>
    <m/>
    <m/>
    <m/>
    <m/>
    <m/>
    <m/>
    <n v="0"/>
    <x v="0"/>
    <m/>
    <n v="0"/>
    <d v="2020-03-16T00:00:00"/>
    <m/>
    <m/>
    <m/>
    <m/>
  </r>
  <r>
    <d v="2020-03-10T00:00:00"/>
    <s v="Keeney's"/>
    <s v="Hand Soap"/>
    <s v="12 oz. bottle"/>
    <s v="GOJ9759"/>
    <n v="12"/>
    <n v="18000"/>
    <n v="12"/>
    <s v="Bottles"/>
    <s v="N/A"/>
    <s v="N/A"/>
    <n v="125"/>
    <s v="Case"/>
    <n v="1500"/>
    <s v="N/A"/>
    <n v="80.349999999999994"/>
    <n v="10043.75"/>
    <d v="2020-03-16T00:00:00"/>
    <s v="Ship to FAS Warehouse. Attn: Mike Wong"/>
    <s v="FAS"/>
    <s v="K0004736"/>
    <m/>
    <s v="Yes"/>
    <n v="125"/>
    <s v="KI-00017284"/>
    <d v="2020-04-16T00:00:00"/>
    <m/>
    <m/>
    <m/>
    <m/>
    <m/>
    <m/>
    <n v="0"/>
    <x v="0"/>
    <m/>
    <m/>
    <d v="2020-03-16T00:00:00"/>
    <m/>
    <m/>
    <m/>
    <m/>
  </r>
  <r>
    <d v="2020-03-10T00:00:00"/>
    <s v="Mallory Safety"/>
    <s v="Gloves - M"/>
    <s v="Diamond M  100 pair/box      "/>
    <s v=" DM-GLDNBL5EF-SM"/>
    <s v="N/A"/>
    <s v="N/A"/>
    <n v="100"/>
    <s v="Pairs"/>
    <n v="750"/>
    <s v="Box"/>
    <n v="1"/>
    <s v="Order"/>
    <n v="75000"/>
    <n v="750"/>
    <n v="5.22"/>
    <n v="3915"/>
    <d v="2020-03-16T00:00:00"/>
    <s v="Ship to FAS Warehouse. Attn: Mike Wong"/>
    <s v="FAS"/>
    <n v="2585105"/>
    <m/>
    <s v="Yes"/>
    <n v="750"/>
    <n v="4811271"/>
    <d v="2020-04-01T00:00:00"/>
    <m/>
    <m/>
    <m/>
    <m/>
    <m/>
    <m/>
    <n v="0"/>
    <x v="0"/>
    <m/>
    <n v="0"/>
    <d v="2020-03-16T00:00:00"/>
    <m/>
    <m/>
    <m/>
    <m/>
  </r>
  <r>
    <d v="2020-03-13T00:00:00"/>
    <s v="Keeney's"/>
    <s v="Paper Towels"/>
    <s v="200 per pack - 12 packs per case - 175 cases"/>
    <s v="BWK6220"/>
    <s v="N/A"/>
    <s v="N/A"/>
    <n v="200"/>
    <s v="Sheets"/>
    <n v="12"/>
    <s v="Pack"/>
    <n v="175"/>
    <s v="Case"/>
    <n v="420000"/>
    <n v="2100"/>
    <n v="28.48"/>
    <n v="4984"/>
    <d v="2020-03-16T00:00:00"/>
    <s v="Ship to FAS Warehouse. Attn: Mike Wong"/>
    <s v="FAS"/>
    <s v="K0004882"/>
    <m/>
    <s v="Yes"/>
    <n v="175"/>
    <s v="KI-00017727"/>
    <d v="2020-06-10T00:00:00"/>
    <m/>
    <m/>
    <m/>
    <m/>
    <m/>
    <m/>
    <n v="0"/>
    <x v="2"/>
    <s v="Pack"/>
    <n v="0"/>
    <d v="2020-03-16T00:00:00"/>
    <s v="Short 1 - Packing slips showed 175j (PS K0004882-1 shows 174+1)."/>
    <s v="Yes"/>
    <s v="No"/>
    <m/>
  </r>
  <r>
    <d v="2020-03-13T00:00:00"/>
    <s v="Western Safety"/>
    <s v="Gloves - M"/>
    <s v="N-Dex - Medium - 8 mil"/>
    <s v="8005M"/>
    <s v="N/A"/>
    <s v="N/A"/>
    <n v="50"/>
    <s v="Pairs"/>
    <n v="20"/>
    <s v="Box"/>
    <n v="1"/>
    <s v="Order"/>
    <n v="1000"/>
    <n v="20"/>
    <n v="15"/>
    <n v="300"/>
    <d v="2020-03-13T00:00:00"/>
    <s v="Ship to FAS Warehouse. Attn: Mike Wong"/>
    <s v="FAS"/>
    <s v="188879-0"/>
    <m/>
    <s v="Yes"/>
    <n v="20"/>
    <s v="188879-1"/>
    <d v="2020-05-12T00:00:00"/>
    <m/>
    <m/>
    <m/>
    <m/>
    <m/>
    <m/>
    <n v="0"/>
    <x v="0"/>
    <m/>
    <n v="0"/>
    <d v="2020-03-13T00:00:00"/>
    <m/>
    <m/>
    <m/>
    <m/>
  </r>
  <r>
    <d v="2020-03-13T00:00:00"/>
    <s v="Western Safety"/>
    <s v="Gloves - M"/>
    <s v="N-Dex - Medium - 8 mil"/>
    <s v="8005M"/>
    <s v="N/A"/>
    <s v="N/A"/>
    <n v="50"/>
    <s v="Pairs"/>
    <n v="15"/>
    <s v="Box"/>
    <n v="1"/>
    <s v="Order"/>
    <n v="750"/>
    <n v="15"/>
    <n v="15"/>
    <n v="225"/>
    <d v="2020-03-13T00:00:00"/>
    <s v="Ship to FAS Warehouse. Attn: Mike Wong"/>
    <s v="FAS"/>
    <s v="188879-0"/>
    <m/>
    <s v="Yes"/>
    <n v="15"/>
    <s v="188879-1"/>
    <d v="2020-05-12T00:00:00"/>
    <m/>
    <m/>
    <m/>
    <m/>
    <m/>
    <m/>
    <n v="0"/>
    <x v="0"/>
    <m/>
    <n v="0"/>
    <d v="2020-03-13T00:00:00"/>
    <m/>
    <m/>
    <m/>
    <m/>
  </r>
  <r>
    <d v="2020-03-13T00:00:00"/>
    <s v="Western Safety"/>
    <s v="Gloves - L"/>
    <s v="N-Dex - Plus - Large"/>
    <s v="8005PF-L"/>
    <s v="N/A"/>
    <s v="N/A"/>
    <n v="100"/>
    <s v="Pairs"/>
    <n v="20"/>
    <s v="Box"/>
    <n v="1"/>
    <s v="Order"/>
    <n v="2000"/>
    <n v="20"/>
    <n v="15"/>
    <n v="300"/>
    <d v="2020-03-13T00:00:00"/>
    <s v="Ship to FAS Warehouse. Attn: Mike Wong"/>
    <s v="FAS"/>
    <s v="188879-0"/>
    <m/>
    <s v="Yes"/>
    <n v="2"/>
    <s v="188879-1"/>
    <d v="2020-05-12T00:00:00"/>
    <m/>
    <m/>
    <m/>
    <m/>
    <m/>
    <m/>
    <n v="0"/>
    <x v="1"/>
    <s v="Pair"/>
    <n v="0"/>
    <d v="2020-03-13T00:00:00"/>
    <s v="Short 18 - Packing slip shows 20 shipped; received 2 (18 short)"/>
    <s v="Yes"/>
    <s v="Yes"/>
    <m/>
  </r>
  <r>
    <d v="2020-03-13T00:00:00"/>
    <s v="Western Safety"/>
    <s v="Gloves - S"/>
    <s v="N-Dex - Small-  8 mil - 50 per box"/>
    <s v="8005S"/>
    <s v="N/A"/>
    <s v="N/A"/>
    <n v="50"/>
    <s v="Pairs"/>
    <n v="1"/>
    <s v="Box"/>
    <n v="1"/>
    <s v="Order"/>
    <n v="50"/>
    <n v="1"/>
    <n v="15"/>
    <n v="15"/>
    <d v="2020-03-13T00:00:00"/>
    <s v="Ship to FAS Warehouse. Attn: Mike Wong"/>
    <s v="FAS"/>
    <s v="188879-0"/>
    <m/>
    <s v="Yes"/>
    <n v="1"/>
    <s v="188879-1"/>
    <d v="2020-05-12T00:00:00"/>
    <m/>
    <m/>
    <m/>
    <m/>
    <m/>
    <m/>
    <n v="0"/>
    <x v="0"/>
    <m/>
    <m/>
    <d v="2020-03-13T00:00:00"/>
    <m/>
    <m/>
    <m/>
    <m/>
  </r>
  <r>
    <d v="2020-03-13T00:00:00"/>
    <s v="Western Safety"/>
    <s v="Gloves - XL"/>
    <s v="N-Dex - X-large "/>
    <s v="8005PF-XL"/>
    <s v="N/A"/>
    <s v="N/A"/>
    <n v="100"/>
    <s v="Pairs"/>
    <n v="1"/>
    <s v="Box"/>
    <n v="1"/>
    <s v="Order"/>
    <n v="100"/>
    <n v="1"/>
    <n v="15"/>
    <n v="15"/>
    <d v="2020-03-13T00:00:00"/>
    <s v="Ship to FAS Warehouse. Attn: Mike Wong"/>
    <s v="FAS"/>
    <s v="188879-0"/>
    <m/>
    <s v="Yes"/>
    <n v="1"/>
    <s v="188879-1"/>
    <d v="2020-05-12T00:00:00"/>
    <m/>
    <m/>
    <m/>
    <m/>
    <m/>
    <m/>
    <n v="0"/>
    <x v="0"/>
    <m/>
    <m/>
    <d v="2020-03-13T00:00:00"/>
    <m/>
    <m/>
    <m/>
    <m/>
  </r>
  <r>
    <d v="2020-03-13T00:00:00"/>
    <s v="Western Safety"/>
    <s v="Gloves - XL"/>
    <s v="N-Dex - X-large - 8 mil"/>
    <s v="8005XL"/>
    <s v="N/A"/>
    <s v="N/A"/>
    <n v="50"/>
    <s v="Pairs"/>
    <n v="20"/>
    <s v="Box"/>
    <n v="1"/>
    <s v="Order"/>
    <n v="1000"/>
    <n v="20"/>
    <n v="15"/>
    <n v="300"/>
    <d v="2020-03-13T00:00:00"/>
    <s v="Ship to FAS Warehouse. Attn: Mike Wong"/>
    <s v="FAS"/>
    <s v="188879-0"/>
    <m/>
    <s v="Yes"/>
    <n v="20"/>
    <s v="188879-1"/>
    <d v="2020-05-12T00:00:00"/>
    <m/>
    <m/>
    <m/>
    <m/>
    <m/>
    <m/>
    <n v="0"/>
    <x v="0"/>
    <m/>
    <m/>
    <d v="2020-03-13T00:00:00"/>
    <m/>
    <m/>
    <m/>
    <m/>
  </r>
  <r>
    <d v="2020-03-13T00:00:00"/>
    <s v="Western Safety"/>
    <s v="Gloves - XL"/>
    <s v="N-Dex - X-large - 8 mil"/>
    <s v="8005XL"/>
    <s v="N/A"/>
    <s v="N/A"/>
    <n v="50"/>
    <s v="Pairs"/>
    <n v="20"/>
    <s v="Box"/>
    <n v="1"/>
    <s v="Order"/>
    <n v="1000"/>
    <n v="20"/>
    <n v="15"/>
    <n v="300"/>
    <d v="2020-03-13T00:00:00"/>
    <s v="Ship to FAS Warehouse. Attn: Mike Wong"/>
    <s v="FAS"/>
    <s v="188879-0"/>
    <m/>
    <s v="Yes"/>
    <n v="20"/>
    <s v="188879-1"/>
    <d v="2020-05-12T00:00:00"/>
    <m/>
    <m/>
    <m/>
    <m/>
    <m/>
    <m/>
    <n v="0"/>
    <x v="0"/>
    <m/>
    <m/>
    <d v="2020-03-13T00:00:00"/>
    <m/>
    <m/>
    <m/>
    <m/>
  </r>
  <r>
    <d v="2020-03-13T00:00:00"/>
    <s v="Western Safety"/>
    <s v="Gloves - XL"/>
    <s v="N-Dex - X-large - 8 mil"/>
    <s v="8005PF-XL"/>
    <s v="N/A"/>
    <s v="N/A"/>
    <n v="100"/>
    <s v="Pairs"/>
    <n v="14"/>
    <s v="Box"/>
    <n v="1"/>
    <s v="Order"/>
    <n v="1400"/>
    <n v="14"/>
    <n v="15"/>
    <n v="210"/>
    <d v="2020-03-13T00:00:00"/>
    <s v="Ship to FAS Warehouse. Attn: Mike Wong"/>
    <s v="FAS"/>
    <s v="188879-0"/>
    <m/>
    <s v="Yes"/>
    <n v="14"/>
    <s v="188879-1"/>
    <d v="2020-05-12T00:00:00"/>
    <m/>
    <m/>
    <m/>
    <m/>
    <m/>
    <m/>
    <n v="0"/>
    <x v="0"/>
    <m/>
    <m/>
    <d v="2020-03-13T00:00:00"/>
    <m/>
    <m/>
    <m/>
    <m/>
  </r>
  <r>
    <d v="2020-03-13T00:00:00"/>
    <s v="Western Safety"/>
    <s v="Gloves - XL"/>
    <s v="N-Dex X-Large"/>
    <s v="7005PFXL"/>
    <s v="N/A"/>
    <s v="N/A"/>
    <n v="100"/>
    <s v="Pairs"/>
    <n v="18"/>
    <s v="Box"/>
    <n v="1"/>
    <s v="Order"/>
    <n v="1800"/>
    <n v="18"/>
    <n v="13"/>
    <n v="234"/>
    <d v="2020-03-13T00:00:00"/>
    <s v="Ship to FAS Warehouse. Attn: Mike Wong"/>
    <s v="FAS"/>
    <s v="188879-0"/>
    <m/>
    <s v="Yes"/>
    <n v="18"/>
    <s v="188879-1"/>
    <d v="2020-05-12T00:00:00"/>
    <m/>
    <m/>
    <m/>
    <m/>
    <m/>
    <m/>
    <n v="0"/>
    <x v="0"/>
    <m/>
    <m/>
    <d v="2020-03-13T00:00:00"/>
    <m/>
    <m/>
    <m/>
    <m/>
  </r>
  <r>
    <d v="2020-03-13T00:00:00"/>
    <s v="Western Safety"/>
    <s v="Gloves - L"/>
    <s v="Nitrile Exam - Large - 5mil"/>
    <s v="094-8-L"/>
    <s v="N/A"/>
    <s v="N/A"/>
    <n v="100"/>
    <s v="Pairs"/>
    <n v="194"/>
    <s v="Box"/>
    <n v="1"/>
    <s v="Order"/>
    <n v="19400"/>
    <n v="194"/>
    <n v="6.5"/>
    <n v="1261"/>
    <d v="2020-03-13T00:00:00"/>
    <s v="Ship to FAS Warehouse. Attn: Mike Wong"/>
    <s v="FAS"/>
    <s v="188886-0"/>
    <m/>
    <s v="Yes"/>
    <n v="194"/>
    <s v="188886-1"/>
    <d v="2020-03-25T00:00:00"/>
    <m/>
    <m/>
    <m/>
    <m/>
    <m/>
    <m/>
    <n v="0"/>
    <x v="0"/>
    <m/>
    <m/>
    <d v="2020-03-13T00:00:00"/>
    <m/>
    <m/>
    <m/>
    <m/>
  </r>
  <r>
    <d v="2020-03-13T00:00:00"/>
    <s v="Western Safety"/>
    <s v="Gloves - M"/>
    <s v="Nitrile Exam - Medium - 5mil"/>
    <s v="094-7-M"/>
    <s v="N/A"/>
    <s v="N/A"/>
    <n v="100"/>
    <s v="Pairs"/>
    <n v="184"/>
    <s v="Box"/>
    <n v="1"/>
    <s v="Order"/>
    <n v="18400"/>
    <n v="184"/>
    <n v="6.5"/>
    <n v="1196"/>
    <d v="2020-03-13T00:00:00"/>
    <s v="Ship to FAS Warehouse. Attn: Mike Wong"/>
    <s v="FAS"/>
    <s v="188886-0"/>
    <m/>
    <s v="Yes"/>
    <n v="184"/>
    <s v="188886-1"/>
    <d v="2020-03-25T00:00:00"/>
    <m/>
    <m/>
    <m/>
    <m/>
    <m/>
    <m/>
    <n v="0"/>
    <x v="0"/>
    <m/>
    <m/>
    <d v="2020-03-13T00:00:00"/>
    <m/>
    <m/>
    <m/>
    <m/>
  </r>
  <r>
    <d v="2020-03-13T00:00:00"/>
    <s v="Western Safety"/>
    <s v="Gloves - S"/>
    <s v="Nitrile Exam - Small - 5mil"/>
    <s v="094-6-S"/>
    <s v="N/A"/>
    <s v="N/A"/>
    <n v="100"/>
    <s v="Pairs"/>
    <n v="88"/>
    <s v="Box"/>
    <n v="1"/>
    <s v="Order"/>
    <n v="8800"/>
    <n v="88"/>
    <n v="6.5"/>
    <n v="572"/>
    <d v="2020-03-13T00:00:00"/>
    <s v="Ship to FAS Warehouse. Attn: Mike Wong"/>
    <s v="FAS"/>
    <s v="188886-0"/>
    <m/>
    <s v="Yes"/>
    <n v="88"/>
    <s v="188889-1"/>
    <d v="2020-03-25T00:00:00"/>
    <m/>
    <m/>
    <m/>
    <m/>
    <m/>
    <m/>
    <n v="0"/>
    <x v="0"/>
    <m/>
    <m/>
    <d v="2020-03-13T00:00:00"/>
    <m/>
    <m/>
    <m/>
    <m/>
  </r>
  <r>
    <d v="2020-03-13T00:00:00"/>
    <s v="Western Safety"/>
    <s v="Gloves - XL"/>
    <s v="Nitrile Exam -X- Large - 5mil"/>
    <s v="094-9-XL"/>
    <s v="N/A"/>
    <s v="N/A"/>
    <n v="100"/>
    <s v="Pairs"/>
    <n v="194"/>
    <s v="Box"/>
    <n v="1"/>
    <s v="Order"/>
    <n v="19400"/>
    <n v="194"/>
    <n v="6.5"/>
    <n v="1261"/>
    <d v="2020-03-13T00:00:00"/>
    <s v="Ship to FAS Warehouse. Attn: Mike Wong"/>
    <s v="FAS"/>
    <s v="188886-0"/>
    <m/>
    <s v="Yes"/>
    <n v="194"/>
    <s v="188886-1"/>
    <d v="2020-03-25T00:00:00"/>
    <m/>
    <m/>
    <m/>
    <m/>
    <m/>
    <m/>
    <n v="0"/>
    <x v="0"/>
    <m/>
    <m/>
    <d v="2020-03-13T00:00:00"/>
    <m/>
    <m/>
    <m/>
    <m/>
  </r>
  <r>
    <d v="2020-03-13T00:00:00"/>
    <s v="Western Safety"/>
    <s v="Gloves - S"/>
    <s v="Raven black nitrile - small - "/>
    <s v="66516-S"/>
    <s v="N/A"/>
    <s v="N/A"/>
    <n v="100"/>
    <s v="Pairs"/>
    <n v="20"/>
    <s v="Box"/>
    <n v="1"/>
    <s v="Order"/>
    <n v="2000"/>
    <n v="20"/>
    <n v="12"/>
    <n v="240"/>
    <d v="2020-03-16T00:00:00"/>
    <s v="Ship to FAS Warehouse. Attn: Mike Wong"/>
    <s v="FAS"/>
    <s v="188917-0"/>
    <m/>
    <s v="Yes"/>
    <n v="20"/>
    <s v="188917-1"/>
    <d v="2020-03-25T00:00:00"/>
    <m/>
    <m/>
    <m/>
    <m/>
    <m/>
    <m/>
    <n v="0"/>
    <x v="0"/>
    <m/>
    <m/>
    <d v="2020-03-16T00:00:00"/>
    <m/>
    <m/>
    <m/>
    <m/>
  </r>
  <r>
    <d v="2020-03-16T00:00:00"/>
    <s v="Tacoma Screw"/>
    <s v="Gloves - L"/>
    <s v="Black Diamond - Large - 6 mil - 100 per box - 10 boxes per case - 100 cases"/>
    <s v="566-342"/>
    <s v="N/A"/>
    <s v="N/A"/>
    <n v="100"/>
    <s v="Pairs"/>
    <n v="10"/>
    <s v="Box"/>
    <n v="100"/>
    <s v="Case"/>
    <n v="100000"/>
    <n v="1000"/>
    <n v="7.32"/>
    <n v="7320"/>
    <d v="2020-03-17T00:00:00"/>
    <s v="Ship to FAS Warehouse. Attn: Mike Wong"/>
    <s v="FAS"/>
    <s v="S18529"/>
    <m/>
    <s v="Yes"/>
    <n v="1000"/>
    <n v="12850146"/>
    <d v="2020-05-14T00:00:00"/>
    <m/>
    <m/>
    <m/>
    <m/>
    <m/>
    <m/>
    <n v="0"/>
    <x v="0"/>
    <m/>
    <m/>
    <d v="2020-03-17T00:00:00"/>
    <m/>
    <m/>
    <m/>
    <m/>
  </r>
  <r>
    <d v="2020-03-16T00:00:00"/>
    <s v="Tacoma Screw"/>
    <s v="Gloves - M"/>
    <s v="Black Diamond - Medium - 6 mil - 100 per box - 10 boxes per case - 100 cases"/>
    <s v="566-341"/>
    <s v="N/A"/>
    <s v="N/A"/>
    <n v="100"/>
    <s v="Pairs"/>
    <n v="10"/>
    <s v="Box"/>
    <n v="100"/>
    <s v="Case"/>
    <n v="100000"/>
    <n v="1000"/>
    <n v="7.32"/>
    <n v="7320"/>
    <d v="2020-03-17T00:00:00"/>
    <s v="Ship to FAS Warehouse. Attn: Mike Wong"/>
    <s v="FAS"/>
    <s v="S18529"/>
    <m/>
    <s v="Yes"/>
    <n v="1000"/>
    <n v="12850146"/>
    <d v="2020-05-14T00:00:00"/>
    <m/>
    <m/>
    <m/>
    <m/>
    <m/>
    <m/>
    <n v="0"/>
    <x v="0"/>
    <m/>
    <m/>
    <d v="2020-03-17T00:00:00"/>
    <m/>
    <m/>
    <m/>
    <m/>
  </r>
  <r>
    <d v="2020-03-16T00:00:00"/>
    <s v="Tacoma Screw"/>
    <s v="Gloves - XL"/>
    <s v="Black Diamond - X-Large - 6 mil - 100 per box - 10 boxes per case - 100 cases"/>
    <s v="566-343"/>
    <s v="N/A"/>
    <s v="N/A"/>
    <n v="100"/>
    <s v="Pairs"/>
    <n v="10"/>
    <s v="Box"/>
    <n v="100"/>
    <s v="Case"/>
    <n v="100000"/>
    <n v="1000"/>
    <n v="7.32"/>
    <n v="7320"/>
    <d v="2020-03-17T00:00:00"/>
    <s v="Ship to FAS Warehouse. Attn: Mike Wong"/>
    <s v="FAS"/>
    <s v="S18529"/>
    <m/>
    <s v="Yes"/>
    <n v="1000"/>
    <n v="12850146"/>
    <d v="2020-05-14T00:00:00"/>
    <m/>
    <m/>
    <m/>
    <m/>
    <m/>
    <m/>
    <n v="0"/>
    <x v="0"/>
    <m/>
    <m/>
    <d v="2020-03-17T00:00:00"/>
    <m/>
    <m/>
    <m/>
    <m/>
  </r>
  <r>
    <d v="2020-03-17T00:00:00"/>
    <s v="Keeney's"/>
    <s v="Paper Towels"/>
    <s v="TOWEL,C-FLD,1PLY,200PK,WE "/>
    <s v="WIN101B"/>
    <s v="N/A"/>
    <s v="N/A"/>
    <n v="200"/>
    <s v="Sheets"/>
    <n v="12"/>
    <s v="Pack"/>
    <n v="132"/>
    <s v="Case"/>
    <n v="316800"/>
    <n v="1584"/>
    <n v="43"/>
    <n v="5676"/>
    <d v="2020-03-18T00:00:00"/>
    <s v="Ship to FAS Warehouse. Attn: Mike Wong."/>
    <s v="FAS"/>
    <s v="K0004948"/>
    <m/>
    <s v="Yes"/>
    <n v="132"/>
    <s v="KI-00017934"/>
    <d v="2020-03-24T00:00:00"/>
    <m/>
    <m/>
    <m/>
    <m/>
    <m/>
    <m/>
    <n v="0"/>
    <x v="0"/>
    <m/>
    <m/>
    <d v="2020-03-18T00:00:00"/>
    <m/>
    <m/>
    <m/>
    <m/>
  </r>
  <r>
    <d v="2020-03-17T00:00:00"/>
    <s v="Keeney's"/>
    <s v="Paper Towels"/>
    <s v="TOWEL,C-FLD,ENVN,1PLY,WE"/>
    <s v="GPC25190"/>
    <s v="N/A"/>
    <s v="N/A"/>
    <n v="240"/>
    <s v="Sheets"/>
    <n v="10"/>
    <s v="Pack"/>
    <n v="72"/>
    <s v="Case"/>
    <n v="172800"/>
    <n v="720"/>
    <n v="42"/>
    <n v="3024"/>
    <d v="2020-03-18T00:00:00"/>
    <s v="Ship to FAS Warehouse. Attn: Mike Wong."/>
    <s v="FAS"/>
    <s v="K0004948"/>
    <m/>
    <s v="Yes"/>
    <n v="72"/>
    <s v="KI-00017934"/>
    <d v="2020-03-24T00:00:00"/>
    <m/>
    <m/>
    <m/>
    <m/>
    <m/>
    <m/>
    <n v="0"/>
    <x v="0"/>
    <m/>
    <m/>
    <d v="2020-03-18T00:00:00"/>
    <m/>
    <m/>
    <m/>
    <m/>
  </r>
  <r>
    <d v="2020-03-17T00:00:00"/>
    <s v="Keeney's"/>
    <s v="Paper Towels"/>
    <s v="TOWEL,C-FOLD,2400/CT,WE "/>
    <s v="GPC20241"/>
    <s v="N/A"/>
    <s v="N/A"/>
    <n v="200"/>
    <s v="Sheets"/>
    <n v="12"/>
    <s v="Pack"/>
    <n v="59"/>
    <s v="Case"/>
    <n v="141600"/>
    <n v="708"/>
    <n v="44.33"/>
    <n v="2615.4699999999998"/>
    <d v="2020-03-18T00:00:00"/>
    <s v="Ship to FAS Warehouse. Attn: Mike Wong."/>
    <s v="FAS"/>
    <s v="K0004948"/>
    <m/>
    <s v="Yes"/>
    <n v="59"/>
    <s v="KI-00017934"/>
    <d v="2020-03-24T00:00:00"/>
    <m/>
    <m/>
    <m/>
    <m/>
    <m/>
    <m/>
    <n v="0"/>
    <x v="0"/>
    <m/>
    <m/>
    <d v="2020-03-18T00:00:00"/>
    <m/>
    <m/>
    <m/>
    <m/>
  </r>
  <r>
    <d v="2020-03-17T00:00:00"/>
    <s v="Keeney's"/>
    <s v="Paper Towels"/>
    <s v="TOWEL,CFOLD,2400/CT,WE"/>
    <s v="GPC20603"/>
    <s v="N/A"/>
    <s v="N/A"/>
    <n v="200"/>
    <s v="Sheets"/>
    <n v="12"/>
    <s v="Pack"/>
    <n v="39"/>
    <s v="Case"/>
    <n v="93600"/>
    <n v="468"/>
    <n v="28.76"/>
    <n v="1121.6400000000001"/>
    <d v="2020-03-18T00:00:00"/>
    <s v="Ship to FAS Warehouse. Attn: Mike Wong."/>
    <s v="FAS"/>
    <s v="K0004948"/>
    <m/>
    <s v="Yes"/>
    <n v="39"/>
    <s v="KI-00017934"/>
    <d v="2020-03-24T00:00:00"/>
    <m/>
    <m/>
    <m/>
    <m/>
    <m/>
    <m/>
    <n v="0"/>
    <x v="0"/>
    <m/>
    <m/>
    <d v="2020-03-18T00:00:00"/>
    <m/>
    <m/>
    <m/>
    <m/>
  </r>
  <r>
    <d v="2020-03-17T00:00:00"/>
    <s v="Keeney's"/>
    <s v="Paper Towels"/>
    <s v="TOWEL,PREM,1PLY,CFOLD,WH "/>
    <s v="GPC2112014"/>
    <s v="N/A"/>
    <s v="N/A"/>
    <n v="200"/>
    <s v="Sheets"/>
    <n v="6"/>
    <s v="Pack"/>
    <n v="18"/>
    <s v="Case"/>
    <n v="21600"/>
    <n v="108"/>
    <n v="27.57"/>
    <n v="496.26"/>
    <d v="2020-03-18T00:00:00"/>
    <s v="Ship to FAS Warehouse. Attn: Mike Wong."/>
    <s v="FAS"/>
    <s v="K0004948"/>
    <m/>
    <s v="Yes"/>
    <n v="18"/>
    <s v="KI-00017934"/>
    <d v="2020-03-24T00:00:00"/>
    <m/>
    <m/>
    <m/>
    <m/>
    <m/>
    <m/>
    <n v="0"/>
    <x v="0"/>
    <m/>
    <m/>
    <d v="2020-03-18T00:00:00"/>
    <m/>
    <m/>
    <m/>
    <m/>
  </r>
  <r>
    <d v="2020-03-17T00:00:00"/>
    <s v="Keeney's"/>
    <s v="Hand Soap"/>
    <s v="SOAP,FOAM,10OZ,6/CS "/>
    <s v="MTH00363CT"/>
    <n v="10"/>
    <n v="60"/>
    <n v="6"/>
    <s v="Bottles"/>
    <s v="N/A"/>
    <s v="N/A"/>
    <n v="3"/>
    <s v="Case"/>
    <n v="18"/>
    <s v="N/A"/>
    <n v="34.19"/>
    <n v="102.57"/>
    <d v="2020-03-18T00:00:00"/>
    <s v="Ship to FAS Warehouse. Attn: Mike Wong."/>
    <s v="FAS"/>
    <s v="K0004948"/>
    <m/>
    <s v="Yes"/>
    <n v="3"/>
    <s v="KI-00017934"/>
    <d v="2020-03-24T00:00:00"/>
    <m/>
    <m/>
    <m/>
    <m/>
    <m/>
    <m/>
    <n v="0"/>
    <x v="0"/>
    <m/>
    <m/>
    <d v="2020-03-18T00:00:00"/>
    <m/>
    <m/>
    <m/>
    <m/>
  </r>
  <r>
    <d v="2020-03-17T00:00:00"/>
    <s v="Keeney's"/>
    <s v="Hand Soap"/>
    <s v="SOAP,HAND,FOAM,PINKGRP"/>
    <s v="MTH01361CT "/>
    <n v="10"/>
    <n v="60"/>
    <n v="6"/>
    <s v="Bottles"/>
    <s v="N/A"/>
    <s v="N/A"/>
    <n v="3"/>
    <s v="Case"/>
    <n v="18"/>
    <s v="N/A"/>
    <n v="30.19"/>
    <n v="90.570000000000007"/>
    <d v="2020-03-18T00:00:00"/>
    <s v="Ship to FAS Warehouse. Attn: Mike Wong."/>
    <s v="FAS"/>
    <s v="K0004948"/>
    <m/>
    <s v="Yes"/>
    <n v="3"/>
    <s v="KI-00017934"/>
    <d v="2020-03-24T00:00:00"/>
    <m/>
    <m/>
    <m/>
    <m/>
    <m/>
    <m/>
    <n v="0"/>
    <x v="0"/>
    <m/>
    <m/>
    <d v="2020-03-18T00:00:00"/>
    <m/>
    <m/>
    <m/>
    <m/>
  </r>
  <r>
    <d v="2020-03-17T00:00:00"/>
    <s v="Keeney's"/>
    <s v="Paper Towels"/>
    <s v="Boardwalk® C-Fold Paper Towels, Bleached White, 200 Sheets/Pack, 12 Packs/Carton"/>
    <s v="BWK6220 "/>
    <s v="N/A"/>
    <s v="N/A"/>
    <n v="200"/>
    <s v="Sheets"/>
    <n v="12"/>
    <s v="Pack"/>
    <n v="3"/>
    <s v="Case"/>
    <n v="7200"/>
    <n v="36"/>
    <n v="28.48"/>
    <n v="85.44"/>
    <d v="2020-03-18T00:00:00"/>
    <s v="Ship to FAS Warehouse. Attn: Mike Wong."/>
    <s v="FAS"/>
    <s v="K0004948"/>
    <m/>
    <s v="Yes"/>
    <n v="3"/>
    <s v="KI-00017934"/>
    <d v="2020-03-24T00:00:00"/>
    <m/>
    <m/>
    <m/>
    <m/>
    <m/>
    <m/>
    <n v="0"/>
    <x v="0"/>
    <m/>
    <m/>
    <d v="2020-03-18T00:00:00"/>
    <m/>
    <m/>
    <m/>
    <m/>
  </r>
  <r>
    <d v="2020-03-17T00:00:00"/>
    <s v="Keeney's"/>
    <s v="Hand Soap"/>
    <s v="SOAP,FOAMING HAND WASH,LE "/>
    <s v="MTH00362"/>
    <n v="10"/>
    <n v="90"/>
    <n v="9"/>
    <s v="Bottles"/>
    <s v="N/A"/>
    <s v="N/A"/>
    <n v="1"/>
    <s v="Order"/>
    <n v="9"/>
    <s v="N/A"/>
    <n v="6.29"/>
    <n v="56.61"/>
    <d v="2020-03-18T00:00:00"/>
    <s v="Ship to FAS Warehouse. Attn: Mike Wong."/>
    <s v="FAS"/>
    <s v="K0004948"/>
    <m/>
    <s v="Yes"/>
    <n v="9"/>
    <s v="KI-00017934"/>
    <d v="2020-03-24T00:00:00"/>
    <m/>
    <m/>
    <m/>
    <m/>
    <m/>
    <m/>
    <n v="0"/>
    <x v="0"/>
    <m/>
    <m/>
    <d v="2020-03-18T00:00:00"/>
    <m/>
    <m/>
    <m/>
    <m/>
  </r>
  <r>
    <d v="2020-03-17T00:00:00"/>
    <s v="Keeney's"/>
    <s v="Hand Soap"/>
    <s v="SOAP,FMG,HANDWSH,PINKGP"/>
    <s v="MTH01361EA"/>
    <n v="10"/>
    <n v="90"/>
    <n v="9"/>
    <s v="Bottles"/>
    <s v="N/A"/>
    <s v="N/A"/>
    <n v="1"/>
    <s v="Order"/>
    <n v="9"/>
    <s v="N/A"/>
    <n v="6.29"/>
    <n v="56.61"/>
    <d v="2020-03-18T00:00:00"/>
    <s v="Ship to FAS Warehouse. Attn: Mike Wong."/>
    <s v="FAS"/>
    <s v="K0004948"/>
    <m/>
    <s v="Yes"/>
    <n v="9"/>
    <s v="KI-00017934"/>
    <d v="2020-03-24T00:00:00"/>
    <m/>
    <m/>
    <m/>
    <m/>
    <m/>
    <m/>
    <n v="0"/>
    <x v="0"/>
    <m/>
    <m/>
    <d v="2020-03-18T00:00:00"/>
    <m/>
    <m/>
    <m/>
    <m/>
  </r>
  <r>
    <d v="2020-03-17T00:00:00"/>
    <s v="Keeney's"/>
    <s v="Hand Soap"/>
    <s v="SOAP,FOAMING HAND WASH,LV"/>
    <s v="MTH00363"/>
    <n v="10"/>
    <n v="60"/>
    <n v="6"/>
    <s v="Bottles"/>
    <s v="N/A"/>
    <s v="N/A"/>
    <n v="1"/>
    <s v="Order"/>
    <n v="6"/>
    <s v="N/A"/>
    <n v="6.29"/>
    <n v="37.74"/>
    <d v="2020-03-18T00:00:00"/>
    <s v="Ship to FAS Warehouse. Attn: Mike Wong."/>
    <s v="FAS"/>
    <s v="K0004948"/>
    <m/>
    <s v="Yes"/>
    <n v="6"/>
    <s v="KI-00017934"/>
    <d v="2020-03-24T00:00:00"/>
    <m/>
    <m/>
    <m/>
    <m/>
    <m/>
    <m/>
    <n v="0"/>
    <x v="0"/>
    <m/>
    <m/>
    <d v="2020-03-18T00:00:00"/>
    <m/>
    <m/>
    <m/>
    <m/>
  </r>
  <r>
    <d v="2020-03-17T00:00:00"/>
    <s v="Keeney's"/>
    <s v="Hand Soap"/>
    <s v="SOAP,FOAM,10OZ,6/CS "/>
    <s v="MTH00363CT"/>
    <n v="10"/>
    <n v="60"/>
    <n v="6"/>
    <s v="Bottles"/>
    <s v="N/A"/>
    <s v="N/A"/>
    <n v="1"/>
    <s v="Case"/>
    <n v="6"/>
    <s v="N/A"/>
    <n v="34.19"/>
    <n v="34.19"/>
    <d v="2020-03-18T00:00:00"/>
    <s v="Ship to FAS Warehouse. Attn: Mike Wong."/>
    <s v="FAS"/>
    <s v="K0004948"/>
    <m/>
    <s v="Yes"/>
    <n v="1"/>
    <s v="KI-00018340"/>
    <d v="2020-04-16T00:00:00"/>
    <m/>
    <m/>
    <m/>
    <m/>
    <m/>
    <m/>
    <n v="0"/>
    <x v="0"/>
    <m/>
    <m/>
    <d v="2020-03-18T00:00:00"/>
    <m/>
    <m/>
    <m/>
    <m/>
  </r>
  <r>
    <d v="2020-03-17T00:00:00"/>
    <s v="Keeney's"/>
    <s v="Paper Towels"/>
    <s v="TOWEL,CFOLD,2400/CT,WE"/>
    <s v="GPC20603 "/>
    <s v="N/A"/>
    <s v="N/A"/>
    <n v="200"/>
    <s v="Sheets"/>
    <n v="12"/>
    <s v="Pack"/>
    <n v="1"/>
    <s v="Case"/>
    <n v="2400"/>
    <n v="12"/>
    <n v="28.76"/>
    <n v="28.76"/>
    <d v="2020-03-18T00:00:00"/>
    <s v="Ship to FAS Warehouse. Attn: Mike Wong."/>
    <s v="FAS"/>
    <s v="K0004948"/>
    <m/>
    <s v="Yes"/>
    <n v="1"/>
    <s v="KI-00017934"/>
    <d v="2020-03-24T00:00:00"/>
    <m/>
    <m/>
    <m/>
    <m/>
    <m/>
    <m/>
    <n v="0"/>
    <x v="0"/>
    <m/>
    <m/>
    <d v="2020-03-18T00:00:00"/>
    <m/>
    <m/>
    <m/>
    <m/>
  </r>
  <r>
    <d v="2020-03-17T00:00:00"/>
    <s v="Keeney's"/>
    <s v="Paper Towels"/>
    <s v="Boardwalk® C-Fold Paper Towels, Bleached White, 200 Sheets/Pack, 12 Packs/Carton"/>
    <s v="BWK6220 "/>
    <s v="N/A"/>
    <s v="N/A"/>
    <n v="200"/>
    <s v="Sheets"/>
    <n v="12"/>
    <s v="Pack"/>
    <n v="1"/>
    <s v="Case"/>
    <n v="2400"/>
    <n v="12"/>
    <n v="28.48"/>
    <n v="28.48"/>
    <d v="2020-03-18T00:00:00"/>
    <s v="Ship to FAS Warehouse. Attn: Mike Wong."/>
    <s v="FAS"/>
    <s v="K0004948"/>
    <m/>
    <s v="Yes"/>
    <n v="1"/>
    <s v="KI-00017934"/>
    <d v="2020-03-24T00:00:00"/>
    <m/>
    <m/>
    <m/>
    <m/>
    <m/>
    <m/>
    <n v="0"/>
    <x v="0"/>
    <m/>
    <m/>
    <d v="2020-03-18T00:00:00"/>
    <m/>
    <m/>
    <m/>
    <m/>
  </r>
  <r>
    <d v="2020-03-17T00:00:00"/>
    <s v="Keeney's"/>
    <s v="Hand Soap"/>
    <s v="SOAP,FOAMING HAND WASH,CR "/>
    <s v="MTH00361"/>
    <n v="10"/>
    <n v="30"/>
    <n v="3"/>
    <s v="Bottles"/>
    <s v="N/A"/>
    <s v="N/A"/>
    <n v="1"/>
    <s v="Order"/>
    <n v="3"/>
    <s v="N/A"/>
    <n v="6.29"/>
    <n v="18.87"/>
    <d v="2020-03-18T00:00:00"/>
    <s v="Ship to FAS Warehouse. Attn: Mike Wong."/>
    <s v="FAS"/>
    <s v="K0004948"/>
    <m/>
    <s v="Yes"/>
    <n v="3"/>
    <s v="KI-00017934"/>
    <d v="2020-03-24T00:00:00"/>
    <m/>
    <m/>
    <m/>
    <m/>
    <m/>
    <m/>
    <n v="0"/>
    <x v="0"/>
    <m/>
    <m/>
    <d v="2020-03-18T00:00:00"/>
    <m/>
    <m/>
    <m/>
    <m/>
  </r>
  <r>
    <d v="2020-03-12T00:00:00"/>
    <s v="Keeney's"/>
    <s v="Gloves - S"/>
    <s v="Boardwalk - small - 100 pair / box"/>
    <s v="BWK380SBX"/>
    <s v="N/A"/>
    <s v="N/A"/>
    <n v="100"/>
    <s v="Pairs"/>
    <n v="10"/>
    <s v="Box"/>
    <n v="74"/>
    <s v="Case"/>
    <n v="74000"/>
    <n v="740"/>
    <n v="10"/>
    <n v="740"/>
    <d v="2020-03-19T00:00:00"/>
    <s v="Ship to FAS Warehouse. Attn: Mike Wong. Shipping from their Baltimore warehouse"/>
    <s v="FAS"/>
    <s v="K0004842"/>
    <m/>
    <s v="Yes"/>
    <n v="6"/>
    <s v="KI-00017709"/>
    <d v="2020-06-10T00:00:00"/>
    <n v="68"/>
    <s v="KI-00017709"/>
    <d v="2020-06-10T00:00:00"/>
    <m/>
    <m/>
    <m/>
    <n v="0"/>
    <x v="1"/>
    <s v="Pair"/>
    <n v="0"/>
    <d v="2020-03-19T00:00:00"/>
    <s v="Received 6 on 3/13 (PS K0004842-1), Received 2 on 3/16 (PSK0004842-3), Received 68 on 03/17/20 (PS K0004842-3 shows 66+2)"/>
    <m/>
    <m/>
    <m/>
  </r>
  <r>
    <d v="2020-03-12T00:00:00"/>
    <s v="Pacific Office Solutions"/>
    <s v="Toilet Tissue"/>
    <s v="Geogia Pacific - 550 sheet/rolls - 80 rolls per case"/>
    <s v="GPC1828001"/>
    <s v="N/A"/>
    <s v="N/A"/>
    <n v="80"/>
    <s v="Rolls"/>
    <s v="N/A"/>
    <s v="N/A"/>
    <n v="600"/>
    <s v="Case"/>
    <n v="48000"/>
    <s v="N/A"/>
    <n v="72.290000000000006"/>
    <n v="43374.000000000007"/>
    <d v="2020-03-20T00:00:00"/>
    <s v="Ship to FAS Warehouse. Attn: Mike Wong. Shipping from their Baltimore warehouse"/>
    <s v="FAS"/>
    <n v="58263"/>
    <m/>
    <s v="No"/>
    <n v="470"/>
    <m/>
    <m/>
    <m/>
    <m/>
    <m/>
    <m/>
    <m/>
    <m/>
    <n v="130"/>
    <x v="3"/>
    <s v="Roll"/>
    <n v="10400"/>
    <d v="2020-03-20T00:00:00"/>
    <m/>
    <m/>
    <m/>
    <m/>
  </r>
  <r>
    <d v="2020-03-12T00:00:00"/>
    <s v="Pacific Office Solutions"/>
    <s v="Facial Tissue"/>
    <s v="Kleenex - 36 boxes per case"/>
    <s v="KCC21272"/>
    <s v="N/A"/>
    <s v="N/A"/>
    <n v="95"/>
    <s v="Sheets"/>
    <n v="36"/>
    <s v="Box"/>
    <n v="400"/>
    <s v="Case"/>
    <n v="1368000"/>
    <n v="14400"/>
    <n v="90.24"/>
    <n v="36096"/>
    <d v="2020-03-20T00:00:00"/>
    <s v="Ship to FAS Warehouse. Attn: Mike Wong. Shipping from their Baltimore warehouse"/>
    <s v="FAS"/>
    <n v="58263"/>
    <m/>
    <s v="No"/>
    <n v="375"/>
    <m/>
    <m/>
    <m/>
    <m/>
    <m/>
    <m/>
    <m/>
    <m/>
    <n v="900"/>
    <x v="4"/>
    <s v="Box"/>
    <n v="900"/>
    <d v="2020-03-20T00:00:00"/>
    <m/>
    <m/>
    <m/>
    <m/>
  </r>
  <r>
    <d v="2020-03-12T00:00:00"/>
    <s v="Pacific Office Solutions"/>
    <s v="Hand Soap"/>
    <s v="Mircell - 12 bottles per case"/>
    <s v="GOJ9759"/>
    <n v="12"/>
    <n v="57600"/>
    <n v="12"/>
    <s v="Bottles"/>
    <s v="N/A"/>
    <s v="N/A"/>
    <n v="400"/>
    <s v="Case"/>
    <n v="4800"/>
    <s v="N/A"/>
    <n v="77.989999999999995"/>
    <n v="31195.999999999996"/>
    <d v="2020-03-20T00:00:00"/>
    <s v="Ship to FAS Warehouse. Attn: Mike Wong. Shipping from their Baltimore warehouse"/>
    <s v="FAS"/>
    <n v="58263"/>
    <m/>
    <s v="No"/>
    <n v="352"/>
    <m/>
    <m/>
    <m/>
    <m/>
    <m/>
    <m/>
    <m/>
    <m/>
    <n v="400"/>
    <x v="5"/>
    <s v="Bottle"/>
    <n v="4800"/>
    <d v="2020-03-20T00:00:00"/>
    <m/>
    <m/>
    <m/>
    <m/>
  </r>
  <r>
    <d v="2020-03-12T00:00:00"/>
    <s v="Pacific Office Solutions"/>
    <s v="Gloves - S"/>
    <s v="Boardwalk - small - 100 pair / box - 10 boxes per case"/>
    <s v="BWK380SCT"/>
    <s v="N/A"/>
    <s v="N/A"/>
    <n v="100"/>
    <s v="Pairs"/>
    <n v="10"/>
    <s v="Box"/>
    <n v="75"/>
    <s v="Case"/>
    <n v="75000"/>
    <n v="750"/>
    <n v="64.989999999999995"/>
    <n v="4874.25"/>
    <d v="2020-03-20T00:00:00"/>
    <s v="Ship to FAS Warehouse. Attn: Mike Wong. Shipping from their Baltimore warehouse"/>
    <s v="FAS"/>
    <n v="58263"/>
    <m/>
    <s v="No"/>
    <n v="131"/>
    <m/>
    <m/>
    <m/>
    <m/>
    <m/>
    <m/>
    <m/>
    <m/>
    <n v="-56"/>
    <x v="1"/>
    <s v="Pair"/>
    <n v="0"/>
    <d v="2020-03-20T00:00:00"/>
    <m/>
    <m/>
    <m/>
    <m/>
  </r>
  <r>
    <d v="2020-03-12T00:00:00"/>
    <s v="Pacific Office Solutions"/>
    <s v="Gloves - M"/>
    <s v="Boardwalk - medium - 100 pair / box - 10 boxes per case"/>
    <s v="BWK380MCT"/>
    <s v="N/A"/>
    <s v="N/A"/>
    <n v="100"/>
    <s v="Pairs"/>
    <n v="10"/>
    <s v="Box"/>
    <n v="60"/>
    <s v="Case"/>
    <n v="60000"/>
    <n v="600"/>
    <n v="64.989999999999995"/>
    <n v="3899.3999999999996"/>
    <d v="2020-03-20T00:00:00"/>
    <s v="Ship to FAS Warehouse. Attn: Mike Wong. Shipping from their Baltimore warehouse"/>
    <s v="FAS"/>
    <n v="58263"/>
    <m/>
    <s v="Yes"/>
    <n v="60"/>
    <m/>
    <m/>
    <m/>
    <m/>
    <m/>
    <m/>
    <m/>
    <m/>
    <n v="0"/>
    <x v="1"/>
    <s v="Pair"/>
    <n v="0"/>
    <d v="2020-03-20T00:00:00"/>
    <m/>
    <m/>
    <m/>
    <m/>
  </r>
  <r>
    <d v="2020-03-12T00:00:00"/>
    <s v="Keeney's"/>
    <s v="Facial Tissue"/>
    <s v="Boardwalk - 100 tissues per box - 30 boxes per case - 132 cases"/>
    <s v="BWK6500B"/>
    <s v="N/A"/>
    <s v="N/A"/>
    <n v="100"/>
    <s v="Sheets"/>
    <n v="30"/>
    <s v="Box"/>
    <n v="132"/>
    <s v="Case"/>
    <n v="396000"/>
    <n v="3960"/>
    <n v="28.91"/>
    <n v="3816.12"/>
    <d v="2020-03-20T00:00:00"/>
    <s v="Ship to FAS Warehouse. Attn: Mike Wong. Shipping from their Baltimore warehouse"/>
    <s v="FAS"/>
    <s v="K0004842"/>
    <m/>
    <s v="Yes"/>
    <n v="120"/>
    <s v="KI-00017709 "/>
    <d v="2020-06-10T00:00:00"/>
    <n v="12"/>
    <s v="KI-00017709"/>
    <d v="2020-06-10T00:00:00"/>
    <m/>
    <m/>
    <m/>
    <n v="0"/>
    <x v="4"/>
    <s v="Box"/>
    <n v="0"/>
    <d v="2020-03-20T00:00:00"/>
    <s v="Short - Received 120 on 3/13 (PS K004842-1 shows 24+96, Received 12 on 3/16/20 (PS K004842-3 shows 11+1)"/>
    <s v="Yes"/>
    <s v="No"/>
    <m/>
  </r>
  <r>
    <d v="2020-03-12T00:00:00"/>
    <s v="Keeney's"/>
    <s v="Hand Soap"/>
    <s v="7.5 oz. bottles - 12 bottles per case - 9 cases"/>
    <s v="DIA06028CT"/>
    <n v="7.5"/>
    <n v="810"/>
    <n v="12"/>
    <s v="Bottles"/>
    <s v="N/A"/>
    <s v="N/A"/>
    <n v="9"/>
    <s v="Case"/>
    <n v="108"/>
    <s v="N/A"/>
    <n v="23.8"/>
    <n v="214.20000000000002"/>
    <d v="2020-03-20T00:00:00"/>
    <s v="Ship to FAS Warehouse. Attn: Mike Wong. Shipping from their Baltimore warehouse"/>
    <s v="FAS"/>
    <s v="K0004842"/>
    <m/>
    <s v="Yes"/>
    <n v="9"/>
    <s v="KI-00017709"/>
    <d v="2020-06-10T00:00:00"/>
    <m/>
    <m/>
    <m/>
    <m/>
    <m/>
    <m/>
    <n v="0"/>
    <x v="5"/>
    <s v="Bottle"/>
    <n v="0"/>
    <d v="2020-03-20T00:00:00"/>
    <s v="Received 9 on 3/13 (PS K0004842-1)"/>
    <m/>
    <m/>
    <m/>
  </r>
  <r>
    <d v="2020-03-12T00:00:00"/>
    <s v="Keeney's"/>
    <s v="Gloves - XL"/>
    <s v="Boardwalk - x-large - 100 pair / box"/>
    <s v="BWK380XLBX"/>
    <s v="N/A"/>
    <s v="N/A"/>
    <n v="100"/>
    <s v="Pairs"/>
    <n v="1"/>
    <s v="Box"/>
    <n v="2"/>
    <s v="Case"/>
    <n v="200"/>
    <n v="2"/>
    <n v="10"/>
    <n v="20"/>
    <d v="2020-03-20T00:00:00"/>
    <s v="Ship to FAS Warehouse. Attn: Mike Wong. Shipping from their Baltimore warehouse"/>
    <s v="FAS"/>
    <s v="KW1009822"/>
    <s v="04/20/20: Changed quantities from 3 cases to 2 cases."/>
    <s v="No"/>
    <m/>
    <m/>
    <m/>
    <m/>
    <m/>
    <m/>
    <m/>
    <m/>
    <m/>
    <n v="2"/>
    <x v="1"/>
    <s v="Pair"/>
    <n v="100"/>
    <d v="2020-03-20T00:00:00"/>
    <m/>
    <m/>
    <m/>
    <m/>
  </r>
  <r>
    <d v="2020-03-13T00:00:00"/>
    <s v="Keeney's"/>
    <s v="Paper Towels"/>
    <s v="Genuine Joe Multi-fold towels - 16 packs per case - 175 cases"/>
    <s v="GJO-21100"/>
    <s v="N/A"/>
    <s v="N/A"/>
    <n v="250"/>
    <s v="Sheets"/>
    <n v="16"/>
    <s v="Pack"/>
    <n v="175"/>
    <s v="Case"/>
    <n v="700000"/>
    <n v="2800"/>
    <n v="24.3"/>
    <n v="4252.5"/>
    <d v="2020-03-20T00:00:00"/>
    <s v="Ship to FAS Warehouse. Attn: Mike Wong"/>
    <s v="FAS"/>
    <s v="K0004882"/>
    <m/>
    <s v="Yes"/>
    <n v="90"/>
    <s v="KI-00017727"/>
    <d v="2020-06-10T00:00:00"/>
    <n v="85"/>
    <s v="KI-00018339"/>
    <d v="2020-03-25T00:00:00"/>
    <m/>
    <m/>
    <m/>
    <n v="0"/>
    <x v="0"/>
    <m/>
    <m/>
    <d v="2020-03-20T00:00:00"/>
    <s v="Received 90 on 03/17/20 (PSK0004882-1)"/>
    <m/>
    <m/>
    <m/>
  </r>
  <r>
    <d v="2020-03-13T00:00:00"/>
    <s v="Brake &amp; Clutch"/>
    <s v="Gloves - M"/>
    <s v="Raven - Black - 6 mil - Medium "/>
    <s v="SAS66517"/>
    <s v="N/A"/>
    <s v="N/A"/>
    <n v="100"/>
    <s v="Pairs"/>
    <n v="300"/>
    <s v="Box"/>
    <n v="1"/>
    <s v="Order"/>
    <n v="30000"/>
    <n v="300"/>
    <n v="13.13"/>
    <n v="3939.0000000000005"/>
    <d v="2020-03-20T00:00:00"/>
    <s v="Ship to FAS Warehouse. Attn: Mike Wong"/>
    <s v="FAS"/>
    <n v="316906"/>
    <m/>
    <s v="Yes"/>
    <n v="300"/>
    <n v="636284"/>
    <d v="2020-04-01T00:00:00"/>
    <m/>
    <m/>
    <m/>
    <m/>
    <m/>
    <m/>
    <n v="0"/>
    <x v="0"/>
    <m/>
    <m/>
    <d v="2020-03-20T00:00:00"/>
    <m/>
    <m/>
    <m/>
    <m/>
  </r>
  <r>
    <d v="2020-03-13T00:00:00"/>
    <s v="Brake &amp; Clutch"/>
    <s v="Gloves - L"/>
    <s v="Raven - Black - 6 mil - Large"/>
    <s v="SAS66518"/>
    <s v="N/A"/>
    <s v="N/A"/>
    <n v="100"/>
    <s v="Pairs"/>
    <n v="300"/>
    <s v="Box"/>
    <n v="1"/>
    <s v="Order"/>
    <n v="30000"/>
    <n v="300"/>
    <n v="13.13"/>
    <n v="3939.0000000000005"/>
    <d v="2020-03-20T00:00:00"/>
    <s v="Ship to FAS Warehouse. Attn: Mike Wong"/>
    <s v="FAS"/>
    <n v="316906"/>
    <m/>
    <s v="Yes"/>
    <n v="300"/>
    <n v="636284"/>
    <d v="2020-04-01T00:00:00"/>
    <m/>
    <m/>
    <m/>
    <m/>
    <m/>
    <m/>
    <n v="0"/>
    <x v="0"/>
    <m/>
    <m/>
    <d v="2020-03-20T00:00:00"/>
    <m/>
    <m/>
    <m/>
    <m/>
  </r>
  <r>
    <d v="2020-03-13T00:00:00"/>
    <s v="Brake &amp; Clutch"/>
    <s v="Gloves - XL"/>
    <s v="Raven - Black - 6 mil - X-Large"/>
    <s v="SAS66519"/>
    <s v="N/A"/>
    <s v="N/A"/>
    <n v="100"/>
    <s v="Pairs"/>
    <n v="300"/>
    <s v="Box"/>
    <n v="1"/>
    <s v="Order"/>
    <n v="30000"/>
    <n v="300"/>
    <n v="13.13"/>
    <n v="3939.0000000000005"/>
    <d v="2020-03-20T00:00:00"/>
    <s v="Ship to FAS Warehouse. Attn: Mike Wong"/>
    <s v="FAS"/>
    <n v="316906"/>
    <m/>
    <s v="Yes"/>
    <n v="300"/>
    <n v="636284"/>
    <d v="2020-04-01T00:00:00"/>
    <m/>
    <m/>
    <m/>
    <m/>
    <m/>
    <m/>
    <n v="0"/>
    <x v="0"/>
    <m/>
    <m/>
    <d v="2020-03-20T00:00:00"/>
    <m/>
    <m/>
    <m/>
    <m/>
  </r>
  <r>
    <d v="2020-03-17T00:00:00"/>
    <s v="Excel Supply Company"/>
    <s v="Disinfectant Wipes"/>
    <s v="Clorox Disinfecting Wipes Fresh Scent 12 Cans per Case"/>
    <s v="1201-CLO01593-EA"/>
    <s v="N/A"/>
    <s v="N/A"/>
    <n v="75"/>
    <s v="Wipes"/>
    <n v="240"/>
    <s v="Tubes"/>
    <n v="1"/>
    <s v="Order"/>
    <n v="18000"/>
    <n v="240"/>
    <n v="3.5"/>
    <n v="840"/>
    <d v="2020-03-20T00:00:00"/>
    <s v="Ship to FAS Warehouse. Attn: Mike Wong. Shipping from their Baltimore warehouse"/>
    <s v="FAS"/>
    <s v="SO210695"/>
    <m/>
    <s v="Yes"/>
    <n v="240"/>
    <n v="118889"/>
    <d v="2020-05-18T00:00:00"/>
    <m/>
    <m/>
    <m/>
    <m/>
    <m/>
    <m/>
    <n v="0"/>
    <x v="0"/>
    <m/>
    <m/>
    <d v="2020-03-20T00:00:00"/>
    <m/>
    <m/>
    <m/>
    <m/>
  </r>
  <r>
    <d v="2020-03-17T00:00:00"/>
    <s v="Excel Supply Company"/>
    <s v="Disinfectant Wipes"/>
    <s v="Clorox Disinfectant Wipes Fresh Scent 75 Wipes/Tub"/>
    <s v="1201-CLO15949"/>
    <s v="N/A"/>
    <s v="N/A"/>
    <n v="75"/>
    <s v="Wipes"/>
    <n v="60"/>
    <s v="Tubes"/>
    <n v="1"/>
    <s v="Order"/>
    <n v="4500"/>
    <n v="60"/>
    <n v="7.22"/>
    <n v="433.2"/>
    <d v="2020-03-20T00:00:00"/>
    <s v="Ship to FAS Warehouse. Attn: Mike Wong. Shipping from their Baltimore warehouse"/>
    <s v="FAS"/>
    <s v="SO210695"/>
    <m/>
    <s v="Yes"/>
    <n v="60"/>
    <n v="118889"/>
    <d v="2020-05-18T00:00:00"/>
    <m/>
    <m/>
    <m/>
    <m/>
    <m/>
    <m/>
    <n v="0"/>
    <x v="0"/>
    <m/>
    <m/>
    <d v="2020-03-20T00:00:00"/>
    <m/>
    <m/>
    <m/>
    <m/>
  </r>
  <r>
    <d v="2020-03-16T00:00:00"/>
    <s v="Brake &amp; Clutch"/>
    <s v="Gloves - S"/>
    <s v="Raven - Black - 6 mil - Small"/>
    <s v="SAS66516"/>
    <s v="N/A"/>
    <s v="N/A"/>
    <n v="100"/>
    <s v="Pairs"/>
    <n v="300"/>
    <s v="Box"/>
    <n v="1"/>
    <s v="Order"/>
    <n v="30000"/>
    <n v="300"/>
    <n v="12.52"/>
    <n v="3756"/>
    <d v="2020-03-23T00:00:00"/>
    <s v="Ship to FAS Warehouse. Attn: Mike Wong"/>
    <s v="FAS"/>
    <n v="316984"/>
    <m/>
    <s v="Yes"/>
    <n v="300"/>
    <n v="636358"/>
    <d v="2020-04-01T00:00:00"/>
    <m/>
    <m/>
    <m/>
    <m/>
    <m/>
    <m/>
    <n v="0"/>
    <x v="0"/>
    <m/>
    <m/>
    <d v="2020-03-23T00:00:00"/>
    <m/>
    <m/>
    <m/>
    <m/>
  </r>
  <r>
    <d v="2020-03-16T00:00:00"/>
    <s v="Brake &amp; Clutch"/>
    <s v="Gloves - M"/>
    <s v="Raven - Black - 6 mil - Medium "/>
    <s v="SAS66517"/>
    <s v="N/A"/>
    <s v="N/A"/>
    <n v="100"/>
    <s v="Pairs"/>
    <n v="300"/>
    <s v="Box"/>
    <n v="1"/>
    <s v="Order"/>
    <n v="30000"/>
    <n v="300"/>
    <n v="12.52"/>
    <n v="3756"/>
    <d v="2020-03-23T00:00:00"/>
    <s v="Ship to FAS Warehouse. Attn: Mike Wong"/>
    <s v="FAS"/>
    <n v="316984"/>
    <m/>
    <s v="Yes"/>
    <n v="300"/>
    <n v="636358"/>
    <d v="2020-04-01T00:00:00"/>
    <m/>
    <m/>
    <m/>
    <m/>
    <m/>
    <m/>
    <n v="0"/>
    <x v="0"/>
    <m/>
    <m/>
    <d v="2020-03-23T00:00:00"/>
    <m/>
    <m/>
    <m/>
    <m/>
  </r>
  <r>
    <d v="2020-03-16T00:00:00"/>
    <s v="Brake &amp; Clutch"/>
    <s v="Gloves - L"/>
    <s v="Raven - Black - 6 mil - Large"/>
    <s v="SAS66518"/>
    <s v="N/A"/>
    <s v="N/A"/>
    <n v="100"/>
    <s v="Pairs"/>
    <n v="300"/>
    <s v="Box"/>
    <n v="1"/>
    <s v="Order"/>
    <n v="30000"/>
    <n v="300"/>
    <n v="12.52"/>
    <n v="3756"/>
    <d v="2020-03-23T00:00:00"/>
    <s v="Ship to FAS Warehouse. Attn: Mike Wong"/>
    <s v="FAS"/>
    <n v="316984"/>
    <m/>
    <s v="Yes"/>
    <n v="300"/>
    <n v="636358"/>
    <d v="2020-04-01T00:00:00"/>
    <m/>
    <m/>
    <m/>
    <m/>
    <m/>
    <m/>
    <n v="0"/>
    <x v="0"/>
    <m/>
    <m/>
    <d v="2020-03-23T00:00:00"/>
    <m/>
    <m/>
    <m/>
    <m/>
  </r>
  <r>
    <d v="2020-03-16T00:00:00"/>
    <s v="Brake &amp; Clutch"/>
    <s v="Gloves - XL"/>
    <s v="Raven - Black - 6 mil - X-Large"/>
    <s v="SAS66519"/>
    <s v="N/A"/>
    <s v="N/A"/>
    <n v="100"/>
    <s v="Pairs"/>
    <n v="300"/>
    <s v="Box"/>
    <n v="1"/>
    <s v="Order"/>
    <n v="30000"/>
    <n v="300"/>
    <n v="12.52"/>
    <n v="3756"/>
    <d v="2020-03-23T00:00:00"/>
    <s v="Ship to FAS Warehouse. Attn: Mike Wong"/>
    <s v="FAS"/>
    <n v="316984"/>
    <m/>
    <s v="Yes"/>
    <n v="300"/>
    <n v="636358"/>
    <d v="2020-04-01T00:00:00"/>
    <m/>
    <m/>
    <m/>
    <m/>
    <m/>
    <m/>
    <n v="0"/>
    <x v="0"/>
    <m/>
    <m/>
    <d v="2020-03-23T00:00:00"/>
    <m/>
    <m/>
    <m/>
    <m/>
  </r>
  <r>
    <d v="2020-03-16T00:00:00"/>
    <s v="Excel Supply Company"/>
    <s v="Hand Sanitizer"/>
    <s v="WATER JEL HAND SANITIZER 4 OZ 24/Case"/>
    <s v="2301-HS4"/>
    <n v="4"/>
    <n v="4608"/>
    <n v="24"/>
    <s v="Bottles"/>
    <s v="N/A"/>
    <s v="N/A"/>
    <n v="48"/>
    <s v="Case"/>
    <n v="1152"/>
    <s v="N/A"/>
    <n v="3.5"/>
    <n v="168"/>
    <d v="2020-03-23T00:00:00"/>
    <s v="Ship to FAS Warehouse. Attn: Mike Wong. Shipping from their Baltimore warehouse"/>
    <s v="FAS"/>
    <s v="SO210673"/>
    <m/>
    <s v="Yes"/>
    <n v="48"/>
    <n v="118776"/>
    <d v="2020-05-18T00:00:00"/>
    <m/>
    <m/>
    <m/>
    <m/>
    <m/>
    <m/>
    <n v="0"/>
    <x v="0"/>
    <m/>
    <m/>
    <d v="2020-03-23T00:00:00"/>
    <m/>
    <m/>
    <m/>
    <m/>
  </r>
  <r>
    <d v="2020-03-16T00:00:00"/>
    <s v="Excel Supply Company"/>
    <s v="Hand Sanitizer"/>
    <s v="SANITIZER GEL INSTANT PURELL GOJO"/>
    <s v="0712-9605-24"/>
    <n v="2"/>
    <n v="2304"/>
    <n v="24"/>
    <s v="Bottles"/>
    <s v="N/A"/>
    <s v="N/A"/>
    <n v="48"/>
    <s v="Case"/>
    <n v="1152"/>
    <s v="N/A"/>
    <n v="2.75"/>
    <n v="132"/>
    <d v="2020-03-23T00:00:00"/>
    <s v="Ship to FAS Warehouse. Attn: Mike Wong. Shipping from their Baltimore warehouse"/>
    <s v="FAS"/>
    <s v="SO210673"/>
    <m/>
    <s v="Yes"/>
    <n v="48"/>
    <n v="118776"/>
    <d v="2020-05-18T00:00:00"/>
    <m/>
    <m/>
    <m/>
    <m/>
    <m/>
    <m/>
    <n v="0"/>
    <x v="0"/>
    <m/>
    <m/>
    <d v="2020-03-23T00:00:00"/>
    <m/>
    <m/>
    <m/>
    <m/>
  </r>
  <r>
    <d v="2020-03-17T00:00:00"/>
    <s v="Keeney's"/>
    <s v="Paper Towels"/>
    <s v="TOWEL,C-FLD,1PLY,200PK,WE "/>
    <s v="WIN101B"/>
    <s v="N/A"/>
    <s v="N/A"/>
    <n v="200"/>
    <s v="Sheets"/>
    <n v="12"/>
    <s v="Pack"/>
    <n v="6"/>
    <s v="Case"/>
    <n v="14400"/>
    <n v="72"/>
    <n v="43"/>
    <n v="258"/>
    <d v="2020-03-23T00:00:00"/>
    <s v="Ship to FAS Warehouse. Attn: Mike Wong. Delivery from Northern California. "/>
    <s v="FAS"/>
    <s v="K0004948"/>
    <m/>
    <s v="Yes"/>
    <n v="6"/>
    <s v="KI-00018340"/>
    <d v="2020-04-16T00:00:00"/>
    <m/>
    <m/>
    <m/>
    <m/>
    <m/>
    <m/>
    <n v="0"/>
    <x v="0"/>
    <m/>
    <m/>
    <d v="2020-03-23T00:00:00"/>
    <m/>
    <m/>
    <m/>
    <m/>
  </r>
  <r>
    <d v="2020-03-17T00:00:00"/>
    <s v="Keeney's"/>
    <s v="Hand Soap"/>
    <s v="SOAP,FOAMING HAND WASH,LV"/>
    <s v="MTH00363"/>
    <n v="10"/>
    <n v="380"/>
    <n v="38"/>
    <s v="Bottles"/>
    <s v="N/A"/>
    <s v="N/A"/>
    <n v="1"/>
    <s v="Order"/>
    <n v="38"/>
    <s v="N/A"/>
    <n v="6.29"/>
    <n v="239.02"/>
    <d v="2020-03-23T00:00:00"/>
    <s v="Ship to FAS Warehouse. Attn: Mike Wong. Delivery from Northern California. "/>
    <s v="FAS"/>
    <s v="K0004948"/>
    <m/>
    <s v="Yes"/>
    <n v="38"/>
    <s v="KI-00018340"/>
    <d v="2020-04-16T00:00:00"/>
    <m/>
    <m/>
    <m/>
    <m/>
    <m/>
    <m/>
    <n v="0"/>
    <x v="0"/>
    <m/>
    <m/>
    <d v="2020-03-23T00:00:00"/>
    <m/>
    <m/>
    <m/>
    <m/>
  </r>
  <r>
    <d v="2020-03-17T00:00:00"/>
    <s v="Keeney's"/>
    <s v="Hand Soap"/>
    <s v="SOAP,FMG,HANDWSH,PINKGP"/>
    <s v="MTH01361EA "/>
    <n v="10"/>
    <n v="180"/>
    <n v="18"/>
    <s v="Bottles"/>
    <s v="N/A"/>
    <s v="N/A"/>
    <n v="1"/>
    <s v="Order"/>
    <n v="18"/>
    <s v="N/A"/>
    <n v="6.29"/>
    <n v="113.22"/>
    <d v="2020-03-23T00:00:00"/>
    <s v="Ship to FAS Warehouse. Attn: Mike Wong. Delivery from Northern California. "/>
    <s v="FAS"/>
    <s v="K0004948"/>
    <m/>
    <s v="Yes"/>
    <n v="18"/>
    <s v="KI-00018340"/>
    <d v="2020-04-16T00:00:00"/>
    <m/>
    <m/>
    <m/>
    <m/>
    <m/>
    <m/>
    <n v="0"/>
    <x v="0"/>
    <m/>
    <m/>
    <d v="2020-03-23T00:00:00"/>
    <m/>
    <m/>
    <m/>
    <m/>
  </r>
  <r>
    <d v="2020-03-17T00:00:00"/>
    <s v="Keeney's"/>
    <s v="Hand Soap"/>
    <s v="SOAP,FOAMING HAND WASH,LV"/>
    <s v="MTH00363"/>
    <n v="10"/>
    <n v="120"/>
    <n v="12"/>
    <s v="Bottles"/>
    <s v="N/A"/>
    <s v="N/A"/>
    <n v="1"/>
    <s v="Order"/>
    <n v="12"/>
    <s v="N/A"/>
    <n v="6.29"/>
    <n v="75.48"/>
    <d v="2020-03-23T00:00:00"/>
    <s v="Ship to FAS Warehouse. Attn: Mike Wong. Delivery from Northern California. "/>
    <s v="FAS"/>
    <s v="K0004948"/>
    <m/>
    <s v="Yes"/>
    <n v="12"/>
    <s v="KI-00018340"/>
    <d v="2020-04-16T00:00:00"/>
    <m/>
    <m/>
    <m/>
    <m/>
    <m/>
    <m/>
    <n v="0"/>
    <x v="0"/>
    <m/>
    <m/>
    <d v="2020-03-23T00:00:00"/>
    <m/>
    <m/>
    <m/>
    <m/>
  </r>
  <r>
    <d v="2020-03-17T00:00:00"/>
    <s v="Keeney's"/>
    <s v="Hand Soap"/>
    <s v="SOAP,FOAMING HAND WASH,LE "/>
    <s v="MTH00362"/>
    <n v="10"/>
    <n v="90"/>
    <n v="9"/>
    <s v="Bottles"/>
    <s v="N/A"/>
    <s v="N/A"/>
    <n v="1"/>
    <s v="Order"/>
    <n v="9"/>
    <s v="N/A"/>
    <n v="6.29"/>
    <n v="56.61"/>
    <d v="2020-03-23T00:00:00"/>
    <s v="Ship to FAS Warehouse. Attn: Mike Wong. Delivery from Northern California. "/>
    <s v="FAS"/>
    <s v="K0004948"/>
    <m/>
    <s v="Yes"/>
    <n v="9"/>
    <s v="KI-00018340"/>
    <d v="2020-04-16T00:00:00"/>
    <m/>
    <m/>
    <m/>
    <m/>
    <m/>
    <m/>
    <n v="0"/>
    <x v="0"/>
    <m/>
    <m/>
    <d v="2020-03-23T00:00:00"/>
    <m/>
    <m/>
    <m/>
    <m/>
  </r>
  <r>
    <d v="2020-03-17T00:00:00"/>
    <s v="Keeney's"/>
    <s v="Hand Soap"/>
    <s v="SOAP,FOAMING HAND WASH,CR "/>
    <s v="MTH00361"/>
    <n v="10"/>
    <n v="80"/>
    <n v="8"/>
    <s v="Bottles"/>
    <s v="N/A"/>
    <s v="N/A"/>
    <n v="1"/>
    <s v="Order"/>
    <n v="8"/>
    <s v="N/A"/>
    <n v="6.29"/>
    <n v="50.32"/>
    <d v="2020-03-23T00:00:00"/>
    <s v="Ship to FAS Warehouse. Attn: Mike Wong. Delivery from Northern California. "/>
    <s v="FAS"/>
    <s v="K0004948"/>
    <m/>
    <s v="Yes"/>
    <n v="8"/>
    <s v="KI-00018340"/>
    <d v="2020-04-16T00:00:00"/>
    <m/>
    <m/>
    <m/>
    <m/>
    <m/>
    <m/>
    <n v="0"/>
    <x v="0"/>
    <m/>
    <m/>
    <d v="2020-03-23T00:00:00"/>
    <m/>
    <m/>
    <m/>
    <m/>
  </r>
  <r>
    <d v="2020-03-17T00:00:00"/>
    <s v="Keeney's"/>
    <s v="Hand Soap"/>
    <s v="SOAP,FOAMING HAND WASH,CR "/>
    <s v="MTH00361"/>
    <n v="10"/>
    <n v="60"/>
    <n v="6"/>
    <s v="Bottles"/>
    <s v="N/A"/>
    <s v="N/A"/>
    <n v="1"/>
    <s v="Order"/>
    <n v="6"/>
    <s v="N/A"/>
    <n v="6.29"/>
    <n v="37.74"/>
    <d v="2020-03-23T00:00:00"/>
    <s v="Ship to FAS Warehouse. Attn: Mike Wong. Delivery from Northern California. "/>
    <s v="FAS"/>
    <s v="K0004948"/>
    <m/>
    <s v="Yes"/>
    <n v="6"/>
    <s v="KI-00018340"/>
    <d v="2020-04-16T00:00:00"/>
    <m/>
    <m/>
    <m/>
    <m/>
    <m/>
    <m/>
    <n v="0"/>
    <x v="0"/>
    <m/>
    <m/>
    <d v="2020-03-23T00:00:00"/>
    <m/>
    <m/>
    <m/>
    <m/>
  </r>
  <r>
    <d v="2020-03-17T00:00:00"/>
    <s v="Keeney's"/>
    <s v="Hand Soap"/>
    <s v="SOAP,FMG,HANDWSH,PINKGP"/>
    <s v="MTH01361EA "/>
    <n v="10"/>
    <n v="60"/>
    <n v="6"/>
    <s v="Bottles"/>
    <s v="N/A"/>
    <s v="N/A"/>
    <n v="1"/>
    <s v="Order"/>
    <n v="6"/>
    <s v="N/A"/>
    <n v="6.29"/>
    <n v="37.74"/>
    <d v="2020-03-23T00:00:00"/>
    <s v="Ship to FAS Warehouse. Attn: Mike Wong. Delivery from Northern California. "/>
    <s v="FAS"/>
    <s v="K0004948"/>
    <m/>
    <s v="Yes"/>
    <n v="6"/>
    <s v="KI-00018340"/>
    <d v="2020-04-16T00:00:00"/>
    <m/>
    <m/>
    <m/>
    <m/>
    <m/>
    <m/>
    <n v="0"/>
    <x v="0"/>
    <m/>
    <m/>
    <d v="2020-03-23T00:00:00"/>
    <m/>
    <m/>
    <m/>
    <m/>
  </r>
  <r>
    <d v="2020-03-17T00:00:00"/>
    <s v="Keeney's"/>
    <s v="Hand Soap"/>
    <s v="SOAP,FOAM,10OZ,6/CS "/>
    <s v="MTH00363CT"/>
    <n v="10"/>
    <n v="60"/>
    <n v="6"/>
    <s v="Bottles"/>
    <s v="N/A"/>
    <s v="N/A"/>
    <n v="1"/>
    <s v="Case"/>
    <n v="6"/>
    <s v="N/A"/>
    <n v="34.19"/>
    <n v="34.19"/>
    <d v="2020-03-23T00:00:00"/>
    <s v="Ship to FAS Warehouse. Attn: Mike Wong. Delivery from Northern California. "/>
    <s v="FAS"/>
    <s v="K0004948"/>
    <m/>
    <s v="Yes"/>
    <n v="1"/>
    <s v="KI-00017934"/>
    <d v="2020-03-24T00:00:00"/>
    <m/>
    <m/>
    <m/>
    <m/>
    <m/>
    <m/>
    <n v="0"/>
    <x v="0"/>
    <m/>
    <m/>
    <d v="2020-03-23T00:00:00"/>
    <m/>
    <m/>
    <m/>
    <m/>
  </r>
  <r>
    <d v="2020-03-17T00:00:00"/>
    <s v="Keeney's"/>
    <s v="Paper Towels"/>
    <s v="Boardwalk® C-Fold Paper Towels, Bleached White, 200 Sheets/Pack, 12 Packs/Carton"/>
    <s v="BWK6220 "/>
    <s v="N/A"/>
    <s v="N/A"/>
    <n v="200"/>
    <s v="Sheets"/>
    <n v="12"/>
    <s v="Pack"/>
    <n v="1"/>
    <s v="Case"/>
    <n v="2400"/>
    <n v="12"/>
    <n v="20.48"/>
    <n v="20.48"/>
    <d v="2020-03-23T00:00:00"/>
    <s v="Ship to FAS Warehouse. Attn: Mike Wong. Delivery from Northern California. "/>
    <s v="FAS"/>
    <s v="K0004948"/>
    <m/>
    <s v="Yes"/>
    <n v="1"/>
    <s v="KI-00018340"/>
    <d v="2020-04-16T00:00:00"/>
    <m/>
    <m/>
    <m/>
    <m/>
    <m/>
    <m/>
    <n v="0"/>
    <x v="0"/>
    <m/>
    <m/>
    <d v="2020-03-23T00:00:00"/>
    <m/>
    <m/>
    <m/>
    <m/>
  </r>
  <r>
    <d v="2020-03-17T00:00:00"/>
    <s v="Keeney's"/>
    <s v="Hand Soap"/>
    <s v="SOAP,FOAMING HAND WASH,LE "/>
    <s v="MTH00362"/>
    <n v="10"/>
    <n v="30"/>
    <n v="3"/>
    <s v="Bottles"/>
    <s v="N/A"/>
    <s v="N/A"/>
    <n v="1"/>
    <s v="Order"/>
    <n v="3"/>
    <s v="N/A"/>
    <n v="6.29"/>
    <n v="18.87"/>
    <d v="2020-03-23T00:00:00"/>
    <s v="Ship to FAS Warehouse. Attn: Mike Wong. Delivery from Northern California. "/>
    <s v="FAS"/>
    <s v="K0004948"/>
    <m/>
    <s v="Yes"/>
    <n v="3"/>
    <s v="KI-00018340"/>
    <d v="2020-04-16T00:00:00"/>
    <m/>
    <m/>
    <m/>
    <m/>
    <m/>
    <m/>
    <n v="0"/>
    <x v="0"/>
    <m/>
    <m/>
    <d v="2020-03-23T00:00:00"/>
    <m/>
    <m/>
    <m/>
    <m/>
  </r>
  <r>
    <d v="2020-03-17T00:00:00"/>
    <s v="Keeney's"/>
    <s v="Hand Soap"/>
    <s v="SOAP,FMG,HANDWSH,PINKGP"/>
    <s v="MTH01361EA "/>
    <n v="10"/>
    <n v="30"/>
    <n v="3"/>
    <s v="Bottles"/>
    <s v="N/A"/>
    <s v="N/A"/>
    <n v="1"/>
    <s v="Order"/>
    <n v="3"/>
    <s v="N/A"/>
    <n v="6.29"/>
    <n v="18.87"/>
    <d v="2020-03-23T00:00:00"/>
    <s v="Ship to FAS Warehouse. Attn: Mike Wong. Delivery from Northern California. "/>
    <s v="FAS"/>
    <s v="K0004948"/>
    <m/>
    <s v="Yes"/>
    <n v="3"/>
    <s v="KI-00018340"/>
    <d v="2020-04-16T00:00:00"/>
    <m/>
    <m/>
    <m/>
    <m/>
    <m/>
    <m/>
    <n v="0"/>
    <x v="0"/>
    <m/>
    <m/>
    <d v="2020-03-23T00:00:00"/>
    <m/>
    <m/>
    <m/>
    <m/>
  </r>
  <r>
    <d v="2020-03-17T00:00:00"/>
    <s v="Keeney's"/>
    <s v="Hand Soap"/>
    <s v="SOAP,FOAMING HAND WASH,CR "/>
    <s v="MTH00361"/>
    <n v="10"/>
    <n v="10"/>
    <n v="1"/>
    <s v="Bottles"/>
    <s v="N/A"/>
    <s v="N/A"/>
    <n v="1"/>
    <s v="Order"/>
    <n v="1"/>
    <s v="N/A"/>
    <n v="6.29"/>
    <n v="6.29"/>
    <d v="2020-03-23T00:00:00"/>
    <s v="Ship to FAS Warehouse. Attn: Mike Wong. Delivery from Northern California. "/>
    <s v="FAS"/>
    <s v="K0004948"/>
    <m/>
    <s v="Yes"/>
    <n v="1"/>
    <s v="KI-00018340"/>
    <d v="2020-04-16T00:00:00"/>
    <m/>
    <m/>
    <m/>
    <m/>
    <m/>
    <m/>
    <n v="0"/>
    <x v="0"/>
    <m/>
    <m/>
    <d v="2020-03-23T00:00:00"/>
    <m/>
    <m/>
    <m/>
    <m/>
  </r>
  <r>
    <d v="2020-03-17T00:00:00"/>
    <s v="Keeney's"/>
    <s v="Hand Soap"/>
    <s v="SOAP,FOAM,12OZ,6/CS"/>
    <s v="MTH00362CT"/>
    <n v="12"/>
    <n v="72"/>
    <n v="6"/>
    <s v="Bottles"/>
    <s v="N/A"/>
    <s v="N/A"/>
    <n v="1"/>
    <s v="Case"/>
    <n v="6"/>
    <s v="N/A"/>
    <m/>
    <n v="0"/>
    <d v="2020-03-23T00:00:00"/>
    <s v="Ship to FAS Warehouse. Attn: Mike Wong. Delivery from Northern California. "/>
    <s v="FAS"/>
    <s v="K0004948"/>
    <m/>
    <s v="Yes"/>
    <n v="1"/>
    <s v="KI-00018340"/>
    <d v="2020-04-16T00:00:00"/>
    <m/>
    <m/>
    <m/>
    <m/>
    <m/>
    <m/>
    <n v="0"/>
    <x v="0"/>
    <m/>
    <m/>
    <d v="2020-03-23T00:00:00"/>
    <m/>
    <m/>
    <m/>
    <m/>
  </r>
  <r>
    <d v="2020-03-25T00:00:00"/>
    <s v="Western Safety"/>
    <s v="Visor"/>
    <s v="Full Leght Visor w/Velcro"/>
    <s v="208D"/>
    <s v="N/A"/>
    <s v="N/A"/>
    <n v="200"/>
    <s v="Each"/>
    <s v="N/A"/>
    <s v="N/A"/>
    <n v="1"/>
    <s v="Order"/>
    <n v="200"/>
    <s v="N/A"/>
    <n v="2.95"/>
    <n v="590"/>
    <d v="2020-03-26T00:00:00"/>
    <s v="Ship to FAS Warehouse. Attn: Mike Wong."/>
    <s v="FAS"/>
    <s v="189410-0"/>
    <m/>
    <s v="Yes"/>
    <n v="200"/>
    <s v="189410-1"/>
    <d v="2020-05-13T00:00:00"/>
    <m/>
    <m/>
    <m/>
    <m/>
    <m/>
    <m/>
    <n v="0"/>
    <x v="0"/>
    <m/>
    <m/>
    <d v="2020-03-26T00:00:00"/>
    <s v="Received 200 no date (PS 189410-1)"/>
    <m/>
    <m/>
    <m/>
  </r>
  <r>
    <d v="2020-03-11T00:00:00"/>
    <s v="Reliable Paper"/>
    <s v="Hand Sanitizer"/>
    <s v="Dermi-gel - 55 gallon drums"/>
    <s v="2097-55"/>
    <n v="7040"/>
    <n v="14080"/>
    <n v="1"/>
    <s v="Drum"/>
    <s v="N/A"/>
    <s v="N/A"/>
    <n v="2"/>
    <s v="Case"/>
    <n v="2"/>
    <s v="N/A"/>
    <n v="1512.5"/>
    <n v="3025"/>
    <d v="2020-03-27T00:00:00"/>
    <s v="Ship to FAS Warehouse. Attn: Mike Wong"/>
    <s v="FAS"/>
    <n v="14953"/>
    <m/>
    <s v="No"/>
    <m/>
    <m/>
    <m/>
    <m/>
    <m/>
    <m/>
    <m/>
    <m/>
    <m/>
    <n v="2"/>
    <x v="6"/>
    <s v="Bottle"/>
    <n v="1173.3333333333333"/>
    <d v="2020-03-27T00:00:00"/>
    <m/>
    <m/>
    <m/>
    <m/>
  </r>
  <r>
    <d v="2020-03-20T00:00:00"/>
    <s v="Ballard Hospitality"/>
    <s v="Surgical Mask"/>
    <s v="Face Mask, Protekcia Softech Barrier Protection"/>
    <s v="CUP04"/>
    <s v="N/A"/>
    <s v="N/A"/>
    <n v="100000"/>
    <s v="Masks"/>
    <s v="N/A"/>
    <s v="N/A"/>
    <n v="1"/>
    <s v="Order"/>
    <n v="100000"/>
    <s v="N/A"/>
    <n v="4.05"/>
    <n v="405000"/>
    <d v="2020-03-27T00:00:00"/>
    <s v="Ship to FAS Warehouse. Attn: Mike Wong."/>
    <s v="FAS"/>
    <s v="FA0-0000000037"/>
    <m/>
    <s v="Yes"/>
    <n v="100000"/>
    <s v="BH001"/>
    <d v="2020-04-14T00:00:00"/>
    <m/>
    <m/>
    <m/>
    <m/>
    <m/>
    <m/>
    <n v="0"/>
    <x v="0"/>
    <m/>
    <m/>
    <d v="2020-03-27T00:00:00"/>
    <s v="Received 100,000 on 04/10/20"/>
    <m/>
    <m/>
    <m/>
  </r>
  <r>
    <d v="2020-03-05T00:00:00"/>
    <s v="CPR Savers"/>
    <s v="Surgical Mask"/>
    <s v="Procedure Face Mask - with Ear Loop Blue (SINGLE)"/>
    <s v="2201-EA"/>
    <s v="N/A"/>
    <s v="N/A"/>
    <n v="5500"/>
    <s v="Masks"/>
    <s v="N/A"/>
    <s v="N/A"/>
    <n v="1"/>
    <s v="Case"/>
    <n v="5500"/>
    <s v="N/A"/>
    <n v="1.39"/>
    <n v="7644.9999999999991"/>
    <d v="2020-04-03T00:00:00"/>
    <s v="Ship to FAS Warehouse. Attn: Mike Wong. Shipping from AZ."/>
    <s v="FAS"/>
    <s v="1025986; FA0-0000000036"/>
    <m/>
    <s v="Yes"/>
    <n v="5500"/>
    <n v="1025986"/>
    <d v="2020-04-16T00:00:00"/>
    <m/>
    <m/>
    <m/>
    <m/>
    <m/>
    <m/>
    <n v="0"/>
    <x v="0"/>
    <m/>
    <m/>
    <d v="2020-04-03T00:00:00"/>
    <m/>
    <m/>
    <m/>
    <m/>
  </r>
  <r>
    <d v="2020-03-13T00:00:00"/>
    <s v="Grainger"/>
    <s v="N-95 No Filter"/>
    <s v="Disposable Respirator, N95, Universal, PK20, 3M 8210"/>
    <s v="3KP43"/>
    <s v="N/A"/>
    <s v="N/A"/>
    <n v="20"/>
    <s v="Masks"/>
    <n v="100"/>
    <s v="Box"/>
    <n v="1"/>
    <s v="Order"/>
    <n v="2000"/>
    <n v="100"/>
    <n v="11.65"/>
    <n v="1165"/>
    <d v="2020-04-14T00:00:00"/>
    <s v="No confirmed delivery or ship date per David S. "/>
    <s v="FAS"/>
    <n v="43942923"/>
    <m/>
    <s v="No"/>
    <n v="22"/>
    <n v="9464107359"/>
    <d v="2020-04-01T00:00:00"/>
    <m/>
    <m/>
    <m/>
    <m/>
    <m/>
    <m/>
    <n v="78"/>
    <x v="7"/>
    <s v="Each"/>
    <n v="1560"/>
    <d v="2020-04-14T00:00:00"/>
    <m/>
    <m/>
    <m/>
    <m/>
  </r>
  <r>
    <d v="2020-03-19T00:00:00"/>
    <s v="Western Safety"/>
    <s v="N-95 Filter"/>
    <s v="N95 Masks w/ valve "/>
    <n v="8511"/>
    <s v="N/A"/>
    <s v="N/A"/>
    <n v="10"/>
    <s v="Masks"/>
    <n v="96"/>
    <s v="Box"/>
    <n v="1"/>
    <s v="Order"/>
    <n v="960"/>
    <n v="96"/>
    <n v="20.95"/>
    <m/>
    <s v="TBD"/>
    <s v="Ship to FAS Warehouse. Attn: Mike Wong."/>
    <s v="FAS"/>
    <s v="189124-0"/>
    <m/>
    <s v="Cancelled"/>
    <m/>
    <m/>
    <m/>
    <m/>
    <m/>
    <m/>
    <m/>
    <m/>
    <m/>
    <m/>
    <x v="7"/>
    <s v="Each"/>
    <m/>
    <m/>
    <m/>
    <m/>
    <m/>
    <m/>
  </r>
  <r>
    <d v="2020-03-19T00:00:00"/>
    <s v="Western Safety"/>
    <s v="N-95 No Filter"/>
    <s v="N95 Masks w/o valve "/>
    <n v="8210"/>
    <s v="N/A"/>
    <s v="N/A"/>
    <n v="20"/>
    <s v="Masks"/>
    <n v="96"/>
    <s v="Box"/>
    <n v="1"/>
    <s v="Order"/>
    <n v="1920"/>
    <n v="96"/>
    <n v="15.95"/>
    <n v="1531.1999999999998"/>
    <d v="2020-04-19T00:00:00"/>
    <s v="Ship to FAS Warehouse. Attn: Mike Wong."/>
    <s v="FAS"/>
    <s v="189125-0"/>
    <m/>
    <s v="Yes"/>
    <n v="96"/>
    <s v="189125-1"/>
    <d v="2020-04-27T00:00:00"/>
    <m/>
    <m/>
    <m/>
    <m/>
    <m/>
    <m/>
    <n v="0"/>
    <x v="7"/>
    <s v="Each"/>
    <n v="0"/>
    <d v="2020-04-19T00:00:00"/>
    <m/>
    <m/>
    <m/>
    <m/>
  </r>
  <r>
    <d v="2020-03-13T00:00:00"/>
    <s v="Western Safety"/>
    <s v="Gloves - L"/>
    <s v="Uniseal - 5mil - large"/>
    <s v="094-8-L"/>
    <s v="N/A"/>
    <s v="N/A"/>
    <n v="100"/>
    <s v="Pairs"/>
    <n v="2000"/>
    <s v="Box"/>
    <n v="1"/>
    <s v="Order"/>
    <n v="200000"/>
    <n v="2000"/>
    <n v="6.5"/>
    <n v="13000"/>
    <s v="TBD"/>
    <s v="Ship to FAS Warehouse. Attn: Mike Wong"/>
    <s v="FAS"/>
    <s v="188944-0"/>
    <m/>
    <s v="Yes"/>
    <n v="2000"/>
    <s v="188944-1"/>
    <d v="2020-05-11T00:00:00"/>
    <m/>
    <m/>
    <m/>
    <m/>
    <m/>
    <m/>
    <n v="0"/>
    <x v="1"/>
    <s v="Pair"/>
    <n v="0"/>
    <d v="2035-12-31T00:00:00"/>
    <m/>
    <m/>
    <m/>
    <m/>
  </r>
  <r>
    <d v="2020-03-13T00:00:00"/>
    <s v="Western Safety"/>
    <s v="Gloves - M"/>
    <s v="Uniseal - 5mil - medium"/>
    <s v="094-7-M"/>
    <s v="N/A"/>
    <s v="N/A"/>
    <n v="100"/>
    <s v="Pairs"/>
    <n v="1000"/>
    <s v="Box"/>
    <n v="1"/>
    <s v="Order"/>
    <n v="100000"/>
    <n v="1000"/>
    <n v="6.5"/>
    <n v="6500"/>
    <s v="TBD"/>
    <s v="Ship to FAS Warehouse. Attn: Mike Wong"/>
    <s v="FAS"/>
    <s v="188944-0"/>
    <m/>
    <s v="Yes"/>
    <n v="1000"/>
    <s v="188944-1"/>
    <d v="2020-05-11T00:00:00"/>
    <m/>
    <m/>
    <m/>
    <m/>
    <m/>
    <m/>
    <n v="0"/>
    <x v="1"/>
    <s v="Pair"/>
    <n v="0"/>
    <d v="2035-12-31T00:00:00"/>
    <m/>
    <m/>
    <m/>
    <m/>
  </r>
  <r>
    <d v="2020-03-13T00:00:00"/>
    <s v="Western Safety"/>
    <s v="Gloves - S"/>
    <s v="Uniseal - 5mil - small"/>
    <s v="094-6-S"/>
    <s v="N/A"/>
    <s v="N/A"/>
    <n v="100"/>
    <s v="Pairs"/>
    <n v="1000"/>
    <s v="Box"/>
    <n v="1"/>
    <s v="Order"/>
    <n v="100000"/>
    <n v="1000"/>
    <n v="6.5"/>
    <n v="6500"/>
    <s v="TBD"/>
    <s v="Ship to FAS Warehouse. Attn: Mike Wong"/>
    <s v="FAS"/>
    <s v="188944-0"/>
    <m/>
    <s v="Yes"/>
    <n v="1000"/>
    <s v="188944-1"/>
    <d v="2020-05-11T00:00:00"/>
    <m/>
    <m/>
    <m/>
    <m/>
    <m/>
    <m/>
    <n v="0"/>
    <x v="1"/>
    <s v="Pair"/>
    <n v="0"/>
    <d v="2035-12-31T00:00:00"/>
    <m/>
    <m/>
    <m/>
    <m/>
  </r>
  <r>
    <d v="2020-03-13T00:00:00"/>
    <s v="Western Safety"/>
    <s v="Gloves - XL"/>
    <s v="Uniseal - 5mil - x-large"/>
    <s v="094-9-XL"/>
    <s v="N/A"/>
    <s v="N/A"/>
    <n v="100"/>
    <s v="Pairs"/>
    <n v="2000"/>
    <s v="Box"/>
    <n v="1"/>
    <s v="Order"/>
    <n v="200000"/>
    <n v="2000"/>
    <n v="6.5"/>
    <n v="13000"/>
    <s v="TBD"/>
    <s v="Ship to FAS Warehouse. Attn: Mike Wong"/>
    <s v="FAS"/>
    <s v="188944-0"/>
    <m/>
    <s v="Yes"/>
    <n v="2000"/>
    <s v="188944-1"/>
    <d v="2020-05-11T00:00:00"/>
    <m/>
    <m/>
    <m/>
    <m/>
    <m/>
    <m/>
    <n v="0"/>
    <x v="1"/>
    <s v="Pair"/>
    <n v="0"/>
    <d v="2035-12-31T00:00:00"/>
    <m/>
    <m/>
    <m/>
    <m/>
  </r>
  <r>
    <d v="2020-03-10T00:00:00"/>
    <s v="Western Safety"/>
    <s v="Hand Sanitizer"/>
    <s v="Avant - 1 gallon drum, 4 drums/case"/>
    <s v="12089-128-FF"/>
    <n v="128"/>
    <n v="16384"/>
    <n v="4"/>
    <s v="Drum"/>
    <s v="N/A"/>
    <s v="N/A"/>
    <n v="32"/>
    <s v="Case"/>
    <n v="128"/>
    <s v="N/A"/>
    <n v="39.1"/>
    <n v="5004.8"/>
    <s v="TBD"/>
    <s v="Ship to FAS Warehouse. Attn: Mike Wong. 3/10 - shipping from Western Safety inventory when it arrives"/>
    <s v="FAS"/>
    <s v="188691-0"/>
    <m/>
    <s v="Yes"/>
    <n v="116"/>
    <s v="188691-1"/>
    <d v="2020-04-01T00:00:00"/>
    <n v="12"/>
    <s v="188691-2"/>
    <d v="2020-05-01T00:00:00"/>
    <m/>
    <m/>
    <m/>
    <n v="0"/>
    <x v="6"/>
    <s v="Bottle"/>
    <n v="0"/>
    <d v="2035-12-31T00:00:00"/>
    <s v="Received 116 on 03/23/20 (PS 188691-1). Received 12 on 04/01/20 (PS 188691-2)"/>
    <m/>
    <m/>
    <m/>
  </r>
  <r>
    <d v="2020-03-10T00:00:00"/>
    <s v="Western Safety"/>
    <s v="Hand Sanitizer"/>
    <s v="Avant - 2 oz."/>
    <s v="12089-2FF"/>
    <n v="2"/>
    <n v="3814"/>
    <n v="1907"/>
    <s v="Bottles"/>
    <s v="N/A"/>
    <s v="N/A"/>
    <n v="1"/>
    <s v="Order"/>
    <n v="1907"/>
    <s v="N/A"/>
    <n v="1.75"/>
    <n v="3337.25"/>
    <s v="TBD"/>
    <s v="Ship to FAS Warehouse. Attn: Mike Wong. 3/10 - shipping from Western Safety inventory when it arrives"/>
    <s v="FAS"/>
    <s v="188691-0"/>
    <m/>
    <s v="Yes"/>
    <n v="1907"/>
    <s v="188691-1"/>
    <d v="2020-04-01T00:00:00"/>
    <m/>
    <m/>
    <m/>
    <m/>
    <m/>
    <m/>
    <n v="0"/>
    <x v="0"/>
    <m/>
    <m/>
    <d v="2035-12-31T00:00:00"/>
    <m/>
    <m/>
    <m/>
    <m/>
  </r>
  <r>
    <d v="2020-03-10T00:00:00"/>
    <s v="Western Safety"/>
    <s v="Hand Sanitizer"/>
    <s v="Avant - 16 oz. "/>
    <s v="12089-16-FF"/>
    <n v="16"/>
    <n v="7216"/>
    <n v="12"/>
    <s v="Bottles"/>
    <s v="N/A"/>
    <s v="N/A"/>
    <n v="37.583333333333336"/>
    <s v="Case"/>
    <n v="451"/>
    <s v="N/A"/>
    <n v="6.15"/>
    <n v="2773.65"/>
    <s v="TBD"/>
    <s v="Ship to FAS Warehouse. Attn: Mike Wong. 3/10 - shipping from Western Safety inventory when it arrives"/>
    <s v="FAS"/>
    <s v="188683-0"/>
    <m/>
    <s v="Yes"/>
    <n v="432"/>
    <s v="188683-1"/>
    <d v="2020-05-12T00:00:00"/>
    <m/>
    <m/>
    <m/>
    <m/>
    <m/>
    <m/>
    <n v="0"/>
    <x v="6"/>
    <s v="Bottle"/>
    <n v="0"/>
    <d v="2035-12-31T00:00:00"/>
    <s v="Received 432 on 3/19/20 (PS 188683-1) Missing 19"/>
    <s v="Yes"/>
    <s v="Yes"/>
    <m/>
  </r>
  <r>
    <d v="2020-03-10T00:00:00"/>
    <s v="Western Safety"/>
    <s v="Tyvek H-XXL"/>
    <s v="HEWA - coveralls - XXL - w/elastic wrist and ankle bands with hood"/>
    <s v="01428-2X"/>
    <s v="N/A"/>
    <s v="N/A"/>
    <n v="200"/>
    <s v="Each"/>
    <s v="N/A"/>
    <s v="N/A"/>
    <n v="1"/>
    <s v="Order"/>
    <n v="200"/>
    <s v="N/A"/>
    <n v="6.04"/>
    <n v="1208"/>
    <s v="TBD"/>
    <s v="Ship to FAS Warehouse. Attn: Mike Wong"/>
    <s v="FAS"/>
    <s v="188698-0"/>
    <m/>
    <s v="Yes"/>
    <n v="200"/>
    <s v="188683-1"/>
    <d v="2020-03-25T00:00:00"/>
    <m/>
    <m/>
    <m/>
    <m/>
    <m/>
    <m/>
    <n v="0"/>
    <x v="0"/>
    <m/>
    <m/>
    <d v="2035-12-31T00:00:00"/>
    <m/>
    <m/>
    <m/>
    <m/>
  </r>
  <r>
    <d v="2020-03-10T00:00:00"/>
    <s v="Western Safety"/>
    <s v="Tyvek H-XL"/>
    <s v="HEWA - coveralls - XL - w/elastic wrist and ankle bands with hood"/>
    <s v="01428-XL"/>
    <s v="N/A"/>
    <s v="N/A"/>
    <n v="200"/>
    <s v="Each"/>
    <s v="N/A"/>
    <s v="N/A"/>
    <n v="1"/>
    <s v="Order"/>
    <n v="200"/>
    <s v="N/A"/>
    <n v="5.8"/>
    <n v="1160"/>
    <s v="TBD"/>
    <s v="Ship to FAS Warehouse. Attn: Mike Wong"/>
    <s v="FAS"/>
    <s v="188698-0"/>
    <m/>
    <s v="Yes"/>
    <n v="200"/>
    <s v="188698-1"/>
    <d v="2020-03-25T00:00:00"/>
    <m/>
    <m/>
    <m/>
    <m/>
    <m/>
    <m/>
    <n v="0"/>
    <x v="0"/>
    <m/>
    <m/>
    <d v="2035-12-31T00:00:00"/>
    <m/>
    <m/>
    <m/>
    <m/>
  </r>
  <r>
    <d v="2020-03-11T00:00:00"/>
    <s v="Western Safety"/>
    <s v="Disinfectant Wipes"/>
    <s v="CaviWipes,Toweletts 160/PK, 6x6.75"/>
    <s v="13-1100"/>
    <s v="N/A"/>
    <s v="N/A"/>
    <n v="160"/>
    <s v="Wipes"/>
    <n v="3600"/>
    <s v="Pack"/>
    <n v="1"/>
    <s v="Order"/>
    <n v="576000"/>
    <n v="3600"/>
    <n v="10.5"/>
    <n v="37800"/>
    <s v="TBD"/>
    <s v="Ship to FAS Warehouse. Attn: Mike Wong"/>
    <s v="FAS"/>
    <s v="188758-0"/>
    <m/>
    <s v="Yes"/>
    <n v="1440"/>
    <s v="188758-1"/>
    <d v="2020-04-27T00:00:00"/>
    <n v="2160"/>
    <s v="188758-2"/>
    <d v="2020-05-11T00:00:00"/>
    <m/>
    <m/>
    <m/>
    <n v="0"/>
    <x v="0"/>
    <m/>
    <m/>
    <d v="2035-12-31T00:00:00"/>
    <s v="Received 1,440 on 04/10/20 (PS 188758-1) and Received 2,160 on 4/17/20 (PS 188758-2)"/>
    <m/>
    <m/>
    <m/>
  </r>
  <r>
    <d v="2020-03-11T00:00:00"/>
    <s v="Western Safety"/>
    <s v="Facial Tissue"/>
    <s v="Kleenex Facial Tissue - 48 boxes per case"/>
    <n v="21606"/>
    <s v="N/A"/>
    <s v="N/A"/>
    <n v="125"/>
    <s v="Sheets"/>
    <n v="48"/>
    <s v="Box"/>
    <n v="160"/>
    <s v="Case"/>
    <n v="960000"/>
    <n v="7680"/>
    <n v="88"/>
    <n v="14080"/>
    <d v="2020-03-25T00:00:00"/>
    <s v="Ship to FAS Warehouse. Attn: Mike Wong. In stock, drop ship from manufacturer"/>
    <s v="FAS"/>
    <s v="188687-0"/>
    <m/>
    <s v="No"/>
    <n v="154"/>
    <s v="188687-2"/>
    <d v="2020-05-11T00:00:00"/>
    <m/>
    <m/>
    <m/>
    <m/>
    <m/>
    <m/>
    <n v="6"/>
    <x v="4"/>
    <s v="Box"/>
    <n v="0"/>
    <d v="2020-03-25T00:00:00"/>
    <s v="Received 160 on 4/14/20 (from Kimberly-Clark Shipment 519213060)"/>
    <m/>
    <m/>
    <m/>
  </r>
  <r>
    <d v="2020-03-11T00:00:00"/>
    <s v="Western Safety"/>
    <s v="Facial Tissue"/>
    <s v="Kleenex Facial Tissue - 48 boxes per case"/>
    <n v="21606"/>
    <s v="N/A"/>
    <s v="N/A"/>
    <n v="125"/>
    <s v="Sheets"/>
    <n v="48"/>
    <s v="Box"/>
    <n v="160"/>
    <s v="Case"/>
    <n v="960000"/>
    <n v="7680"/>
    <n v="88"/>
    <n v="14080"/>
    <s v="TBD"/>
    <s v="Ship to FAS Warehouse. Attn: Mike Wong"/>
    <s v="FAS"/>
    <s v="188785-0"/>
    <m/>
    <s v="Yes"/>
    <n v="160"/>
    <s v="189915-1"/>
    <d v="2020-05-18T00:00:00"/>
    <m/>
    <m/>
    <m/>
    <m/>
    <m/>
    <m/>
    <n v="0"/>
    <x v="0"/>
    <m/>
    <n v="0"/>
    <d v="2035-12-31T00:00:00"/>
    <s v="Received 160 on 4/13/20 (from Kinberly-Clark Shipment 518984038)"/>
    <m/>
    <m/>
    <s v="Only Billed 154 on inv#188687-2"/>
  </r>
  <r>
    <d v="2020-03-11T00:00:00"/>
    <s v="Western Safety"/>
    <s v="Toilet Tissue"/>
    <s v="Cottonelle Professional Bath Tissue - 60 rolls per case"/>
    <n v="17713"/>
    <s v="N/A"/>
    <s v="N/A"/>
    <n v="60"/>
    <s v="Rolls"/>
    <s v="N/A"/>
    <s v="N/A"/>
    <n v="125"/>
    <s v="Case"/>
    <n v="7500"/>
    <s v="N/A"/>
    <n v="78"/>
    <n v="9750"/>
    <d v="2020-03-25T00:00:00"/>
    <s v="Ship to FAS Warehouse. Attn: Mike Wong. In stock, drop ship from manufacturer"/>
    <s v="FAS"/>
    <s v="188687-0"/>
    <m/>
    <s v="Yes"/>
    <n v="125"/>
    <s v="188687-2"/>
    <d v="2020-05-11T00:00:00"/>
    <m/>
    <m/>
    <m/>
    <m/>
    <m/>
    <m/>
    <n v="0"/>
    <x v="0"/>
    <m/>
    <n v="0"/>
    <d v="2020-03-25T00:00:00"/>
    <s v="Received 125 on 4/14/20 (from Kimberly-Clark Shipment 519213060)"/>
    <m/>
    <m/>
    <m/>
  </r>
  <r>
    <d v="2020-03-11T00:00:00"/>
    <s v="Western Safety"/>
    <s v="Toilet Tissue"/>
    <s v="Cottonelle Professional Bath Tissue - 60 rolls per case"/>
    <n v="17713"/>
    <s v="N/A"/>
    <s v="N/A"/>
    <n v="60"/>
    <s v="Rolls"/>
    <s v="N/A"/>
    <s v="N/A"/>
    <n v="125"/>
    <s v="Case"/>
    <n v="7500"/>
    <s v="N/A"/>
    <n v="78"/>
    <n v="9750"/>
    <s v="TBD"/>
    <s v="Ship to FAS Warehouse. Attn: Mike Wong"/>
    <s v="FAS"/>
    <s v="188785-0"/>
    <m/>
    <s v="Yes"/>
    <n v="125"/>
    <s v="188915-1"/>
    <d v="2020-05-18T00:00:00"/>
    <m/>
    <m/>
    <m/>
    <m/>
    <m/>
    <m/>
    <n v="0"/>
    <x v="0"/>
    <m/>
    <n v="0"/>
    <d v="2035-12-31T00:00:00"/>
    <s v="Received 125 on 4/13/20 (from Kimberly-Clark Shipment 518984038)"/>
    <m/>
    <m/>
    <m/>
  </r>
  <r>
    <d v="2020-03-11T00:00:00"/>
    <s v="Western Safety"/>
    <s v="Disinfectant Wipes"/>
    <s v="Lysol Wipes - 35 count"/>
    <n v="81145"/>
    <s v="N/A"/>
    <s v="N/A"/>
    <n v="35"/>
    <s v="Wipes"/>
    <n v="48"/>
    <s v="Tubes"/>
    <n v="1"/>
    <s v="Order"/>
    <n v="1680"/>
    <n v="48"/>
    <n v="8"/>
    <n v="384"/>
    <s v="TBD"/>
    <s v="Ship to FAS Warehouse. Attn: Mike Wong"/>
    <s v="FAS"/>
    <s v="188755-0"/>
    <m/>
    <s v="Yes"/>
    <n v="48"/>
    <s v="188755-1"/>
    <d v="2020-03-25T00:00:00"/>
    <m/>
    <m/>
    <m/>
    <m/>
    <m/>
    <m/>
    <n v="0"/>
    <x v="0"/>
    <m/>
    <m/>
    <d v="2035-12-31T00:00:00"/>
    <m/>
    <m/>
    <m/>
    <m/>
  </r>
  <r>
    <d v="2020-03-11T00:00:00"/>
    <s v="Western Safety"/>
    <s v="Facial Tissue"/>
    <s v="Kleenex Facial Tissue"/>
    <n v="13254"/>
    <s v="N/A"/>
    <s v="N/A"/>
    <n v="120"/>
    <s v="Sheets"/>
    <n v="25"/>
    <s v="Box"/>
    <n v="3"/>
    <s v="Case"/>
    <n v="9000"/>
    <n v="75"/>
    <n v="66"/>
    <n v="198"/>
    <d v="2020-03-25T00:00:00"/>
    <s v="Ship to FAS Warehouse. Attn: Mike Wong. In stock, drop ship from manufacturer"/>
    <s v="FAS"/>
    <s v="188687-0"/>
    <m/>
    <s v="Yes"/>
    <n v="3"/>
    <s v="188687-1"/>
    <d v="2020-05-11T00:00:00"/>
    <m/>
    <m/>
    <m/>
    <m/>
    <m/>
    <m/>
    <n v="0"/>
    <x v="0"/>
    <m/>
    <n v="0"/>
    <d v="2020-03-25T00:00:00"/>
    <s v="Received 3 on 4/14/20 (from Kimberly-Clark Shipment 519213060)"/>
    <m/>
    <m/>
    <m/>
  </r>
  <r>
    <d v="2020-03-11T00:00:00"/>
    <s v="Western Safety"/>
    <s v="Paper Towels"/>
    <s v="Kleenex Premier Folded Towels - 3000 towels per case"/>
    <n v="13254"/>
    <s v="N/A"/>
    <s v="N/A"/>
    <n v="120"/>
    <s v="Sheets"/>
    <n v="25"/>
    <s v="Pack"/>
    <n v="3"/>
    <s v="Case"/>
    <n v="9000"/>
    <n v="75"/>
    <n v="66"/>
    <n v="198"/>
    <s v="TBD"/>
    <s v="Ship to FAS Warehouse. Attn: Mike Wong"/>
    <s v="FAS"/>
    <s v="188785-0"/>
    <m/>
    <s v="Yes"/>
    <n v="3"/>
    <s v="188915-1"/>
    <d v="2020-05-18T00:00:00"/>
    <m/>
    <m/>
    <m/>
    <m/>
    <m/>
    <m/>
    <n v="0"/>
    <x v="0"/>
    <m/>
    <n v="0"/>
    <d v="2035-12-31T00:00:00"/>
    <s v="Received 3 on 4/13/20 (from Kimberly-Clark Shipment 518984038)"/>
    <m/>
    <m/>
    <m/>
  </r>
  <r>
    <d v="2020-03-11T00:00:00"/>
    <s v="Western Safety"/>
    <s v="Disinfectant Wipes"/>
    <s v=" Hand Sanitizing Wipes- 150 count"/>
    <s v="P43572CT"/>
    <s v="N/A"/>
    <s v="N/A"/>
    <n v="150"/>
    <s v="Wipes"/>
    <n v="12"/>
    <s v="Tubes"/>
    <n v="1"/>
    <s v="Order"/>
    <n v="1800"/>
    <n v="12"/>
    <n v="14.95"/>
    <n v="179.39999999999998"/>
    <s v="TBD"/>
    <s v="Ship to FAS Warehouse. Attn: Mike Wong"/>
    <s v="FAS"/>
    <s v="188755-0"/>
    <m/>
    <s v="Yes"/>
    <n v="12"/>
    <s v="188755-1"/>
    <d v="2020-03-25T00:00:00"/>
    <m/>
    <m/>
    <m/>
    <m/>
    <m/>
    <m/>
    <n v="0"/>
    <x v="0"/>
    <m/>
    <m/>
    <d v="2035-12-31T00:00:00"/>
    <m/>
    <m/>
    <m/>
    <m/>
  </r>
  <r>
    <d v="2020-03-12T00:00:00"/>
    <s v="Keeney's"/>
    <s v="Gloves - M"/>
    <s v="Boardwalk - medium - 100 pair / box"/>
    <s v="BWK380MBX"/>
    <s v="N/A"/>
    <s v="N/A"/>
    <n v="100"/>
    <s v="Pairs"/>
    <n v="10"/>
    <s v="Box"/>
    <n v="81"/>
    <s v="Case"/>
    <n v="8100"/>
    <n v="810"/>
    <n v="10"/>
    <n v="810"/>
    <s v="TBD"/>
    <s v="Ship to FAS Warehouse. Attn: Mike Wong. Shipping from their Baltimore warehouse"/>
    <s v="FAS"/>
    <s v="K0004842"/>
    <s v="04/20/20: Changed from 89 cases to 81 cases. "/>
    <s v="Yes"/>
    <n v="81"/>
    <s v="KI-00017709"/>
    <d v="2020-06-10T00:00:00"/>
    <n v="20"/>
    <s v="KI-00018337"/>
    <d v="2020-06-10T00:00:00"/>
    <m/>
    <m/>
    <m/>
    <n v="0"/>
    <x v="1"/>
    <s v="Pair"/>
    <n v="0"/>
    <d v="2035-12-31T00:00:00"/>
    <s v="Short - Received 51 on 3/13 (PS K0004842-1 shows 81, received 51)"/>
    <s v="Yes"/>
    <s v="No"/>
    <m/>
  </r>
  <r>
    <d v="2020-03-13T00:00:00"/>
    <s v="Western Safety"/>
    <s v="Gloves - L"/>
    <s v="Uniseal black nitrile - large - 6 mil"/>
    <s v="777-8-L"/>
    <s v="N/A"/>
    <s v="N/A"/>
    <n v="100"/>
    <s v="Pairs"/>
    <n v="120"/>
    <s v="Box"/>
    <n v="1"/>
    <s v="Order"/>
    <n v="12000"/>
    <n v="120"/>
    <n v="7.5"/>
    <n v="900"/>
    <d v="2020-03-16T00:00:00"/>
    <s v="Ship to FAS Warehouse. Attn: Mike Wong"/>
    <s v="FAS"/>
    <s v="188887-0"/>
    <m/>
    <s v="Yes"/>
    <n v="120"/>
    <s v="188887-1"/>
    <d v="2020-03-25T00:00:00"/>
    <m/>
    <m/>
    <m/>
    <m/>
    <m/>
    <m/>
    <n v="0"/>
    <x v="0"/>
    <m/>
    <m/>
    <d v="2020-03-16T00:00:00"/>
    <m/>
    <m/>
    <m/>
    <m/>
  </r>
  <r>
    <d v="2020-03-13T00:00:00"/>
    <s v="Western Safety"/>
    <s v="Gloves - M"/>
    <s v="Uniseal black nitrile - medium - 6 mil"/>
    <s v="777-7-M"/>
    <s v="N/A"/>
    <s v="N/A"/>
    <n v="100"/>
    <s v="Pairs"/>
    <n v="115"/>
    <s v="Box"/>
    <n v="1"/>
    <s v="Order"/>
    <n v="11500"/>
    <n v="115"/>
    <n v="7.5"/>
    <n v="862.5"/>
    <d v="2020-03-16T00:00:00"/>
    <s v="Ship to FAS Warehouse. Attn: Mike Wong"/>
    <s v="FAS"/>
    <s v="188887-0"/>
    <m/>
    <s v="Yes"/>
    <n v="115"/>
    <s v="188887-1"/>
    <d v="2020-03-25T00:00:00"/>
    <m/>
    <m/>
    <m/>
    <m/>
    <m/>
    <m/>
    <n v="0"/>
    <x v="0"/>
    <m/>
    <m/>
    <d v="2020-03-16T00:00:00"/>
    <m/>
    <m/>
    <m/>
    <m/>
  </r>
  <r>
    <d v="2020-03-13T00:00:00"/>
    <s v="Western Safety"/>
    <s v="Gloves - S"/>
    <s v="Uniseal black nitrile - Small - 6 mil"/>
    <s v="777-6-S"/>
    <s v="N/A"/>
    <s v="N/A"/>
    <n v="100"/>
    <s v="Pairs"/>
    <n v="39"/>
    <s v="Box"/>
    <n v="1"/>
    <s v="Order"/>
    <n v="3900"/>
    <n v="39"/>
    <n v="7.5"/>
    <n v="292.5"/>
    <d v="2020-03-16T00:00:00"/>
    <s v="Ship to FAS Warehouse. Attn: Mike Wong"/>
    <s v="FAS"/>
    <s v="188887-0"/>
    <m/>
    <s v="Yes"/>
    <n v="39"/>
    <s v="188887-1"/>
    <d v="2020-03-25T00:00:00"/>
    <m/>
    <m/>
    <m/>
    <m/>
    <m/>
    <m/>
    <n v="0"/>
    <x v="0"/>
    <m/>
    <m/>
    <d v="2020-03-16T00:00:00"/>
    <m/>
    <m/>
    <m/>
    <m/>
  </r>
  <r>
    <d v="2020-03-13T00:00:00"/>
    <s v="Western Safety"/>
    <s v="Gloves - XL"/>
    <s v="Uniseal black nitrile - x-large - 6 mil"/>
    <s v="777-9-XL"/>
    <s v="N/A"/>
    <s v="N/A"/>
    <n v="100"/>
    <s v="Pairs"/>
    <n v="140"/>
    <s v="Box"/>
    <n v="1"/>
    <s v="Order"/>
    <n v="14000"/>
    <n v="140"/>
    <n v="7.5"/>
    <n v="1050"/>
    <d v="2020-03-16T00:00:00"/>
    <s v="Ship to FAS Warehouse. Attn: Mike Wong"/>
    <s v="FAS"/>
    <s v="188887-0"/>
    <m/>
    <s v="Yes"/>
    <n v="140"/>
    <s v="188887-1"/>
    <d v="2020-03-25T00:00:00"/>
    <m/>
    <m/>
    <m/>
    <m/>
    <m/>
    <m/>
    <n v="0"/>
    <x v="0"/>
    <m/>
    <m/>
    <d v="2020-03-16T00:00:00"/>
    <m/>
    <m/>
    <m/>
    <m/>
  </r>
  <r>
    <d v="2020-03-16T00:00:00"/>
    <s v="Western Safety"/>
    <s v="Hand Sanitizer"/>
    <s v="Avant - 16 oz. - 12 per case - 834 cases"/>
    <s v="12089-16-FF"/>
    <n v="16"/>
    <n v="160128"/>
    <n v="12"/>
    <s v="Bottles"/>
    <s v="N/A"/>
    <s v="N/A"/>
    <n v="834"/>
    <s v="Case"/>
    <n v="10008"/>
    <s v="N/A"/>
    <n v="6.15"/>
    <n v="61549.200000000004"/>
    <s v="TBD"/>
    <s v="Ship to FAS Warehouse. Attn: Mike Wong"/>
    <s v="Ship to Mt Baker Warehouse"/>
    <s v="188957-0"/>
    <m/>
    <s v="No"/>
    <n v="480"/>
    <s v="188957-2"/>
    <d v="2020-05-12T00:00:00"/>
    <n v="1440"/>
    <s v="188957-3"/>
    <d v="2020-06-15T00:00:00"/>
    <n v="8340"/>
    <s v="188957-4, 188957-5, 188957-6, 188957-7"/>
    <d v="2020-06-02T00:00:00"/>
    <n v="-252"/>
    <x v="6"/>
    <s v="Bottle"/>
    <n v="0"/>
    <d v="2035-12-31T00:00:00"/>
    <s v="Received 480 on 4/27 (PS 188957-2). Received 1,080 on 05/20/20 and received 360 on 05/22/20 (Receiving report 05/22/20 1315 shows the total of both deliveries for a total of 1,440 and is listed on packing slip 188957-3). Received 3240 on 5/29/20 (3 receiving reports and packing slips - 1,080 on 05/29/20 1025 PS 188957-4, 1,080 on 05/29/201120 PS 188957-5, and 1,080 on 05/29/20 1400). // Received 1800 on 06/12/20 (900 on receiving report from 0937 Packing slip 188957-7, and 900 on receiving report from 1050 188957-8). These 1800 were paid on Inv #188957-5 to A/P on 07/08/20. // Received 600 bottles on on 07/07/20 per Mike Wong email at 10:15am - Packing Slip 188957-9. Paid on Inv#188957-6 to A/P on 07/08/20. // Received 225 cases (2700 bottles) on 08/03/2020 at 1000 per receiving report. Paid on inv#188957-7 to A/P on 08/05/20."/>
    <m/>
    <m/>
    <m/>
  </r>
  <r>
    <d v="2020-03-17T00:00:00"/>
    <s v="Western Safety"/>
    <s v="N-95 No Filter"/>
    <s v="3M N95 Respirator 20 per box"/>
    <n v="8210"/>
    <s v="N/A"/>
    <s v="N/A"/>
    <n v="20"/>
    <s v="Masks"/>
    <n v="192"/>
    <s v="Box"/>
    <n v="1"/>
    <s v="Order"/>
    <n v="3840"/>
    <n v="192"/>
    <n v="15.95"/>
    <n v="3062.3999999999996"/>
    <s v="TBD"/>
    <s v="Ship to FAS Warehouse. Attn: Mike Wong. Shipping from their Baltimore warehouse"/>
    <s v="FAS"/>
    <s v="189023-0"/>
    <m/>
    <s v="Yes"/>
    <n v="192"/>
    <s v="189023-1"/>
    <d v="2020-03-25T00:00:00"/>
    <m/>
    <m/>
    <m/>
    <m/>
    <m/>
    <m/>
    <n v="0"/>
    <x v="0"/>
    <m/>
    <m/>
    <d v="2035-12-31T00:00:00"/>
    <m/>
    <m/>
    <m/>
    <m/>
  </r>
  <r>
    <d v="2020-03-17T00:00:00"/>
    <s v="Western Safety"/>
    <s v="N-95 Filter"/>
    <s v="3M N95 Disp DM Mask W/Valve 10"/>
    <n v="8511"/>
    <s v="N/A"/>
    <s v="N/A"/>
    <n v="10"/>
    <s v="Masks"/>
    <n v="96"/>
    <s v="Box"/>
    <n v="1"/>
    <s v="Order"/>
    <n v="960"/>
    <n v="96"/>
    <n v="20.95"/>
    <n v="2011.1999999999998"/>
    <s v="TBD"/>
    <s v="Ship to FAS Warehouse. Attn: Mike Wong. Shipping from their Baltimore warehouse"/>
    <s v="FAS"/>
    <s v="189023-0"/>
    <m/>
    <s v="Yes"/>
    <n v="96"/>
    <s v="189023-1"/>
    <d v="2020-03-25T00:00:00"/>
    <m/>
    <m/>
    <m/>
    <m/>
    <m/>
    <m/>
    <n v="0"/>
    <x v="0"/>
    <m/>
    <m/>
    <d v="2035-12-31T00:00:00"/>
    <m/>
    <m/>
    <m/>
    <m/>
  </r>
  <r>
    <d v="2020-03-20T00:00:00"/>
    <s v="Procurement Services "/>
    <s v="Surgical Mask"/>
    <s v="3Ply Surgical Face Masks"/>
    <s v="3Ply Surgical"/>
    <s v="N/A"/>
    <s v="N/A"/>
    <n v="180000"/>
    <s v="Masks"/>
    <s v="N/A"/>
    <s v="N/A"/>
    <n v="1"/>
    <s v="Order"/>
    <n v="180000"/>
    <s v="N/A"/>
    <n v="1.08"/>
    <n v="194400"/>
    <s v="TBD"/>
    <s v="Ship to FAS Warehouse. Attn: Mike Wong."/>
    <s v="FAS"/>
    <s v="FA0-0000000040"/>
    <m/>
    <s v="Yes"/>
    <n v="180000"/>
    <s v="INV/2020/0002"/>
    <d v="2020-04-24T00:00:00"/>
    <m/>
    <m/>
    <m/>
    <m/>
    <m/>
    <m/>
    <n v="0"/>
    <x v="8"/>
    <s v="Each"/>
    <n v="0"/>
    <d v="2035-12-31T00:00:00"/>
    <s v="Received 180,000 on 04/21/20 (PS from World Class Shipping, signed by Mike wong)."/>
    <m/>
    <m/>
    <m/>
  </r>
  <r>
    <d v="2020-03-20T00:00:00"/>
    <s v="Keeney's"/>
    <s v="Disinfectant Wipes"/>
    <s v="Disinfectant Wipes Clorox "/>
    <s v="CLO15949CT"/>
    <s v="N/A"/>
    <s v="N/A"/>
    <n v="75"/>
    <s v="Wipes"/>
    <n v="6"/>
    <s v="Tubes"/>
    <n v="667"/>
    <s v="Case"/>
    <n v="300150"/>
    <n v="4002"/>
    <n v="5.65"/>
    <m/>
    <d v="2020-06-30T00:00:00"/>
    <s v="Ship to FAS Warehouse. Attn: Mike Wong."/>
    <s v="FAS"/>
    <m/>
    <s v="4/8 - per follow-up with Steven at Keeney's we have 4,000 due in on 4/15 and 4,000 due in on 4/21. This is just projected dates. They are monitoring the situation with their supplier"/>
    <s v="Cancelled"/>
    <m/>
    <m/>
    <m/>
    <m/>
    <m/>
    <m/>
    <m/>
    <m/>
    <m/>
    <m/>
    <x v="0"/>
    <m/>
    <m/>
    <m/>
    <m/>
    <m/>
    <m/>
    <m/>
  </r>
  <r>
    <d v="2020-03-23T00:00:00"/>
    <s v="Western Safety"/>
    <s v="Tyvek H-XXL"/>
    <s v="HEWA Tyvek Coverall SZ 2X - hood elastic wrist and ankle"/>
    <s v="01428-2X"/>
    <s v="N/A"/>
    <s v="N/A"/>
    <n v="200"/>
    <s v="Each"/>
    <s v="N/A"/>
    <s v="N/A"/>
    <n v="1"/>
    <s v="Order"/>
    <n v="200"/>
    <s v="N/A"/>
    <n v="6"/>
    <n v="1200"/>
    <s v="TBD"/>
    <s v="Ship to FAS Warehouse. Attn: Mike Wong."/>
    <s v="FAS"/>
    <s v="189289-0"/>
    <m/>
    <s v="Yes"/>
    <n v="200"/>
    <s v="189289-1"/>
    <d v="2020-05-18T00:00:00"/>
    <m/>
    <m/>
    <m/>
    <m/>
    <m/>
    <m/>
    <n v="0"/>
    <x v="9"/>
    <s v="Each"/>
    <n v="0"/>
    <d v="2035-12-31T00:00:00"/>
    <s v="Delivered to SDOT in error. Signed for by John C / SDOT. Later reached FAS-Centralized Whse."/>
    <m/>
    <m/>
    <m/>
  </r>
  <r>
    <d v="2020-03-23T00:00:00"/>
    <s v="Western Safety"/>
    <s v="Tyvek H-XL"/>
    <s v="HEWA Tyvek Coverall SZ XL - hood elastic wrist and ankle"/>
    <s v="01428-XL"/>
    <s v="N/A"/>
    <s v="N/A"/>
    <n v="200"/>
    <s v="Each"/>
    <s v="N/A"/>
    <s v="N/A"/>
    <n v="1"/>
    <s v="Order"/>
    <n v="200"/>
    <s v="N/A"/>
    <n v="5.8"/>
    <n v="1160"/>
    <s v="TBD"/>
    <s v="Ship to FAS Warehouse. Attn: Mike Wong."/>
    <s v="FAS"/>
    <s v="189289-0"/>
    <m/>
    <s v="Yes"/>
    <n v="200"/>
    <s v="189289-1"/>
    <d v="2020-05-18T00:00:00"/>
    <m/>
    <m/>
    <m/>
    <m/>
    <m/>
    <m/>
    <n v="0"/>
    <x v="9"/>
    <s v="Each"/>
    <n v="0"/>
    <d v="2035-12-31T00:00:00"/>
    <s v="Delivered to SDOT in error. Signed for by John C / SDOT. Later reached FAS-Centralized Whse."/>
    <m/>
    <m/>
    <m/>
  </r>
  <r>
    <d v="2020-03-23T00:00:00"/>
    <s v="Western Safety"/>
    <s v="Tyvek NH-XXL"/>
    <s v="TY125S EWA Tyvek Coverall 2X - elastic wrist and ankle"/>
    <s v="01417-2X"/>
    <s v="N/A"/>
    <s v="N/A"/>
    <n v="200"/>
    <s v="Each"/>
    <s v="N/A"/>
    <s v="N/A"/>
    <n v="1"/>
    <s v="Order"/>
    <n v="200"/>
    <s v="N/A"/>
    <n v="5.45"/>
    <n v="1090"/>
    <s v="TBD"/>
    <s v="Ship to FAS Warehouse. Attn: Mike Wong."/>
    <s v="FAS"/>
    <s v="189288-0"/>
    <m/>
    <s v="Yes"/>
    <n v="200"/>
    <s v="189288-1"/>
    <d v="2020-05-13T00:00:00"/>
    <m/>
    <m/>
    <m/>
    <m/>
    <m/>
    <m/>
    <n v="0"/>
    <x v="0"/>
    <m/>
    <m/>
    <d v="2035-12-31T00:00:00"/>
    <s v="Received 200 on 3/27/20 (PS 189288-1)"/>
    <m/>
    <m/>
    <m/>
  </r>
  <r>
    <d v="2020-03-23T00:00:00"/>
    <s v="Western Safety"/>
    <s v="Tyvek NH-XL"/>
    <s v="TY125S EWA Tyvek Coverall XL - elastic wrist and ankle"/>
    <s v="01417-XL"/>
    <s v="N/A"/>
    <s v="N/A"/>
    <n v="200"/>
    <s v="Each"/>
    <s v="N/A"/>
    <s v="N/A"/>
    <n v="1"/>
    <s v="Order"/>
    <n v="200"/>
    <s v="N/A"/>
    <n v="5.25"/>
    <n v="1050"/>
    <s v="TBD"/>
    <s v="Ship to FAS Warehouse. Attn: Mike Wong."/>
    <s v="FAS"/>
    <s v="189288-0"/>
    <m/>
    <s v="Yes"/>
    <n v="200"/>
    <s v="189288-1"/>
    <d v="2020-05-13T00:00:00"/>
    <m/>
    <m/>
    <m/>
    <m/>
    <m/>
    <m/>
    <n v="0"/>
    <x v="0"/>
    <m/>
    <m/>
    <d v="2035-12-31T00:00:00"/>
    <s v="Received 200 on 3/27/20 (PS 189288-1)"/>
    <m/>
    <m/>
    <m/>
  </r>
  <r>
    <d v="2020-03-13T00:00:00"/>
    <s v="Complete Office"/>
    <s v="Toilet Tissue"/>
    <s v="TOILET TISSUE,2PLY,WE,RECY,80"/>
    <s v="EB8543"/>
    <s v="N/A"/>
    <s v="N/A"/>
    <n v="80"/>
    <s v="Rolls"/>
    <s v="N/A"/>
    <s v="N/A"/>
    <n v="45"/>
    <s v="Case"/>
    <n v="3600"/>
    <n v="45"/>
    <n v="40.24"/>
    <n v="1810.8000000000002"/>
    <m/>
    <m/>
    <m/>
    <s v="1949612-0"/>
    <m/>
    <s v="Yes"/>
    <n v="45"/>
    <s v="1949612-0"/>
    <d v="2020-03-25T00:00:00"/>
    <m/>
    <m/>
    <m/>
    <m/>
    <m/>
    <m/>
    <n v="0"/>
    <x v="0"/>
    <m/>
    <m/>
    <d v="1899-12-30T00:00:00"/>
    <m/>
    <m/>
    <m/>
    <m/>
  </r>
  <r>
    <d v="2020-03-13T00:00:00"/>
    <s v="Complete Office"/>
    <s v="Facial Tissue"/>
    <s v="TISSUE,FACIAL,100 RCY,150/20CT"/>
    <s v="EF150"/>
    <s v="N/A"/>
    <s v="N/A"/>
    <n v="150"/>
    <s v="Sheets"/>
    <n v="20"/>
    <s v="Box"/>
    <n v="66"/>
    <s v="Case"/>
    <n v="198000"/>
    <n v="1320"/>
    <n v="25.89"/>
    <n v="1708.74"/>
    <m/>
    <m/>
    <m/>
    <s v="1949612-0"/>
    <m/>
    <s v="Yes"/>
    <n v="1320"/>
    <s v="1949612-0"/>
    <d v="2020-03-25T00:00:00"/>
    <m/>
    <m/>
    <m/>
    <m/>
    <m/>
    <m/>
    <n v="0"/>
    <x v="0"/>
    <m/>
    <m/>
    <d v="1899-12-30T00:00:00"/>
    <m/>
    <m/>
    <m/>
    <m/>
  </r>
  <r>
    <d v="2020-03-13T00:00:00"/>
    <s v="Complete Office"/>
    <s v="Gloves - S"/>
    <s v="GLOVE,NIT.PF,SML,EXAM,BLACK,1C"/>
    <s v="GLN145FS"/>
    <s v="N/A"/>
    <s v="N/A"/>
    <n v="100"/>
    <s v="Pairs"/>
    <n v="70"/>
    <s v="Box"/>
    <n v="1"/>
    <s v="Order"/>
    <n v="7000"/>
    <n v="70"/>
    <n v="7.09"/>
    <n v="496.3"/>
    <m/>
    <m/>
    <m/>
    <s v="1949612-0"/>
    <m/>
    <s v="Yes"/>
    <n v="70"/>
    <s v="1949612-0"/>
    <d v="2020-03-25T00:00:00"/>
    <m/>
    <m/>
    <m/>
    <m/>
    <m/>
    <m/>
    <n v="0"/>
    <x v="0"/>
    <m/>
    <m/>
    <d v="1899-12-30T00:00:00"/>
    <m/>
    <m/>
    <m/>
    <m/>
  </r>
  <r>
    <d v="2020-03-13T00:00:00"/>
    <s v="Complete Office"/>
    <s v="Gloves - M"/>
    <s v="GLOVE,NIT.PF,MED,EXAM,BLACK,1C"/>
    <s v="GLN145FM"/>
    <s v="N/A"/>
    <s v="N/A"/>
    <n v="100"/>
    <s v="Pairs"/>
    <n v="50"/>
    <s v="Box"/>
    <n v="1"/>
    <s v="Order"/>
    <n v="5000"/>
    <n v="50"/>
    <n v="7.09"/>
    <n v="354.5"/>
    <m/>
    <m/>
    <m/>
    <s v="1949612-0"/>
    <m/>
    <s v="Yes"/>
    <n v="50"/>
    <s v="1949612-0"/>
    <d v="2020-03-25T00:00:00"/>
    <m/>
    <m/>
    <m/>
    <m/>
    <m/>
    <m/>
    <n v="0"/>
    <x v="0"/>
    <m/>
    <m/>
    <d v="1899-12-30T00:00:00"/>
    <m/>
    <m/>
    <m/>
    <m/>
  </r>
  <r>
    <d v="2020-03-13T00:00:00"/>
    <s v="Complete Office"/>
    <s v="Gloves - XL"/>
    <s v="GLOVE,NIT.PF,XXL,EXAM,BLACK,1C"/>
    <s v="GLN145FXX"/>
    <s v="N/A"/>
    <s v="N/A"/>
    <n v="100"/>
    <s v="Pairs"/>
    <n v="45"/>
    <s v="Box"/>
    <n v="1"/>
    <s v="Order"/>
    <n v="4500"/>
    <n v="45"/>
    <n v="7.09"/>
    <n v="319.05"/>
    <m/>
    <m/>
    <m/>
    <s v="1949612-0"/>
    <m/>
    <s v="Yes"/>
    <n v="45"/>
    <s v="1949612-0"/>
    <d v="2020-03-25T00:00:00"/>
    <m/>
    <m/>
    <m/>
    <m/>
    <m/>
    <m/>
    <n v="0"/>
    <x v="0"/>
    <m/>
    <m/>
    <d v="1899-12-30T00:00:00"/>
    <m/>
    <m/>
    <m/>
    <m/>
  </r>
  <r>
    <d v="2020-03-13T00:00:00"/>
    <s v="Complete Office"/>
    <s v="Gloves - L"/>
    <s v="GLOVE,NIT.PF,LGE,EXAM,BLACK,1C"/>
    <s v="GLN145FL"/>
    <s v="N/A"/>
    <s v="N/A"/>
    <n v="100"/>
    <s v="Pairs"/>
    <n v="40"/>
    <s v="Box"/>
    <n v="1"/>
    <s v="Order"/>
    <n v="4000"/>
    <n v="40"/>
    <n v="7.09"/>
    <n v="283.60000000000002"/>
    <m/>
    <m/>
    <m/>
    <s v="1949612-0"/>
    <m/>
    <s v="Yes"/>
    <n v="40"/>
    <s v="1949612-0"/>
    <d v="2020-03-25T00:00:00"/>
    <m/>
    <m/>
    <m/>
    <m/>
    <m/>
    <m/>
    <n v="0"/>
    <x v="0"/>
    <m/>
    <n v="0"/>
    <d v="1899-12-30T00:00:00"/>
    <m/>
    <m/>
    <m/>
    <m/>
  </r>
  <r>
    <d v="2020-03-26T00:00:00"/>
    <s v="Western Safety"/>
    <s v="Tyvek NH-XXL"/>
    <s v="TY125S EWA Tyvek Coverall 2X - elastic wrist and ankle"/>
    <s v="01417-2X"/>
    <s v="N/A"/>
    <s v="N/A"/>
    <n v="1050"/>
    <s v="Each"/>
    <s v="N/A"/>
    <s v="N/A"/>
    <n v="1"/>
    <s v="Order"/>
    <n v="1050"/>
    <s v="N/A"/>
    <n v="6.4"/>
    <n v="6720"/>
    <s v="TBD"/>
    <s v="1000 coveralls are on backorder. Ship to FAS Warehouse. Attn: Mike Wong."/>
    <s v="FAS"/>
    <s v="189452-0"/>
    <m/>
    <s v="Yes"/>
    <n v="1050"/>
    <s v="189452-1"/>
    <d v="2020-04-27T00:00:00"/>
    <m/>
    <m/>
    <m/>
    <m/>
    <m/>
    <m/>
    <n v="0"/>
    <x v="0"/>
    <m/>
    <m/>
    <d v="2035-12-31T00:00:00"/>
    <m/>
    <m/>
    <m/>
    <m/>
  </r>
  <r>
    <d v="2020-03-26T00:00:00"/>
    <s v="Western Safety"/>
    <s v="Tyvek NH-XL"/>
    <s v="TY125S EWA Tyvek Coverall XL - elastic wrist and ankle"/>
    <s v="01417-XL"/>
    <s v="N/A"/>
    <s v="N/A"/>
    <n v="1050"/>
    <s v="Each"/>
    <s v="N/A"/>
    <s v="N/A"/>
    <n v="1"/>
    <s v="Order"/>
    <n v="1050"/>
    <s v="N/A"/>
    <n v="6.2"/>
    <n v="6510"/>
    <s v="TBD"/>
    <s v="Ship to FAS Warehouse. Attn: Mike Wong."/>
    <s v="FAS"/>
    <s v="189452-0"/>
    <m/>
    <s v="Yes"/>
    <n v="1050"/>
    <s v="189452-1"/>
    <d v="2020-04-27T00:00:00"/>
    <m/>
    <m/>
    <m/>
    <m/>
    <m/>
    <m/>
    <n v="0"/>
    <x v="0"/>
    <m/>
    <m/>
    <d v="2035-12-31T00:00:00"/>
    <m/>
    <m/>
    <m/>
    <m/>
  </r>
  <r>
    <d v="2020-03-27T00:00:00"/>
    <s v="Western Safety"/>
    <s v="Hand Sanitizer"/>
    <s v="Avant Hand Sanitizer 1 Gallon"/>
    <s v="12089-128-FF"/>
    <n v="128"/>
    <n v="11264"/>
    <n v="4"/>
    <s v="Drum"/>
    <s v="N/A"/>
    <s v="N/A"/>
    <n v="22"/>
    <s v="Case"/>
    <n v="88"/>
    <s v="N/A"/>
    <n v="39.1"/>
    <n v="3440.8"/>
    <d v="2020-04-03T00:00:00"/>
    <s v="Ship to FAS Warehouse. Attn: Mike Wong."/>
    <s v="FAS"/>
    <s v="189602-0"/>
    <m/>
    <s v="Yes"/>
    <n v="88"/>
    <s v="189602-1"/>
    <d v="2020-04-01T00:00:00"/>
    <m/>
    <m/>
    <m/>
    <m/>
    <m/>
    <m/>
    <n v="0"/>
    <x v="0"/>
    <m/>
    <m/>
    <d v="2020-04-03T00:00:00"/>
    <s v="12 BO not invoiced"/>
    <m/>
    <m/>
    <m/>
  </r>
  <r>
    <d v="2020-03-27T00:00:00"/>
    <s v="Western Safety"/>
    <s v="Hand Sanitizer"/>
    <s v="Avant Hand Sanitizer 16 oz 12/cs"/>
    <s v="12089-16-FF"/>
    <n v="16"/>
    <n v="17280"/>
    <n v="12"/>
    <s v="Bottles"/>
    <s v="N/A"/>
    <s v="N/A"/>
    <n v="90"/>
    <s v="Case"/>
    <n v="1080"/>
    <s v="N/A"/>
    <n v="6.15"/>
    <n v="6642"/>
    <d v="2020-04-03T00:00:00"/>
    <s v="Ship to FAS Warehouse. Attn: Mike Wong."/>
    <s v="FAS"/>
    <s v="189627-0"/>
    <m/>
    <s v="Yes"/>
    <n v="1080"/>
    <s v="189627-1"/>
    <d v="2020-04-27T00:00:00"/>
    <m/>
    <m/>
    <m/>
    <m/>
    <m/>
    <m/>
    <n v="0"/>
    <x v="6"/>
    <s v="Bottle"/>
    <n v="0"/>
    <d v="2020-04-03T00:00:00"/>
    <m/>
    <m/>
    <m/>
    <m/>
  </r>
  <r>
    <d v="2020-03-27T00:00:00"/>
    <s v="Western Safety"/>
    <s v="Tyvek H-XL"/>
    <s v="HEWA Tyvek Coverall SZ XL"/>
    <s v="01428-XL"/>
    <s v="N/A"/>
    <s v="N/A"/>
    <n v="25"/>
    <s v="Each"/>
    <s v="N/A"/>
    <s v="N/A"/>
    <n v="8"/>
    <s v="Case"/>
    <n v="200"/>
    <s v="N/A"/>
    <n v="5.8"/>
    <n v="1160"/>
    <d v="2020-03-31T00:00:00"/>
    <s v="Ship to FAS Warehouse. Attn: Mike Wong."/>
    <s v="FAS"/>
    <s v="189629-0"/>
    <m/>
    <s v="Yes"/>
    <n v="200"/>
    <s v="189629-1"/>
    <d v="2020-04-01T00:00:00"/>
    <m/>
    <m/>
    <m/>
    <m/>
    <m/>
    <m/>
    <n v="0"/>
    <x v="0"/>
    <m/>
    <m/>
    <d v="2020-03-31T00:00:00"/>
    <m/>
    <m/>
    <m/>
    <m/>
  </r>
  <r>
    <d v="2020-03-27T00:00:00"/>
    <s v="Western Safety"/>
    <s v="Tyvek H-XXL"/>
    <s v="HEWA Tyvek Coverall SZ 2X - hood elastic wrist and ankle"/>
    <s v="01428-2X"/>
    <s v="N/A"/>
    <s v="N/A"/>
    <n v="25"/>
    <s v="Each"/>
    <s v="N/A"/>
    <s v="N/A"/>
    <n v="8"/>
    <s v="Case"/>
    <n v="200"/>
    <s v="N/A"/>
    <n v="6"/>
    <n v="1200"/>
    <d v="2020-03-31T00:00:00"/>
    <s v="Ship to FAS Warehouse. Attn: Mike Wong."/>
    <s v="FAS"/>
    <s v="189629-0"/>
    <m/>
    <s v="Yes"/>
    <n v="200"/>
    <s v="189629-1"/>
    <d v="2020-04-01T00:00:00"/>
    <m/>
    <m/>
    <m/>
    <m/>
    <m/>
    <m/>
    <n v="0"/>
    <x v="0"/>
    <m/>
    <m/>
    <d v="2020-03-31T00:00:00"/>
    <m/>
    <m/>
    <m/>
    <m/>
  </r>
  <r>
    <d v="2020-03-27T00:00:00"/>
    <s v="Stellar"/>
    <s v="Tyvek H-XL"/>
    <s v="COVERALL TYVEK ZIPPER HOOD Elastic Wrist and Ankle 25/CS"/>
    <s v="TY127SWHXL002500"/>
    <s v="N/A"/>
    <s v="N/A"/>
    <n v="25"/>
    <s v="Each"/>
    <s v="N/A"/>
    <s v="N/A"/>
    <n v="8"/>
    <s v="Case"/>
    <n v="200"/>
    <s v="N/A"/>
    <n v="4.3099999999999996"/>
    <n v="861.99999999999989"/>
    <d v="2020-03-31T00:00:00"/>
    <s v="Ship to FAS Warehouse. Attn: Mike Wong."/>
    <s v="FAS"/>
    <n v="5974070"/>
    <m/>
    <s v="Yes"/>
    <n v="200"/>
    <n v="4193203"/>
    <d v="2020-04-01T00:00:00"/>
    <m/>
    <m/>
    <m/>
    <m/>
    <m/>
    <m/>
    <n v="0"/>
    <x v="0"/>
    <m/>
    <m/>
    <d v="2020-03-31T00:00:00"/>
    <m/>
    <m/>
    <m/>
    <m/>
  </r>
  <r>
    <d v="2020-03-27T00:00:00"/>
    <s v="Stellar"/>
    <s v="Tyvek H-XXL"/>
    <s v="COVERALL TYVEK ZIPPER HOOD Elastic Wrist and Ankle 25/CS"/>
    <s v="TY127SWH2X002500"/>
    <s v="N/A"/>
    <s v="N/A"/>
    <n v="25"/>
    <s v="Each"/>
    <s v="N/A"/>
    <s v="N/A"/>
    <n v="8"/>
    <s v="Case"/>
    <n v="200"/>
    <s v="N/A"/>
    <n v="4.57"/>
    <n v="914"/>
    <d v="2020-03-31T00:00:00"/>
    <s v="Ship to FAS Warehouse. Attn: Mike Wong."/>
    <s v="FAS"/>
    <n v="5974070"/>
    <m/>
    <s v="Yes"/>
    <n v="200"/>
    <n v="4193203"/>
    <d v="2020-04-01T00:00:00"/>
    <m/>
    <m/>
    <m/>
    <m/>
    <m/>
    <m/>
    <n v="0"/>
    <x v="0"/>
    <m/>
    <m/>
    <d v="2020-03-31T00:00:00"/>
    <m/>
    <m/>
    <m/>
    <m/>
  </r>
  <r>
    <d v="2020-03-30T00:00:00"/>
    <s v="Stellar"/>
    <s v="HS Refill Bags"/>
    <s v="PURELL TFX SANITIZER REFILL"/>
    <s v="GOJOI 5456-04"/>
    <n v="40.58"/>
    <n v="649.28"/>
    <n v="4"/>
    <s v="Each"/>
    <s v="N/A"/>
    <s v="N/A"/>
    <n v="4"/>
    <s v="Case"/>
    <n v="16"/>
    <s v="N/A"/>
    <n v="66.33"/>
    <n v="265.32"/>
    <d v="2020-03-31T00:00:00"/>
    <s v="Ship to FAS Warehouse. Attn: Mike Wong."/>
    <s v="FAS"/>
    <n v="5974252"/>
    <m/>
    <s v="Yes"/>
    <n v="4"/>
    <n v="4193204"/>
    <d v="2020-04-01T00:00:00"/>
    <m/>
    <m/>
    <m/>
    <m/>
    <m/>
    <m/>
    <n v="0"/>
    <x v="0"/>
    <m/>
    <m/>
    <d v="2020-03-31T00:00:00"/>
    <m/>
    <m/>
    <m/>
    <m/>
  </r>
  <r>
    <d v="2020-03-30T00:00:00"/>
    <s v="Stellar"/>
    <s v="Tyvek H-XL"/>
    <s v="COVERALL TYVEK ZIPPER HOOD Elastic Wrist and Ankle 25/CS"/>
    <s v="TY127SWHXL002500"/>
    <s v="N/A"/>
    <s v="N/A"/>
    <n v="25"/>
    <s v="Each"/>
    <s v="N/A"/>
    <s v="N/A"/>
    <n v="4"/>
    <s v="Case"/>
    <n v="100"/>
    <s v="N/A"/>
    <n v="4.3099999999999996"/>
    <n v="430.99999999999994"/>
    <d v="2020-03-31T00:00:00"/>
    <s v="Ship to FAS Warehouse. Attn: Mike Wong."/>
    <s v="FAS"/>
    <n v="5974253"/>
    <m/>
    <s v="Yes"/>
    <n v="100"/>
    <n v="4193205"/>
    <d v="2020-04-01T00:00:00"/>
    <m/>
    <m/>
    <m/>
    <m/>
    <m/>
    <m/>
    <n v="0"/>
    <x v="0"/>
    <m/>
    <m/>
    <d v="2020-03-31T00:00:00"/>
    <m/>
    <m/>
    <m/>
    <m/>
  </r>
  <r>
    <d v="2020-03-30T00:00:00"/>
    <s v="Stellar"/>
    <s v="Tyvek H-XXL"/>
    <s v="COVERALL TYVEK ZIPPER HOOD Elastic Wrist and Ankle 25/CS"/>
    <s v="TY127SWH2X002500"/>
    <s v="N/A"/>
    <s v="N/A"/>
    <n v="25"/>
    <s v="Each"/>
    <s v="N/A"/>
    <s v="N/A"/>
    <n v="6"/>
    <s v="Case"/>
    <n v="150"/>
    <s v="N/A"/>
    <n v="4.57"/>
    <n v="685.5"/>
    <d v="2020-03-31T00:00:00"/>
    <s v="Ship to FAS Warehouse. Attn: Mike Wong."/>
    <s v="FAS"/>
    <n v="5974253"/>
    <m/>
    <s v="Yes"/>
    <n v="150"/>
    <n v="4193205"/>
    <d v="2020-04-01T00:00:00"/>
    <m/>
    <m/>
    <m/>
    <m/>
    <m/>
    <m/>
    <n v="0"/>
    <x v="0"/>
    <m/>
    <m/>
    <d v="2020-03-31T00:00:00"/>
    <m/>
    <m/>
    <m/>
    <m/>
  </r>
  <r>
    <d v="2020-03-30T00:00:00"/>
    <s v="Western Safety"/>
    <s v="Hand Sanitizer"/>
    <s v="4 oz. Fresh A.B.H.C.™ bottle"/>
    <n v="17350"/>
    <n v="4"/>
    <n v="2400"/>
    <n v="600"/>
    <s v="Bottles"/>
    <s v="N/A"/>
    <s v="N/A"/>
    <n v="25"/>
    <s v="Case"/>
    <n v="600"/>
    <s v="N/A"/>
    <n v="3"/>
    <n v="1800"/>
    <d v="2020-04-06T00:00:00"/>
    <s v="Ship to FAS Warehouse. Attn: Mike Wong."/>
    <s v="FAS"/>
    <s v="189713-0"/>
    <m/>
    <s v="Yes"/>
    <n v="600"/>
    <s v="189713-1"/>
    <d v="2020-04-27T00:00:00"/>
    <m/>
    <m/>
    <m/>
    <m/>
    <m/>
    <m/>
    <n v="0"/>
    <x v="0"/>
    <m/>
    <m/>
    <d v="2020-04-06T00:00:00"/>
    <s v="Received 600 on 04/13/20 (PS189713-1)"/>
    <m/>
    <m/>
    <m/>
  </r>
  <r>
    <d v="2020-03-26T00:00:00"/>
    <s v="Western Safety"/>
    <s v="Hand Sanitizer"/>
    <s v="Avant Hand Sanitizer 1 Gallon 4/CS, No Pump"/>
    <s v="12089-128-FF"/>
    <n v="128"/>
    <n v="30720"/>
    <n v="4"/>
    <s v="Drum"/>
    <s v="N/A"/>
    <s v="N/A"/>
    <n v="60"/>
    <s v="Case"/>
    <n v="240"/>
    <s v="N/A"/>
    <n v="39.1"/>
    <m/>
    <d v="2020-04-03T00:00:00"/>
    <s v="Ship to FAS Warehouse. Attn: Mike Wong."/>
    <s v="FAS"/>
    <s v="189526-0"/>
    <m/>
    <s v="Cancelled"/>
    <m/>
    <m/>
    <m/>
    <m/>
    <m/>
    <m/>
    <m/>
    <m/>
    <m/>
    <m/>
    <x v="6"/>
    <s v="Bottle"/>
    <m/>
    <m/>
    <m/>
    <m/>
    <m/>
    <m/>
  </r>
  <r>
    <d v="2020-04-01T00:00:00"/>
    <s v="Fremont Mischief"/>
    <s v="Hand Sanitizer"/>
    <s v="1-gallon containers of hand sanitizer"/>
    <s v="N/A"/>
    <n v="128"/>
    <n v="12800"/>
    <n v="100"/>
    <s v="Drum"/>
    <s v="N/A"/>
    <s v="N/A"/>
    <n v="1"/>
    <s v="Order"/>
    <n v="100"/>
    <s v="N/A"/>
    <n v="50"/>
    <n v="5000"/>
    <d v="2020-04-02T00:00:00"/>
    <s v="Pick-up address and Supplier point of contact:_x000a__x000a_Fremont Mischief _x000a_127 – North 35th Street_x000a_Seattle, WA. _x000a_Derick Lewis – 206-788-7883_x000a__x000a_Order will be ready at 1PM."/>
    <s v="FAS"/>
    <s v="Credit Card - Dave M."/>
    <m/>
    <s v="Yes"/>
    <n v="100"/>
    <s v="1517 (Paid by CC)"/>
    <d v="2020-04-02T00:00:00"/>
    <m/>
    <m/>
    <m/>
    <m/>
    <m/>
    <m/>
    <n v="0"/>
    <x v="0"/>
    <m/>
    <m/>
    <d v="2020-04-02T00:00:00"/>
    <s v="Paid by CC, per David."/>
    <m/>
    <m/>
    <m/>
  </r>
  <r>
    <d v="2020-04-02T00:00:00"/>
    <s v="Mallory Safety"/>
    <s v="Hand Soap"/>
    <s v="32oz Ultra Clean antibacterial hand soap "/>
    <s v="WS-JS20032"/>
    <n v="32"/>
    <n v="96000"/>
    <n v="3000"/>
    <s v="Bottles"/>
    <s v="N/A"/>
    <s v="N/A"/>
    <n v="1"/>
    <s v="Order"/>
    <n v="3000"/>
    <s v="N/A"/>
    <n v="3.65"/>
    <n v="10950"/>
    <d v="2020-04-24T00:00:00"/>
    <s v="Ship to FAS Warehouse. Attn: Mike Wong."/>
    <s v="FAS"/>
    <n v="2599392"/>
    <m/>
    <s v="Yes"/>
    <n v="3000"/>
    <n v="4830806"/>
    <d v="2020-05-05T00:00:00"/>
    <m/>
    <m/>
    <m/>
    <m/>
    <m/>
    <m/>
    <n v="0"/>
    <x v="5"/>
    <s v="Bottle"/>
    <n v="0"/>
    <d v="2020-04-24T00:00:00"/>
    <s v="Received 3,000 on 04/21/20 (Pick Ticket 3864185)."/>
    <m/>
    <m/>
    <m/>
  </r>
  <r>
    <d v="2020-04-03T00:00:00"/>
    <s v="Keeney's"/>
    <s v="Bleach"/>
    <s v="1 gallon bleach"/>
    <s v="BWK3406"/>
    <n v="128"/>
    <n v="20736"/>
    <n v="6"/>
    <s v="Drum"/>
    <s v="N/A"/>
    <s v="N/A"/>
    <n v="27"/>
    <s v="Case"/>
    <n v="162"/>
    <s v="N/A"/>
    <n v="23.509"/>
    <n v="634.74300000000005"/>
    <d v="2020-04-13T00:00:00"/>
    <s v="Ship to FAS Warehouse. Attn: Mike Wong."/>
    <s v="FAS"/>
    <s v="K0005239"/>
    <m/>
    <s v="Yes"/>
    <n v="27"/>
    <s v="KI-00019559"/>
    <d v="2020-05-11T00:00:00"/>
    <m/>
    <m/>
    <m/>
    <m/>
    <m/>
    <m/>
    <n v="3.5527136788005009E-15"/>
    <x v="10"/>
    <s v="N/A"/>
    <n v="0"/>
    <d v="2020-04-13T00:00:00"/>
    <m/>
    <m/>
    <m/>
    <m/>
  </r>
  <r>
    <d v="2020-04-02T00:00:00"/>
    <s v="The Supply Source"/>
    <s v="Bleach"/>
    <s v="Ultra Germicidal Bleach, Gallon"/>
    <s v="BWK3406"/>
    <n v="128"/>
    <n v="15360"/>
    <n v="120"/>
    <s v="Drum"/>
    <s v="N/A"/>
    <s v="N/A"/>
    <n v="1"/>
    <s v="Order"/>
    <n v="120"/>
    <s v="N/A"/>
    <n v="3.97"/>
    <n v="476.40000000000003"/>
    <d v="2020-04-07T00:00:00"/>
    <s v="Ship to FAS Warehouse. Attn: Mike Wong."/>
    <s v="FAS"/>
    <n v="6853"/>
    <m/>
    <s v="Yes"/>
    <n v="120"/>
    <n v="2001503"/>
    <d v="2020-04-27T00:00:00"/>
    <m/>
    <m/>
    <m/>
    <m/>
    <m/>
    <m/>
    <n v="0"/>
    <x v="10"/>
    <s v="N/A"/>
    <n v="0"/>
    <d v="2020-04-07T00:00:00"/>
    <s v="Received 120 on 4/6/20 (PS 2001120)"/>
    <m/>
    <m/>
    <m/>
  </r>
  <r>
    <d v="2020-04-04T00:00:00"/>
    <s v="Unispace"/>
    <s v="Surgical Mask"/>
    <s v="Sensi 3-ply face masks"/>
    <n v="1501217"/>
    <s v="N/A"/>
    <s v="N/A"/>
    <n v="1000000"/>
    <s v="Masks"/>
    <n v="20000"/>
    <s v="Pack"/>
    <n v="1"/>
    <s v="Order"/>
    <n v="1000000"/>
    <n v="20000"/>
    <n v="0.57999999999999996"/>
    <n v="580000"/>
    <d v="2020-04-15T00:00:00"/>
    <s v="Ship to FAS Warehouse. Attn: Mike Wong 8532 15th Ave NW Seattle, WA 98117"/>
    <s v="FAS"/>
    <s v="FA0-0000000045"/>
    <m/>
    <s v="Yes"/>
    <n v="150000"/>
    <n v="6688"/>
    <d v="2020-05-05T00:00:00"/>
    <n v="560000"/>
    <n v="6738"/>
    <d v="2020-05-15T00:00:00"/>
    <n v="290000"/>
    <n v="6744"/>
    <d v="2020-05-15T00:00:00"/>
    <n v="0"/>
    <x v="8"/>
    <s v="Each"/>
    <n v="0"/>
    <d v="2020-04-15T00:00:00"/>
    <s v="Received 75 cases of 40 boxes = 3000 boxes of 50 masks each = 150,000 masks on 05/01/20 (Receiving report from Whse with JB Hunt Bill of Lading). Received 560000 (11,200 boxes of 50 each) on 05/11/20 1030 (Receiving Report). Received 290000 (5,800 boxes of 50 each) on 5/12/20 1145."/>
    <m/>
    <m/>
    <m/>
  </r>
  <r>
    <d v="2020-04-06T00:00:00"/>
    <s v="Keeney's"/>
    <s v="Hand Sanitizer"/>
    <s v="Germstar Gel Hand Sanitizer"/>
    <s v="GST90340CT"/>
    <n v="16"/>
    <n v="31872"/>
    <n v="12"/>
    <s v="Bottles"/>
    <s v="N/A"/>
    <s v="N/A"/>
    <n v="166"/>
    <s v="Case"/>
    <n v="1992"/>
    <s v="N/A"/>
    <n v="97.86"/>
    <n v="16244.76"/>
    <d v="2020-04-21T00:00:00"/>
    <s v="Ship to FAS Warehouse. Attn: Mike Wong 8532 15th Ave NW Seattle, WA 98117"/>
    <s v="FAS"/>
    <s v="K0005271"/>
    <m/>
    <s v="Yes"/>
    <n v="166"/>
    <s v="KI-00019968"/>
    <d v="2020-04-27T00:00:00"/>
    <m/>
    <m/>
    <m/>
    <m/>
    <m/>
    <m/>
    <n v="0"/>
    <x v="6"/>
    <s v="Bottle"/>
    <n v="0"/>
    <d v="2020-04-21T00:00:00"/>
    <s v="Received 166 around 4/22/20 (no date - PS K0005271-1)"/>
    <m/>
    <m/>
    <m/>
  </r>
  <r>
    <d v="2020-04-07T00:00:00"/>
    <s v="Keeney's"/>
    <s v="Disinfectant Wipes"/>
    <s v="CLOROX WIPES, 160 WIPES PER TUB, 12 TUBS PER CARTON"/>
    <m/>
    <s v="N/A"/>
    <s v="N/A"/>
    <n v="160"/>
    <s v="Wipes"/>
    <n v="12"/>
    <s v="Tubes"/>
    <n v="29"/>
    <s v="Case"/>
    <n v="55680"/>
    <n v="348"/>
    <n v="94.29"/>
    <n v="2734.4100000000003"/>
    <d v="2020-04-10T00:00:00"/>
    <s v="Ship to FAS Warehouse. Attn: Mike Wong."/>
    <s v="FAS"/>
    <s v="NO PO#1"/>
    <m/>
    <s v="Yes"/>
    <n v="29"/>
    <s v="KI-00019346"/>
    <d v="2020-04-28T00:00:00"/>
    <m/>
    <m/>
    <m/>
    <m/>
    <m/>
    <m/>
    <n v="0"/>
    <x v="11"/>
    <s v="Tube"/>
    <n v="0"/>
    <d v="2020-04-10T00:00:00"/>
    <s v="Invoice said chg to HSD."/>
    <m/>
    <m/>
    <m/>
  </r>
  <r>
    <d v="2020-04-07T00:00:00"/>
    <s v="Keeney's"/>
    <s v="Disinfectant Wipes"/>
    <s v="WIPES, HANDSINSTNT SNTZNG"/>
    <s v="NICP43572CT"/>
    <s v="N/A"/>
    <s v="N/A"/>
    <n v="150"/>
    <s v="Wipes"/>
    <n v="12"/>
    <s v="Tubes"/>
    <n v="14"/>
    <s v="Case"/>
    <n v="25200"/>
    <n v="168"/>
    <n v="65.150000000000006"/>
    <n v="912.10000000000014"/>
    <s v="TBD"/>
    <s v="Ship to FAS Warehouse. Attn: Mike Wong."/>
    <s v="FAS"/>
    <s v="K0005275"/>
    <m/>
    <s v="Yes"/>
    <n v="14"/>
    <s v="KI-00019357"/>
    <d v="2020-04-16T00:00:00"/>
    <m/>
    <m/>
    <m/>
    <m/>
    <m/>
    <m/>
    <n v="0"/>
    <x v="0"/>
    <m/>
    <n v="0"/>
    <d v="2035-12-31T00:00:00"/>
    <s v="Received 14 on 04/08/20 on PS K0005275-1"/>
    <m/>
    <m/>
    <m/>
  </r>
  <r>
    <d v="2020-04-07T00:00:00"/>
    <s v="Ebay"/>
    <s v="Therm"/>
    <s v="No Touch Infrared Digital Forehead Thermometer Baby Adult Body Temperature Gun"/>
    <m/>
    <s v="N/A"/>
    <s v="N/A"/>
    <n v="99"/>
    <s v="Each"/>
    <s v="N/A"/>
    <s v="N/A"/>
    <n v="1"/>
    <s v="Order"/>
    <n v="99"/>
    <s v="N/A"/>
    <n v="54.06"/>
    <n v="5351.9400000000005"/>
    <d v="2020-04-20T00:00:00"/>
    <s v="Ship to FAS Warehouse. Attn: Mike Wong 8532 15th Ave NW Seattle, WA 98117"/>
    <s v="FAS"/>
    <s v="Credit Card - Presley; FAO-040720"/>
    <m/>
    <s v="Yes"/>
    <n v="99"/>
    <m/>
    <m/>
    <m/>
    <m/>
    <m/>
    <m/>
    <m/>
    <m/>
    <n v="0"/>
    <x v="12"/>
    <s v="Each"/>
    <n v="0"/>
    <d v="2020-04-20T00:00:00"/>
    <s v="Received 99 per presley on unknown date"/>
    <m/>
    <m/>
    <m/>
  </r>
  <r>
    <d v="2020-04-07T00:00:00"/>
    <s v="Ebay"/>
    <s v="Therm"/>
    <s v="No-contact Touch Infrared Digital LCD Thermometer Head Forehead Baby Adult US"/>
    <s v="None"/>
    <s v="N/A"/>
    <s v="N/A"/>
    <n v="101"/>
    <s v="Each"/>
    <s v="N/A"/>
    <s v="N/A"/>
    <n v="1"/>
    <s v="Order"/>
    <n v="101"/>
    <s v="N/A"/>
    <n v="37.5"/>
    <m/>
    <d v="2020-04-13T00:00:00"/>
    <s v="Ship to FAS Warehouse. Attn: Mike Wong 8532 15th Ave NW Seattle, WA 98117"/>
    <s v="FAS"/>
    <s v="Credit Card - Presley; FAO-0400320"/>
    <m/>
    <s v="Cancelled"/>
    <m/>
    <m/>
    <m/>
    <m/>
    <m/>
    <m/>
    <m/>
    <m/>
    <m/>
    <m/>
    <x v="12"/>
    <s v="Each"/>
    <m/>
    <m/>
    <m/>
    <m/>
    <m/>
    <m/>
  </r>
  <r>
    <d v="2020-04-08T00:00:00"/>
    <s v="First Aid Global"/>
    <s v="PAWS"/>
    <s v="P.A.W.S Antimicrobial Hand Sanitizer Wipes - 100"/>
    <s v="PAWS 100"/>
    <s v="N/A"/>
    <s v="N/A"/>
    <n v="100"/>
    <s v="Wipes"/>
    <n v="100"/>
    <s v="Packs"/>
    <n v="10"/>
    <s v="Case"/>
    <n v="10000"/>
    <n v="1000"/>
    <n v="25"/>
    <n v="250"/>
    <s v="TBD"/>
    <s v="Ship to FAS Warehouse. Attn: Mike Wong 8532 15th Ave NW Seattle, WA 98117"/>
    <s v="FAS"/>
    <s v="Credit Card - Presley; PO# STTL-pxj7w4"/>
    <m/>
    <s v="No"/>
    <m/>
    <m/>
    <m/>
    <m/>
    <m/>
    <m/>
    <m/>
    <m/>
    <m/>
    <n v="10"/>
    <x v="13"/>
    <s v="Each"/>
    <n v="10000"/>
    <d v="2035-12-31T00:00:00"/>
    <m/>
    <m/>
    <m/>
    <m/>
  </r>
  <r>
    <d v="2020-04-08T00:00:00"/>
    <s v="Mallory Safety"/>
    <s v="N-95 No Filter"/>
    <s v="General Industrial Respirator NIOSH Approval_x000a_TC-84A-0007 Filter Class N95 Nose Clip_x000a_Standard Cool Flow Valve No Face Seal No_x000a_Approved Dust/Mist Maintenance Free 20/box,_x000a_160/case or 8 bxs per case.4O cases per pallet."/>
    <s v="3MCOM-8210"/>
    <s v="N/A"/>
    <s v="N/A"/>
    <n v="20"/>
    <s v="Masks"/>
    <n v="10000"/>
    <s v="Box"/>
    <n v="1250"/>
    <s v="Case"/>
    <n v="200000"/>
    <n v="10000"/>
    <n v="15.2"/>
    <n v="152000"/>
    <s v="TBD"/>
    <s v="Ship to FAS Warehouse. Attn: Mike Wong 8532 15th Ave NW Seattle, WA 98117"/>
    <s v="FAS"/>
    <s v="2601645; contract# 2937 (original order was 2599089)"/>
    <m/>
    <s v="No"/>
    <m/>
    <m/>
    <m/>
    <m/>
    <m/>
    <m/>
    <m/>
    <m/>
    <m/>
    <n v="10000"/>
    <x v="7"/>
    <s v="Each"/>
    <n v="200000"/>
    <d v="2035-12-31T00:00:00"/>
    <m/>
    <m/>
    <m/>
    <m/>
  </r>
  <r>
    <d v="2020-04-09T00:00:00"/>
    <s v="The Supply Source"/>
    <s v="IA"/>
    <s v="Isopropyl Alcohol, 5 Gal Pail"/>
    <s v="FT183-5"/>
    <n v="640"/>
    <n v="1280"/>
    <n v="2"/>
    <s v="Drum"/>
    <s v="N/A"/>
    <s v="N/A"/>
    <n v="1"/>
    <s v="Order"/>
    <n v="2"/>
    <s v="N/A"/>
    <n v="129"/>
    <n v="258"/>
    <d v="2020-04-13T00:00:00"/>
    <s v="Ship to FAS Warehouse. Attn: Mike Wong 8532 15th Ave NW Seattle, WA 98117"/>
    <s v="FAS"/>
    <s v="2001157; PO# FA0-2001157"/>
    <m/>
    <s v="Yes"/>
    <n v="2"/>
    <n v="2001553"/>
    <d v="2020-04-13T00:00:00"/>
    <m/>
    <m/>
    <m/>
    <m/>
    <m/>
    <m/>
    <n v="0"/>
    <x v="0"/>
    <m/>
    <n v="0"/>
    <d v="2020-04-13T00:00:00"/>
    <m/>
    <m/>
    <m/>
    <m/>
  </r>
  <r>
    <d v="2020-04-09T00:00:00"/>
    <s v="Western Safety"/>
    <s v="N-95 No Filter"/>
    <s v="3M N95 Respirator 20 per box"/>
    <n v="8210"/>
    <s v="N/A"/>
    <s v="N/A"/>
    <n v="20"/>
    <s v="Masks"/>
    <n v="100"/>
    <s v="Box"/>
    <n v="1"/>
    <s v="Order"/>
    <n v="2000"/>
    <n v="100"/>
    <n v="15.95"/>
    <n v="1595"/>
    <d v="2020-04-13T00:00:00"/>
    <s v="Ship to FAS Warehouse. Attn: Mike Wong. "/>
    <s v="FAS"/>
    <s v="190215-0; FA0-190215"/>
    <m/>
    <s v="Yes"/>
    <n v="100"/>
    <s v="190215-1"/>
    <d v="2020-04-27T00:00:00"/>
    <m/>
    <m/>
    <m/>
    <m/>
    <m/>
    <m/>
    <n v="0"/>
    <x v="0"/>
    <m/>
    <n v="0"/>
    <d v="2020-04-13T00:00:00"/>
    <s v="Received 100 on 04/10/20 (PS 190215-1)"/>
    <m/>
    <m/>
    <m/>
  </r>
  <r>
    <d v="2020-04-09T00:00:00"/>
    <s v="Western Safety"/>
    <s v="N-95 Filter"/>
    <s v="3M N95 Disp DM Mask W/Valve 10"/>
    <n v="8511"/>
    <s v="N/A"/>
    <s v="N/A"/>
    <n v="10"/>
    <s v="Masks"/>
    <n v="80"/>
    <s v="Box"/>
    <n v="1"/>
    <s v="Order"/>
    <n v="800"/>
    <n v="80"/>
    <n v="20.95"/>
    <n v="1676"/>
    <d v="2020-04-13T00:00:00"/>
    <s v="Ship to FAS Warehouse. Attn: Mike Wong."/>
    <s v="FAS"/>
    <s v="190215-0; FA0-190215"/>
    <m/>
    <s v="Yes"/>
    <n v="80"/>
    <s v="190215-1"/>
    <d v="2020-04-27T00:00:00"/>
    <m/>
    <m/>
    <m/>
    <m/>
    <m/>
    <m/>
    <n v="0"/>
    <x v="0"/>
    <m/>
    <n v="0"/>
    <d v="2020-04-13T00:00:00"/>
    <s v="Received 80 on 04/10/20 (PS 190215-1)"/>
    <m/>
    <m/>
    <m/>
  </r>
  <r>
    <d v="2020-04-09T00:00:00"/>
    <s v="Western Safety"/>
    <s v="Hand Sanitizer"/>
    <s v="Avant Hand Sanitizer 16oz"/>
    <s v="12089-16-FF"/>
    <n v="16"/>
    <n v="34560"/>
    <n v="12"/>
    <s v="Bottles"/>
    <s v="N/A"/>
    <s v="N/A"/>
    <n v="180"/>
    <s v="Case"/>
    <n v="2160"/>
    <s v="N/A"/>
    <n v="6.15"/>
    <n v="1107"/>
    <d v="2020-04-13T00:00:00"/>
    <s v="Ship to FAS Warehouse. Attn: Mike Wong. "/>
    <s v="FAS"/>
    <s v="190215-0; FA0-190216"/>
    <m/>
    <s v="Yes"/>
    <n v="180"/>
    <s v="190216-1"/>
    <d v="2020-04-27T00:00:00"/>
    <m/>
    <m/>
    <m/>
    <m/>
    <m/>
    <m/>
    <n v="0"/>
    <x v="0"/>
    <m/>
    <n v="0"/>
    <d v="2020-04-13T00:00:00"/>
    <s v="Received 180 on 04/10/20 (PS 190216-1)"/>
    <m/>
    <m/>
    <m/>
  </r>
  <r>
    <d v="2020-04-09T00:00:00"/>
    <s v="Sound Safety Products"/>
    <s v="Surgical Mask"/>
    <s v="Santa Fe Masks"/>
    <s v="PG94017"/>
    <s v="N/A"/>
    <s v="N/A"/>
    <n v="1250"/>
    <s v="Masks"/>
    <s v="N/A"/>
    <s v="N/A"/>
    <n v="200"/>
    <s v="Case"/>
    <n v="250000"/>
    <s v="N/A"/>
    <n v="1250"/>
    <n v="250000"/>
    <d v="2020-05-07T00:00:00"/>
    <s v="25,000 will be ship on 4/13/2020 and the balance will ship 5/7/2020. From LA.  Ship to FAS Warehouse. Attn: Mike Wong. "/>
    <s v="FAS"/>
    <s v="343679/1; FA0-0000000049"/>
    <m/>
    <s v="Yes"/>
    <n v="20"/>
    <s v="343679/1"/>
    <d v="2020-04-24T00:00:00"/>
    <n v="180"/>
    <s v="K43679/1"/>
    <d v="2020-05-14T00:00:00"/>
    <m/>
    <m/>
    <m/>
    <n v="0"/>
    <x v="8"/>
    <s v="Each"/>
    <n v="0"/>
    <d v="2020-05-07T00:00:00"/>
    <s v="Received 20 cases (total of 1,250 masks each) on 04/16 (PS now attached to invoice), Received 180 cases (total of 225,000) masks on 05/07/20 (Receiving report))."/>
    <m/>
    <m/>
    <m/>
  </r>
  <r>
    <d v="2020-04-10T00:00:00"/>
    <s v="Complete Office"/>
    <s v="Surgical Mask"/>
    <s v="Medispo Face Mask with Earl Loop"/>
    <s v="HGI 966EL"/>
    <s v="N/A"/>
    <s v="N/A"/>
    <n v="50"/>
    <s v="Masks"/>
    <n v="400"/>
    <s v="Box"/>
    <n v="1"/>
    <s v="Order"/>
    <n v="20000"/>
    <n v="400"/>
    <n v="34.99"/>
    <n v="13996"/>
    <d v="2020-05-18T00:00:00"/>
    <s v="Ship to FAS Warehouse. Attn: Mike Wong 8532 15th Ave NW Seattle, WA 98117"/>
    <s v="FAS"/>
    <s v="FA0-0000000050"/>
    <m/>
    <s v="Yes"/>
    <n v="400"/>
    <s v="1956938-0"/>
    <d v="2020-06-12T00:00:00"/>
    <m/>
    <m/>
    <m/>
    <m/>
    <m/>
    <m/>
    <n v="0"/>
    <x v="8"/>
    <s v="Each"/>
    <n v="0"/>
    <d v="2020-05-18T00:00:00"/>
    <m/>
    <m/>
    <m/>
    <m/>
  </r>
  <r>
    <d v="2020-04-10T00:00:00"/>
    <s v="Western Safety"/>
    <s v="FS"/>
    <m/>
    <s v="moved to line 41 in non-central tab per Steve V -JS 5.18.20"/>
    <m/>
    <m/>
    <m/>
    <s v="Each"/>
    <m/>
    <m/>
    <m/>
    <m/>
    <m/>
    <m/>
    <m/>
    <m/>
    <m/>
    <m/>
    <m/>
    <m/>
    <m/>
    <s v="Yes"/>
    <m/>
    <m/>
    <m/>
    <m/>
    <m/>
    <m/>
    <m/>
    <m/>
    <m/>
    <n v="0"/>
    <x v="14"/>
    <s v="Each"/>
    <n v="0"/>
    <m/>
    <m/>
    <m/>
    <m/>
    <m/>
  </r>
  <r>
    <d v="2020-04-09T00:00:00"/>
    <s v="Saryan's Arthur"/>
    <s v="CMask"/>
    <s v="cloth masks, Antimicrobial Fabric,chip inside PM2.5 - 5 layers. 100% cotton"/>
    <m/>
    <s v="N/A"/>
    <s v="N/A"/>
    <n v="28000"/>
    <s v="Masks"/>
    <s v="N/A"/>
    <s v="N/A"/>
    <n v="1"/>
    <s v="Order"/>
    <n v="28000"/>
    <s v="N/A"/>
    <n v="4.6500000000000004"/>
    <n v="130200.00000000001"/>
    <d v="2020-04-19T00:00:00"/>
    <s v="Ship to FAS Warehouse. Attn: Mike Wong 8532 15th Ave NW Seattle, WA 98117"/>
    <s v="FAS"/>
    <s v="FA0-32118JS"/>
    <m/>
    <s v="No"/>
    <n v="27432"/>
    <n v="4092020"/>
    <d v="2020-05-01T00:00:00"/>
    <n v="1004"/>
    <s v="05052020"/>
    <d v="2020-05-12T00:00:00"/>
    <m/>
    <m/>
    <m/>
    <n v="-436"/>
    <x v="15"/>
    <s v="Each"/>
    <n v="0"/>
    <d v="2020-04-19T00:00:00"/>
    <s v="Received 2,208 on 4/21/20 and 1,104 on 4/22/20 (Whse created packing slips), Received 15,960 on 4/28/20 (e-mail from Mike Wong). Received 8,160 on 4/30/20 (Whse created packing slip). Will short pay invoice by 568 @ $4.65 = $2,641.20. -smv. All of the above was entered as Delivery 1. Received 436 on 5/5/20 (Whse Receiving Report 5/5/20 at 10:45 and received 568 on 5/5/20 (Whse Receiving Report 5/5/20 a 11:20, entered the total of 1004 as Delivery 2)."/>
    <m/>
    <m/>
    <m/>
  </r>
  <r>
    <d v="2020-04-10T00:00:00"/>
    <s v="Sound Safety Products"/>
    <s v="Disinfectant Wipes"/>
    <s v="FRESH N CLEAN ANTIBACTERIAL WIPE 80 WIPES IN A CANISTER 24 CANISTERS/CS"/>
    <s v="PB078"/>
    <s v="N/A"/>
    <s v="N/A"/>
    <n v="80"/>
    <s v="Wipes"/>
    <n v="24"/>
    <s v="Tubes"/>
    <n v="834"/>
    <s v="Case"/>
    <n v="1601280"/>
    <n v="20016"/>
    <n v="5.65"/>
    <n v="113090.40000000001"/>
    <d v="2020-06-20T00:00:00"/>
    <s v="Ship to FAS Warehouse to Mike Wong. Shipping from CA. PO will cancel if product doesn't ship from CA by 06/09/2020"/>
    <s v="FAS"/>
    <s v="343693/1; FA0-0000000051"/>
    <m/>
    <s v="Yes"/>
    <n v="19968"/>
    <s v="343693/1"/>
    <d v="2020-07-14T00:00:00"/>
    <s v="Credit for Shortage"/>
    <s v="359353/1"/>
    <d v="2020-07-14T00:00:00"/>
    <m/>
    <m/>
    <m/>
    <n v="0"/>
    <x v="11"/>
    <s v="Tube"/>
    <n v="0"/>
    <d v="2020-06-20T00:00:00"/>
    <s v="Received 60 cases at 24 tubes per case on 06/24/2020 at 10:50, Received 772 cases x24 =18528 of fresh n clean wipes and on 07/07/2020 at 0840am. Credit for the shortage of (48 x 24 = 1,152) on Credit Memo 359353/1."/>
    <m/>
    <m/>
    <m/>
  </r>
  <r>
    <d v="2020-04-10T00:00:00"/>
    <s v="Western Safety"/>
    <s v="FS"/>
    <s v="Clear Visor Face Shield"/>
    <s v="moved to line 42 in non-central tab per Steve V. -JS 5.18.20"/>
    <m/>
    <m/>
    <m/>
    <m/>
    <m/>
    <m/>
    <m/>
    <m/>
    <m/>
    <m/>
    <m/>
    <m/>
    <m/>
    <m/>
    <m/>
    <m/>
    <m/>
    <s v="Yes"/>
    <m/>
    <m/>
    <m/>
    <m/>
    <m/>
    <m/>
    <m/>
    <m/>
    <m/>
    <n v="0"/>
    <x v="14"/>
    <s v="Each"/>
    <n v="0"/>
    <m/>
    <m/>
    <m/>
    <m/>
    <m/>
  </r>
  <r>
    <d v="2020-04-10T00:00:00"/>
    <s v="Western Safety"/>
    <s v="FS"/>
    <s v="Clear Visor Face Shield"/>
    <s v="Moved to line 43 in non-central tab per Steve V, JS 5.18.20"/>
    <m/>
    <m/>
    <m/>
    <m/>
    <m/>
    <m/>
    <m/>
    <m/>
    <m/>
    <m/>
    <m/>
    <m/>
    <m/>
    <m/>
    <m/>
    <m/>
    <m/>
    <s v="Yes"/>
    <m/>
    <m/>
    <m/>
    <m/>
    <m/>
    <m/>
    <m/>
    <m/>
    <m/>
    <n v="0"/>
    <x v="14"/>
    <s v="Each"/>
    <n v="0"/>
    <m/>
    <m/>
    <m/>
    <m/>
    <m/>
  </r>
  <r>
    <d v="2020-04-10T00:00:00"/>
    <s v="General Pacific"/>
    <s v="N-95 No Filter"/>
    <s v="KN95 Masks"/>
    <s v="ECO KN95 (SUN)"/>
    <s v="N/A"/>
    <s v="N/A"/>
    <n v="500"/>
    <s v="Masks"/>
    <s v="N/A"/>
    <s v="N/A"/>
    <n v="1"/>
    <s v="Order"/>
    <n v="500"/>
    <s v="N/A"/>
    <n v="2.95"/>
    <n v="1475"/>
    <d v="2020-05-01T00:00:00"/>
    <s v="Ship to FAS Warehouse. Attn: Mike Wong 8532 15th Ave NW Seattle, WA 98117"/>
    <s v="FAS"/>
    <s v="1219142; FA0-0000000052"/>
    <m/>
    <s v="Yes"/>
    <n v="500"/>
    <n v="1371672"/>
    <d v="2020-05-13T00:00:00"/>
    <m/>
    <m/>
    <m/>
    <m/>
    <m/>
    <m/>
    <n v="-5.6843418860808015E-14"/>
    <x v="7"/>
    <s v="Each"/>
    <n v="0"/>
    <d v="2020-05-01T00:00:00"/>
    <s v="Received 500 on 05/05/20 (Pick Ticket 1267722)."/>
    <m/>
    <m/>
    <m/>
  </r>
  <r>
    <d v="2020-03-20T00:00:00"/>
    <s v="Keeney's"/>
    <s v="Disinfectant Wipes"/>
    <s v="Disinfectant Wipes Lysol Ocean Fresh"/>
    <s v="RAC77925CT"/>
    <s v="N/A"/>
    <s v="N/A"/>
    <n v="80"/>
    <s v="Wipes"/>
    <n v="6"/>
    <s v="Tubes"/>
    <n v="667"/>
    <s v="Case"/>
    <n v="320160"/>
    <n v="4002"/>
    <n v="6.66"/>
    <m/>
    <d v="2020-06-30T00:00:00"/>
    <s v="Ship to FAS Warehouse. Attn: Mike Wong."/>
    <s v="FAS"/>
    <m/>
    <s v="4/8 - per follow-up with Steven at Keeney's we have 4,000 due in on 4/15 and 4,000 due in on 4/21. This is just projected dates. They are monitoring the situation with their supplier"/>
    <s v="Cancelled"/>
    <m/>
    <m/>
    <m/>
    <m/>
    <m/>
    <m/>
    <m/>
    <m/>
    <m/>
    <n v="0"/>
    <x v="0"/>
    <m/>
    <m/>
    <m/>
    <m/>
    <m/>
    <m/>
    <m/>
  </r>
  <r>
    <d v="2020-04-13T00:00:00"/>
    <s v="Western Safety"/>
    <s v="Disinfectant Wipes"/>
    <s v="CaviWipes, 160 per pack, 6 packs per case, 134 cases total"/>
    <s v="13-1110"/>
    <s v="N/A"/>
    <s v="N/A"/>
    <n v="160"/>
    <s v="Wipes"/>
    <n v="6"/>
    <s v="Pack"/>
    <n v="134"/>
    <s v="Case"/>
    <n v="128640"/>
    <n v="804"/>
    <n v="10.5"/>
    <n v="8442"/>
    <s v="TBD"/>
    <s v="Ship to FAS Warehouse. Attn: Mike Wong 8532 15th Ave NW Seattle, WA 98117"/>
    <s v="FAS"/>
    <s v="190280-0; 190280-0CW"/>
    <m/>
    <s v="Yes"/>
    <n v="804"/>
    <s v="190280-1"/>
    <d v="2020-05-11T00:00:00"/>
    <m/>
    <m/>
    <m/>
    <m/>
    <m/>
    <m/>
    <n v="0"/>
    <x v="11"/>
    <s v="Tube"/>
    <n v="0"/>
    <d v="2035-12-31T00:00:00"/>
    <s v="Received 804 pm 05/04/20 (PS 190280-1)"/>
    <m/>
    <m/>
    <m/>
  </r>
  <r>
    <d v="2020-04-13T00:00:00"/>
    <s v="Western Safety"/>
    <s v="Disinfectant Wipes"/>
    <s v="CaviWipes, 160 per pack, 6 packs per case, 134 cases total"/>
    <s v="13-1110"/>
    <s v="N/A"/>
    <s v="N/A"/>
    <n v="160"/>
    <s v="Wipes"/>
    <n v="6"/>
    <s v="Pack"/>
    <n v="134"/>
    <s v="Case"/>
    <n v="128640"/>
    <n v="804"/>
    <n v="10.5"/>
    <n v="8442"/>
    <s v="TBD"/>
    <s v="Ship to FAS Warehouse. Attn: Mike Wong 8532 15th Ave NW Seattle, WA 98117"/>
    <s v="FAS"/>
    <s v="190281; 190281-0CW"/>
    <m/>
    <s v="Yes"/>
    <n v="480"/>
    <s v="190281-2"/>
    <d v="2020-06-12T00:00:00"/>
    <n v="324"/>
    <s v="190281-1"/>
    <n v="44006"/>
    <m/>
    <m/>
    <m/>
    <n v="0"/>
    <x v="11"/>
    <s v="Tube"/>
    <n v="0"/>
    <d v="2035-12-31T00:00:00"/>
    <s v="Received 480 on 06/03/20 1015 per Receiving Report, Received 324 on 06/03/20 1138 per receiving report "/>
    <m/>
    <m/>
    <m/>
  </r>
  <r>
    <d v="2020-04-13T00:00:00"/>
    <s v="Western Safety"/>
    <s v="Disinfectant Wipes"/>
    <s v="CaviWipes, 160 per pack, 6 packs per case, 134 cases total"/>
    <s v="13-1110"/>
    <s v="N/A"/>
    <s v="N/A"/>
    <n v="160"/>
    <s v="Wipes"/>
    <n v="6"/>
    <s v="Pack"/>
    <n v="134"/>
    <s v="Case"/>
    <n v="128640"/>
    <n v="804"/>
    <n v="10.5"/>
    <n v="8442"/>
    <s v="TBD"/>
    <s v="Ship to Mt Baker Warehouse"/>
    <s v="FAS"/>
    <s v="190282; 190282-0CW"/>
    <m/>
    <s v="No"/>
    <m/>
    <m/>
    <m/>
    <m/>
    <m/>
    <m/>
    <m/>
    <m/>
    <m/>
    <n v="804"/>
    <x v="11"/>
    <s v="Tube"/>
    <n v="804"/>
    <d v="2035-12-31T00:00:00"/>
    <m/>
    <m/>
    <m/>
    <m/>
  </r>
  <r>
    <d v="2020-04-10T00:00:00"/>
    <s v="Western Safety"/>
    <s v="FS"/>
    <s v="Face Shield, Mylar, with foam strip and rubber head band (disposable)"/>
    <s v="53190-023"/>
    <s v="N/A"/>
    <s v="N/A"/>
    <n v="1000"/>
    <s v="Each"/>
    <s v="N/A"/>
    <s v="N/A"/>
    <n v="1"/>
    <s v="Order"/>
    <n v="1000"/>
    <s v="N/A"/>
    <n v="4.5999999999999996"/>
    <n v="4600"/>
    <d v="2020-04-24T00:00:00"/>
    <s v="Ship to FAS Warehouse. Attn: Mike Wong 8532 15th Ave NW Seattle, WA 98117"/>
    <s v="FAS"/>
    <s v="190250-0; FA0-STTL-g9sygi"/>
    <m/>
    <s v="Yes"/>
    <n v="1000"/>
    <s v="190250-1"/>
    <d v="2020-04-27T00:00:00"/>
    <m/>
    <m/>
    <m/>
    <m/>
    <m/>
    <m/>
    <n v="0"/>
    <x v="0"/>
    <m/>
    <m/>
    <d v="2020-04-24T00:00:00"/>
    <s v="Received 1,000 on 4/16/20 (PS 190250-1)"/>
    <m/>
    <m/>
    <m/>
  </r>
  <r>
    <d v="2020-04-13T00:00:00"/>
    <s v="Bartell's"/>
    <s v="N-95 No Filter"/>
    <s v="KN95 Masks (10 count)"/>
    <n v="126569"/>
    <s v="N/A"/>
    <s v="N/A"/>
    <n v="10"/>
    <s v="Masks"/>
    <n v="500"/>
    <s v="Box"/>
    <n v="1"/>
    <s v="Order"/>
    <n v="5000"/>
    <n v="500"/>
    <n v="45"/>
    <n v="22500"/>
    <d v="2020-04-14T00:00:00"/>
    <s v="Ship to FAS Warehouse. Attn: Mike Wong 8532 15th Ave NW Seattle, WA 98117"/>
    <s v="FAS"/>
    <s v="FA0-04132020-PT"/>
    <m/>
    <s v="Yes"/>
    <n v="500"/>
    <s v="SEA041320"/>
    <d v="2020-04-21T00:00:00"/>
    <m/>
    <m/>
    <m/>
    <m/>
    <m/>
    <m/>
    <n v="0"/>
    <x v="7"/>
    <s v="Each"/>
    <n v="0"/>
    <d v="2020-04-14T00:00:00"/>
    <s v="Received 500 on 04/13/20 (e-mail from Wong)."/>
    <m/>
    <m/>
    <m/>
  </r>
  <r>
    <d v="2020-04-15T00:00:00"/>
    <s v="Keeney's"/>
    <s v="Disinfectant Wipes"/>
    <s v="WIPES,CLOROX,3PK/35CT,WH"/>
    <s v="CLO30112CT"/>
    <s v="N/A"/>
    <s v="N/A"/>
    <n v="35"/>
    <s v="Wipes"/>
    <n v="15"/>
    <s v="Tubes"/>
    <n v="4"/>
    <s v="Case"/>
    <n v="2100"/>
    <n v="60"/>
    <n v="63.38"/>
    <n v="253.52"/>
    <s v="TBD"/>
    <s v="Ship to FAS Warehouse, Mike Wong - 8532 15th AVE NW"/>
    <s v="FAS"/>
    <s v="K0005349; PO# FA0-0000000053"/>
    <m/>
    <s v="Yes"/>
    <n v="4"/>
    <s v="KI-00019756"/>
    <d v="2020-04-27T00:00:00"/>
    <m/>
    <m/>
    <m/>
    <m/>
    <m/>
    <m/>
    <n v="0"/>
    <x v="0"/>
    <m/>
    <m/>
    <d v="2035-12-31T00:00:00"/>
    <s v="Received 4 on 04/16/20 (PS K0005349-1)"/>
    <m/>
    <m/>
    <m/>
  </r>
  <r>
    <d v="2020-04-17T00:00:00"/>
    <s v="Western Safety"/>
    <s v="PAWS"/>
    <s v="PAWS, Antimicrobial Wipes, 50 per can, 240 cans"/>
    <n v="34405"/>
    <s v="N/A"/>
    <s v="N/A"/>
    <n v="50"/>
    <s v="Wipes"/>
    <n v="240"/>
    <s v="Tubes"/>
    <n v="1"/>
    <s v="Order"/>
    <n v="12000"/>
    <n v="240"/>
    <n v="7"/>
    <n v="1680"/>
    <s v="TBD"/>
    <s v="Ship to Mt Baker Warehouse"/>
    <s v="FAS"/>
    <s v="FA0-190452-0"/>
    <m/>
    <s v="No"/>
    <m/>
    <m/>
    <m/>
    <m/>
    <m/>
    <m/>
    <m/>
    <m/>
    <m/>
    <n v="240"/>
    <x v="13"/>
    <s v="Each"/>
    <n v="12000"/>
    <d v="2035-12-31T00:00:00"/>
    <m/>
    <m/>
    <m/>
    <m/>
  </r>
  <r>
    <d v="2020-04-17T00:00:00"/>
    <s v="Advanced Security Training Institute Inc."/>
    <s v="Gowns"/>
    <s v="Isolation Surgical Gown, size large"/>
    <m/>
    <s v="N/A"/>
    <s v="N/A"/>
    <n v="8000"/>
    <s v="Each"/>
    <s v="N/A"/>
    <s v="N/A"/>
    <n v="1"/>
    <s v="Order"/>
    <n v="8000"/>
    <s v="N/A"/>
    <n v="3.86"/>
    <n v="30880"/>
    <s v="TBD"/>
    <s v="Ship to FAS Warehouse. Attn: Mike Wong"/>
    <s v="FAS"/>
    <s v="FA0-04172020-PT"/>
    <m/>
    <s v="Yes"/>
    <n v="8000"/>
    <n v="121"/>
    <d v="2020-05-14T00:00:00"/>
    <m/>
    <m/>
    <m/>
    <m/>
    <m/>
    <m/>
    <n v="0"/>
    <x v="16"/>
    <s v="Each"/>
    <n v="0"/>
    <d v="2035-12-31T00:00:00"/>
    <s v="Received 8,000 on 05/14/20 0745 (Receiving Report)."/>
    <m/>
    <m/>
    <m/>
  </r>
  <r>
    <d v="2020-04-17T00:00:00"/>
    <s v="Advanced Security Training Institute Inc."/>
    <s v="Gowns"/>
    <s v="Isolation Surgical Gown, size extra large"/>
    <m/>
    <s v="N/A"/>
    <s v="N/A"/>
    <n v="8000"/>
    <s v="Each"/>
    <s v="N/A"/>
    <s v="N/A"/>
    <n v="1"/>
    <s v="Order"/>
    <n v="8000"/>
    <s v="N/A"/>
    <n v="3.86"/>
    <n v="30880"/>
    <s v="TBD"/>
    <s v="Ship to FAS Warehouse. Attn: Mike Wong"/>
    <s v="FAS"/>
    <s v="FA0-04172020-PT"/>
    <m/>
    <s v="Yes"/>
    <n v="8000"/>
    <n v="121"/>
    <d v="2020-05-14T00:00:00"/>
    <m/>
    <m/>
    <m/>
    <m/>
    <m/>
    <m/>
    <n v="0"/>
    <x v="16"/>
    <s v="Each"/>
    <n v="0"/>
    <d v="2035-12-31T00:00:00"/>
    <s v="Received 8,000 on 05/14/20 0745 (Receiving Report)."/>
    <m/>
    <m/>
    <m/>
  </r>
  <r>
    <d v="2020-04-17T00:00:00"/>
    <s v="Keeney's"/>
    <s v="Disinfectant Wipes"/>
    <s v="Wipes, Lysol, Ocean Wipes, 6 per case, 24 cases"/>
    <s v="RAC77925CT"/>
    <s v="N/A"/>
    <s v="N/A"/>
    <n v="80"/>
    <s v="Wipes"/>
    <n v="6"/>
    <s v="Tubes"/>
    <n v="24"/>
    <s v="Case"/>
    <n v="11520"/>
    <n v="144"/>
    <n v="39.979999999999997"/>
    <n v="959.52"/>
    <s v="TBD"/>
    <s v="Ship to FAS Warehouse. Attn: Mike Wong."/>
    <s v="FAS"/>
    <s v="FA0-K00004796; K0004796"/>
    <m/>
    <s v="Yes"/>
    <n v="24"/>
    <s v="KI-00019796"/>
    <d v="2020-04-27T00:00:00"/>
    <m/>
    <m/>
    <m/>
    <m/>
    <m/>
    <m/>
    <n v="0"/>
    <x v="11"/>
    <s v="Tube"/>
    <n v="0"/>
    <d v="2035-12-31T00:00:00"/>
    <s v="Received 24 on 4/17/20 (PS K0004796-1)"/>
    <m/>
    <m/>
    <m/>
  </r>
  <r>
    <d v="2020-04-21T00:00:00"/>
    <s v="Stellar"/>
    <s v="Therm"/>
    <s v="IHEALTH THERMOMETER MODEL PT3"/>
    <s v="IHEAL PT3"/>
    <s v="N/A"/>
    <s v="N/A"/>
    <n v="200"/>
    <s v="Each"/>
    <s v="N/A"/>
    <s v="N/A"/>
    <n v="1"/>
    <s v="Order"/>
    <n v="200"/>
    <s v="N/A"/>
    <n v="71.97"/>
    <n v="14394"/>
    <d v="2020-05-08T00:00:00"/>
    <s v="Ship to FAS Warehouse. Attn: Mike Wong."/>
    <s v="FAS"/>
    <s v="FA0-0000000055; 5980330"/>
    <m/>
    <s v="No"/>
    <n v="197"/>
    <n v="4202039"/>
    <d v="2020-05-01T00:00:00"/>
    <m/>
    <m/>
    <m/>
    <m/>
    <m/>
    <m/>
    <n v="3"/>
    <x v="12"/>
    <s v="Each"/>
    <n v="3"/>
    <d v="2020-05-08T00:00:00"/>
    <s v="Received 197 on 04/29 (Pick Ticket 7143921)."/>
    <m/>
    <m/>
    <m/>
  </r>
  <r>
    <d v="2020-04-20T00:00:00"/>
    <s v="Mallory Safety"/>
    <s v="Therm"/>
    <s v="Thermometer, non-contact"/>
    <s v="FORAC-IR42"/>
    <s v="N/A"/>
    <s v="N/A"/>
    <n v="50"/>
    <s v="Each"/>
    <s v="N/A"/>
    <s v="N/A"/>
    <n v="1"/>
    <s v="Order"/>
    <n v="50"/>
    <s v="N/A"/>
    <n v="112.66"/>
    <n v="5633"/>
    <d v="2020-04-28T00:00:00"/>
    <s v="Ship to FAS Warehouse. Attn: Mike Wong."/>
    <s v="FAS"/>
    <s v="FA0-0000000054; 2606964"/>
    <m/>
    <s v="Yes"/>
    <n v="50"/>
    <n v="4831223"/>
    <d v="2020-05-01T00:00:00"/>
    <m/>
    <m/>
    <m/>
    <m/>
    <m/>
    <m/>
    <n v="0"/>
    <x v="12"/>
    <s v="Each"/>
    <n v="0"/>
    <d v="2020-04-28T00:00:00"/>
    <s v="Received 50 on 04/29/20 (Pick Ticket #3864311)"/>
    <m/>
    <m/>
    <m/>
  </r>
  <r>
    <d v="2020-04-20T00:00:00"/>
    <s v="Western Safety"/>
    <s v="Disinfectant Wipes"/>
    <s v="CaviWipes,Toweletts 160/PK, 6x6.75"/>
    <s v="13-1100"/>
    <s v="N/A"/>
    <s v="N/A"/>
    <n v="160"/>
    <s v="Wipes"/>
    <n v="1920"/>
    <s v="Pack"/>
    <n v="1"/>
    <s v="Order"/>
    <n v="307200"/>
    <n v="1920"/>
    <n v="10.5"/>
    <n v="20160"/>
    <d v="2020-04-22T00:00:00"/>
    <s v="Ship to FAS Warehouse. Attn: Mike Wong"/>
    <s v="FAS"/>
    <s v="190482-0"/>
    <m/>
    <s v="Yes"/>
    <n v="1920"/>
    <s v="190482-1"/>
    <d v="2020-05-11T00:00:00"/>
    <m/>
    <m/>
    <m/>
    <m/>
    <m/>
    <m/>
    <n v="0"/>
    <x v="0"/>
    <m/>
    <m/>
    <d v="2020-04-22T00:00:00"/>
    <s v="Received 1,920 on 04/20/20 (PS 190482-1)"/>
    <m/>
    <m/>
    <m/>
  </r>
  <r>
    <d v="2020-04-17T00:00:00"/>
    <s v="Bartell's"/>
    <s v="Surgical Mask"/>
    <s v="Surgical Disposable Mask, 3 ply, 4 folded, ear loops. 50 per box, 40 boxes"/>
    <n v="127180"/>
    <s v="N/A"/>
    <s v="N/A"/>
    <n v="50"/>
    <s v="Masks"/>
    <n v="40"/>
    <s v="Box"/>
    <n v="90"/>
    <s v="Case"/>
    <n v="180000"/>
    <n v="3600"/>
    <n v="1360"/>
    <n v="122400"/>
    <d v="2020-04-24T00:00:00"/>
    <s v="Ship to FAS Warehouse. Attn: Mike Wong 8532 15th Ave NW Seattle, WA 98117"/>
    <s v="FAS"/>
    <s v="FA0-041720201-PT"/>
    <m/>
    <s v="Yes"/>
    <n v="88"/>
    <s v="SEA041320"/>
    <d v="2020-04-23T00:00:00"/>
    <n v="2"/>
    <s v="SEA041320"/>
    <d v="2020-04-23T00:00:00"/>
    <m/>
    <m/>
    <m/>
    <n v="0"/>
    <x v="8"/>
    <s v="Each"/>
    <n v="0"/>
    <d v="2020-04-24T00:00:00"/>
    <s v="Received 88 on 04/21/20 (hand written packing slip from Whse), Received  2 on 04/23/20 (e-mail from Wong)."/>
    <m/>
    <m/>
    <m/>
  </r>
  <r>
    <d v="2020-04-21T00:00:00"/>
    <s v="Stellar"/>
    <s v="Therm"/>
    <s v="IHEALTH THERMOMETER MODEL PT3"/>
    <s v="IHEAL PT3"/>
    <s v="N/A"/>
    <s v="N/A"/>
    <n v="100"/>
    <s v="Each"/>
    <s v="N/A"/>
    <s v="N/A"/>
    <n v="1"/>
    <s v="Order"/>
    <n v="100"/>
    <s v="N/A"/>
    <n v="71.97"/>
    <n v="7197"/>
    <d v="2020-05-11T00:00:00"/>
    <s v="Ship to FAS Warehouse. Attn: Mike Wong."/>
    <s v="FAS"/>
    <s v="FA0-0000000057; 5980467"/>
    <m/>
    <s v="Yes"/>
    <n v="100"/>
    <n v="4202040"/>
    <d v="2020-05-01T00:00:00"/>
    <m/>
    <m/>
    <m/>
    <m/>
    <m/>
    <m/>
    <n v="0"/>
    <x v="12"/>
    <s v="Each"/>
    <n v="0"/>
    <d v="2020-05-11T00:00:00"/>
    <s v="Received 100 on 04/29 (Pick Ticket 7143914)."/>
    <m/>
    <m/>
    <m/>
  </r>
  <r>
    <d v="2020-04-22T00:00:00"/>
    <s v="Mallory Safety"/>
    <s v="N-95 Filter"/>
    <s v="Moldex Respirator, Small, 10 per box, 10 boxes"/>
    <s v="MOLDE-2701N95"/>
    <s v="N/A"/>
    <s v="N/A"/>
    <n v="10"/>
    <s v="Masks"/>
    <n v="10"/>
    <s v="Box"/>
    <n v="1"/>
    <s v="Order"/>
    <n v="100"/>
    <n v="10"/>
    <n v="21.25"/>
    <n v="212.5"/>
    <d v="2020-06-17T00:00:00"/>
    <s v="Ship to FAS Warehouse. Attn: Mike Wong."/>
    <s v="FAS"/>
    <s v="FA0-0000000058; 2606964"/>
    <m/>
    <s v="Yes"/>
    <n v="10"/>
    <n v="4862987"/>
    <d v="2020-07-13T00:00:00"/>
    <m/>
    <m/>
    <m/>
    <m/>
    <m/>
    <m/>
    <n v="0"/>
    <x v="7"/>
    <s v="Each"/>
    <n v="0"/>
    <d v="2020-06-17T00:00:00"/>
    <s v="Received 10 boxes of 10 on 06/17/2020 @11:15"/>
    <m/>
    <m/>
    <m/>
  </r>
  <r>
    <d v="2020-04-22T00:00:00"/>
    <s v="Reliable Paper"/>
    <s v="Hand Sanitizer"/>
    <s v="75% Liquid Hand Sanitizer, 55-gallon drums"/>
    <s v="55DRUM"/>
    <n v="7040"/>
    <n v="70400"/>
    <n v="10"/>
    <s v="Drum"/>
    <s v="N/A"/>
    <s v="N/A"/>
    <n v="1"/>
    <s v="Order"/>
    <n v="10"/>
    <s v="N/A"/>
    <n v="1875"/>
    <n v="18750"/>
    <s v="TBD"/>
    <s v="Ship to FAS Warehouse. Attn: Mike Wong."/>
    <s v="FAS"/>
    <s v="FA0-STTL-54h49n"/>
    <m/>
    <s v="Yes"/>
    <n v="10"/>
    <n v="16185"/>
    <d v="2020-04-24T00:00:00"/>
    <m/>
    <m/>
    <m/>
    <m/>
    <m/>
    <m/>
    <n v="0"/>
    <x v="0"/>
    <m/>
    <m/>
    <d v="2035-12-31T00:00:00"/>
    <s v="Received 10 on 04/15/20 from Casey Products  (Whse made PS)"/>
    <m/>
    <m/>
    <m/>
  </r>
  <r>
    <d v="2020-04-22T00:00:00"/>
    <s v="Stellar"/>
    <s v="Therm"/>
    <s v="IHEALTH THERMOMETER MODEL PT3"/>
    <s v="IHEAL PT3"/>
    <s v="N/A"/>
    <s v="N/A"/>
    <n v="250"/>
    <s v="Each"/>
    <s v="N/A"/>
    <s v="N/A"/>
    <n v="1"/>
    <s v="Order"/>
    <n v="250"/>
    <s v="N/A"/>
    <n v="71.97"/>
    <n v="17992.5"/>
    <d v="2020-05-08T00:00:00"/>
    <s v="Ship to FAS Warehouse. Attn: Mike Wong."/>
    <s v="FAS"/>
    <s v="FA0-0000000059"/>
    <m/>
    <s v="Yes"/>
    <n v="240"/>
    <n v="4202041"/>
    <d v="2020-05-01T00:00:00"/>
    <n v="10"/>
    <n v="4203402"/>
    <d v="2020-05-08T00:00:00"/>
    <m/>
    <m/>
    <m/>
    <n v="0"/>
    <x v="12"/>
    <s v="Each"/>
    <n v="0"/>
    <d v="2020-05-08T00:00:00"/>
    <s v="Received 240 on 04/29 (Pick Ticket 7143922), Received 10 on 05/05/20 (Pick Ticket 7144539)."/>
    <m/>
    <m/>
    <m/>
  </r>
  <r>
    <d v="2020-04-23T00:00:00"/>
    <s v="Procurement Services "/>
    <s v="Hand Sanitizer"/>
    <s v="Lux Eoi Hand Sanitizing Gel, 16.9oz, 500ml - 40%"/>
    <s v="UPC 60003646014"/>
    <n v="16.899999999999999"/>
    <n v="211199.3"/>
    <n v="12497"/>
    <s v="Bottles"/>
    <s v="N/A"/>
    <s v="N/A"/>
    <n v="1"/>
    <s v="Order"/>
    <n v="12497"/>
    <s v="N/A"/>
    <n v="4.75"/>
    <n v="59360.75"/>
    <d v="2020-05-06T00:00:00"/>
    <s v="Ship to FAS Warehouse. Attn: Mike Wong."/>
    <s v="FAS"/>
    <s v="FA0-0000000056"/>
    <m/>
    <s v="Yes"/>
    <n v="12497"/>
    <s v="INV/2020/0006"/>
    <d v="2020-04-22T00:00:00"/>
    <m/>
    <m/>
    <m/>
    <m/>
    <m/>
    <m/>
    <n v="0"/>
    <x v="6"/>
    <s v="Each"/>
    <n v="0"/>
    <d v="2020-05-06T00:00:00"/>
    <s v="This invoice was 40% down payment - Received 2917 boxes on 05/26/20 0910 (2917x12=35004) Receiving Report covers lines C_202, C_203, and C_212."/>
    <m/>
    <m/>
    <m/>
  </r>
  <r>
    <d v="2020-04-23T00:00:00"/>
    <s v="Procurement Services "/>
    <s v="Hand Sanitizer"/>
    <s v="Lux Eoi Hand Sanitizing Gel, 16.9oz, 500ml - 60%"/>
    <s v="UPC 860003646014"/>
    <n v="16.899999999999999"/>
    <n v="316790.5"/>
    <n v="18745"/>
    <s v="Bottles"/>
    <s v="N/A"/>
    <s v="N/A"/>
    <n v="1"/>
    <s v="Order"/>
    <n v="18745"/>
    <s v="N/A"/>
    <n v="4.75"/>
    <n v="89038.75"/>
    <d v="2020-05-06T00:00:00"/>
    <s v="Ship to FAS Warehouse. Attn: Mike Wong."/>
    <s v="FAS"/>
    <s v="FA0-0000000056"/>
    <m/>
    <s v="Yes"/>
    <n v="18745"/>
    <s v="INV/2020/0005"/>
    <d v="2020-06-12T00:00:00"/>
    <m/>
    <m/>
    <m/>
    <m/>
    <m/>
    <m/>
    <n v="0"/>
    <x v="6"/>
    <s v="Each"/>
    <n v="0"/>
    <d v="2020-05-06T00:00:00"/>
    <s v="Received 2917 boxes on 05/26/20 0910 (2917x12=35004) Receiving Report covers lines C_202, C_203, and C_212"/>
    <m/>
    <m/>
    <m/>
  </r>
  <r>
    <d v="2020-04-23T00:00:00"/>
    <s v="Grainger"/>
    <s v="Gloves - XL"/>
    <s v="GLOVE,NIT.PF,XXL,EXAM,BLACK,1C"/>
    <s v="DUPLICATE"/>
    <s v="N/A"/>
    <s v="N/A"/>
    <m/>
    <s v="Box"/>
    <s v="N/A"/>
    <s v="N/A"/>
    <n v="1"/>
    <s v="Order"/>
    <m/>
    <s v="N/A"/>
    <m/>
    <n v="0"/>
    <m/>
    <s v="Ship to FAS Warehouse. Attn: Mike Wong."/>
    <s v="FAS"/>
    <m/>
    <s v="Duplicate - should be on non-central"/>
    <m/>
    <m/>
    <m/>
    <m/>
    <m/>
    <m/>
    <m/>
    <m/>
    <m/>
    <m/>
    <m/>
    <x v="17"/>
    <s v="Pair"/>
    <n v="0"/>
    <m/>
    <s v="See Non-Central - Line 22."/>
    <m/>
    <m/>
    <m/>
  </r>
  <r>
    <d v="2020-04-23T00:00:00"/>
    <s v="Reliable Paper"/>
    <s v="Hand Sanitizer"/>
    <s v="Liquid Hand Sanitizer, 75% Alcohol, 275-gallon tote"/>
    <s v="275 TOTE"/>
    <n v="35200"/>
    <n v="35200"/>
    <n v="1"/>
    <s v="Drum"/>
    <s v="N/A"/>
    <s v="N/A"/>
    <n v="1"/>
    <s v="Order"/>
    <n v="1"/>
    <s v="N/A"/>
    <n v="9625"/>
    <n v="9625"/>
    <d v="2020-04-23T00:00:00"/>
    <s v="Ship to FAS Warehouse. Attn: Mike Wong."/>
    <s v="FAS"/>
    <s v="FA0-0000000061"/>
    <m/>
    <s v="Yes"/>
    <n v="1"/>
    <n v="17138"/>
    <d v="2020-04-24T00:00:00"/>
    <m/>
    <m/>
    <m/>
    <m/>
    <m/>
    <m/>
    <n v="0"/>
    <x v="6"/>
    <s v="Each"/>
    <m/>
    <d v="2020-04-23T00:00:00"/>
    <m/>
    <m/>
    <m/>
    <m/>
  </r>
  <r>
    <d v="2020-04-28T00:00:00"/>
    <s v="Mallory Safety"/>
    <s v="N-95 Filter"/>
    <s v="Moldex Respirator, Small, 10 per box"/>
    <s v="MOLDE-2701N95"/>
    <s v="N/A"/>
    <s v="N/A"/>
    <n v="10"/>
    <s v="Masks"/>
    <n v="5"/>
    <s v="Box"/>
    <n v="1"/>
    <s v="Order"/>
    <n v="50"/>
    <n v="5"/>
    <n v="21.25"/>
    <n v="106.25"/>
    <d v="2020-06-05T00:00:00"/>
    <s v="Ship to FAS Warehouse. Attn: Mike Wong."/>
    <s v="FAS"/>
    <s v="FA1-STTL-znnfte; 2610943"/>
    <m/>
    <s v="Yes"/>
    <n v="5"/>
    <n v="4855889"/>
    <d v="2020-08-11T00:00:00"/>
    <m/>
    <m/>
    <m/>
    <m/>
    <m/>
    <m/>
    <n v="0"/>
    <x v="7"/>
    <s v="Each"/>
    <n v="0"/>
    <d v="2020-06-05T00:00:00"/>
    <s v="Received 5 boxes of 10 on 6/4/20 1035 (receiving report and packing slip)."/>
    <m/>
    <m/>
    <m/>
  </r>
  <r>
    <d v="2020-04-28T00:00:00"/>
    <s v="Stellar"/>
    <s v="Therm"/>
    <s v="Thermometer, IHEALTH"/>
    <s v="IHEAL PT3"/>
    <s v="N/A"/>
    <s v="N/A"/>
    <n v="300"/>
    <s v="Each"/>
    <s v="N/A"/>
    <s v="N/A"/>
    <n v="1"/>
    <s v="Order"/>
    <n v="300"/>
    <s v="N/A"/>
    <n v="71.97"/>
    <n v="21591"/>
    <d v="2020-05-13T00:00:00"/>
    <s v="Ship to FAS Warehouse. Attn: Mike Wong."/>
    <s v="FAS"/>
    <s v="FA1-0000000007; 5982632"/>
    <m/>
    <s v="No"/>
    <n v="303"/>
    <s v="4204233 and 4204234"/>
    <d v="2020-05-13T00:00:00"/>
    <m/>
    <m/>
    <m/>
    <m/>
    <m/>
    <m/>
    <n v="-3"/>
    <x v="12"/>
    <s v="Each"/>
    <n v="0"/>
    <d v="2020-05-13T00:00:00"/>
    <s v="Received 303 on 5/7/20 (Receiving Report) - invoiced 300 on inv#4204233 and 3 on inv#4204234."/>
    <m/>
    <m/>
    <m/>
  </r>
  <r>
    <d v="2020-04-29T00:00:00"/>
    <s v="Excel Supply Company"/>
    <s v="Disinfectant Wipes"/>
    <s v="PDI Alcohol Prep Pad, 100 per box, 10 boxes per case"/>
    <s v="1622-C69900"/>
    <s v="N/A"/>
    <s v="N/A"/>
    <n v="100"/>
    <s v="Wipes"/>
    <n v="10"/>
    <s v="Box"/>
    <n v="10"/>
    <s v="Case"/>
    <n v="10000"/>
    <n v="100"/>
    <n v="76"/>
    <n v="760"/>
    <d v="2020-05-31T00:00:00"/>
    <s v="Ship to FAS"/>
    <s v="FAS"/>
    <s v="FA1-0000000010; 2020-1092"/>
    <m/>
    <s v="Yes"/>
    <n v="10"/>
    <n v="123458"/>
    <d v="2020-07-06T00:00:00"/>
    <m/>
    <m/>
    <m/>
    <m/>
    <m/>
    <m/>
    <n v="0"/>
    <x v="11"/>
    <s v="Tube"/>
    <n v="0"/>
    <d v="2020-05-31T00:00:00"/>
    <s v="Received 10 boxes on 07/02/2020 at 13:25"/>
    <m/>
    <m/>
    <m/>
  </r>
  <r>
    <d v="2020-04-29T00:00:00"/>
    <s v="Excel Supply Company"/>
    <s v="HS Refill Bags"/>
    <s v="Purell Sanitizer Gel, 1200ML Refill, 4 per case, 750 cases, 3000 each"/>
    <s v="0712-GOJ5456EA"/>
    <n v="40.58"/>
    <n v="121740"/>
    <n v="4"/>
    <s v="Bottles"/>
    <n v="750"/>
    <s v="Box"/>
    <n v="1"/>
    <s v="Order"/>
    <n v="3000"/>
    <n v="750"/>
    <n v="17.5"/>
    <n v="52500"/>
    <d v="2020-06-30T00:00:00"/>
    <s v="Ship to FAS"/>
    <s v="FAS"/>
    <s v="FA1-0000000009; 2020-1091"/>
    <m/>
    <s v="No"/>
    <n v="24"/>
    <n v="123548"/>
    <d v="2020-07-16T00:00:00"/>
    <m/>
    <m/>
    <m/>
    <m/>
    <m/>
    <m/>
    <n v="2976"/>
    <x v="18"/>
    <s v="Box"/>
    <n v="2976"/>
    <d v="2020-06-30T00:00:00"/>
    <s v="Received 24 on 07/08/20 at 13:20 "/>
    <m/>
    <m/>
    <m/>
  </r>
  <r>
    <d v="2020-04-29T00:00:00"/>
    <s v="Excel Supply Company"/>
    <s v="Disinfectant Wipes"/>
    <s v="PDI alcohol Prep Pad, 100 per box, 10 boxes per case"/>
    <s v="1622-C69900"/>
    <s v="N/A"/>
    <s v="N/A"/>
    <n v="100"/>
    <s v="Wipes"/>
    <n v="10"/>
    <s v="Box"/>
    <n v="10"/>
    <s v="Case"/>
    <n v="10000"/>
    <n v="100"/>
    <n v="76"/>
    <n v="760"/>
    <d v="2020-05-07T00:00:00"/>
    <s v="Ship to FAS"/>
    <s v="FAS"/>
    <s v="FA1-0000000008; 2020-1090"/>
    <m/>
    <s v="Yes"/>
    <n v="10"/>
    <n v="121560"/>
    <d v="2020-05-13T00:00:00"/>
    <m/>
    <m/>
    <m/>
    <m/>
    <m/>
    <m/>
    <n v="0"/>
    <x v="13"/>
    <s v="Tube"/>
    <n v="0"/>
    <d v="2020-05-07T00:00:00"/>
    <s v="Received 10 on 04/30/20 (PS#121560)"/>
    <m/>
    <m/>
    <m/>
  </r>
  <r>
    <d v="2020-05-01T00:00:00"/>
    <s v="General Pacific"/>
    <s v="N-95 No Filter"/>
    <s v="KN 95 Masks"/>
    <s v="ECO KN95"/>
    <s v="N/A"/>
    <s v="N/A"/>
    <n v="5000"/>
    <s v="Masks"/>
    <s v="N/A"/>
    <s v="N/A"/>
    <n v="1"/>
    <s v="Order"/>
    <n v="5000"/>
    <s v="N/A"/>
    <n v="2.95"/>
    <n v="14750"/>
    <d v="2020-05-26T00:00:00"/>
    <s v="Ship to FAS Warehouse. Attn: Mike Wong 8532 15th Ave NW Seattle, WA 98117"/>
    <s v="FAS"/>
    <s v="1220478; FA1-0000000012"/>
    <m/>
    <s v="Yes"/>
    <n v="5000"/>
    <n v="1372290"/>
    <d v="2020-07-30T00:00:00"/>
    <m/>
    <m/>
    <m/>
    <m/>
    <m/>
    <m/>
    <n v="0"/>
    <x v="7"/>
    <s v="Each"/>
    <n v="0"/>
    <d v="2020-05-26T00:00:00"/>
    <s v="Received 5,000 on 05/12/20 1107 (Receiving Report)"/>
    <m/>
    <m/>
    <m/>
  </r>
  <r>
    <d v="2020-05-01T00:00:00"/>
    <s v="Procurement Services "/>
    <s v="Hand Sanitizer"/>
    <s v="Lux Eoi Hand Sanitizing Gel, 16.9oz, 500ml - 60%"/>
    <s v="UPC 860003646014"/>
    <n v="16.899999999999999"/>
    <n v="63881.999999999993"/>
    <n v="3780"/>
    <s v="Bottles"/>
    <s v="N/A"/>
    <s v="N/A"/>
    <n v="1"/>
    <s v="Order"/>
    <n v="3780"/>
    <s v="N/A"/>
    <n v="4.75"/>
    <n v="17955"/>
    <d v="2020-05-06T00:00:00"/>
    <s v="Ship to FAS Warehouse. Attn: Mike Wong."/>
    <s v="FAS"/>
    <s v="FA0-0000000056"/>
    <m/>
    <s v="No"/>
    <n v="3762"/>
    <s v="INV/2020/0010"/>
    <m/>
    <m/>
    <m/>
    <m/>
    <m/>
    <m/>
    <m/>
    <n v="18"/>
    <x v="6"/>
    <s v="Each"/>
    <n v="0"/>
    <d v="2020-05-06T00:00:00"/>
    <s v="Received 2917 boxes on 05/26/20 0910 (2917x12=35004) Receiving Report covers lines C_202, C_203, and C_212"/>
    <s v="Yes"/>
    <s v="Yes"/>
    <s v="Will deduct 18 off of one invoice."/>
  </r>
  <r>
    <d v="2020-05-01T00:00:00"/>
    <s v="Procurement Services "/>
    <s v="Hand Sanitizer"/>
    <s v="Lux Eoi Hand Sanitizer Gel, 16.9oz - 40%"/>
    <s v="UPC 860003646014"/>
    <n v="16.899999999999999"/>
    <n v="238492.79999999999"/>
    <n v="14112"/>
    <s v="Bottles"/>
    <s v="N/A"/>
    <s v="N/A"/>
    <n v="1"/>
    <s v="Order"/>
    <n v="14112"/>
    <s v="N/A"/>
    <n v="4.6500000000000004"/>
    <n v="65620.800000000003"/>
    <d v="2020-05-15T00:00:00"/>
    <s v="Ship to FAS Warehouse. Attn: Mike Wong."/>
    <s v="FAS"/>
    <s v="FA1-0000000013"/>
    <m/>
    <s v="Yes"/>
    <n v="14112"/>
    <s v="08"/>
    <m/>
    <m/>
    <m/>
    <m/>
    <m/>
    <m/>
    <m/>
    <n v="0"/>
    <x v="6"/>
    <s v="Each"/>
    <n v="0"/>
    <d v="2020-05-15T00:00:00"/>
    <s v="Received 2940 boxes on 05/26/20 0840 (2940 x 12 = 35280) Lines C_213 and C_214 in one receiving report"/>
    <m/>
    <m/>
    <m/>
  </r>
  <r>
    <d v="2020-05-01T00:00:00"/>
    <s v="Procurement Services "/>
    <s v="Hand Sanitizer"/>
    <s v="Lux Eoi Hand Sanitizer Gel, 16.9oz - 60%"/>
    <s v="UPC 860003646014"/>
    <n v="16.899999999999999"/>
    <n v="357739.19999999995"/>
    <n v="21168"/>
    <s v="Bottles"/>
    <s v="N/A"/>
    <s v="N/A"/>
    <n v="1"/>
    <s v="Order"/>
    <n v="21168"/>
    <s v="N/A"/>
    <n v="4.6500000000000004"/>
    <n v="98431.200000000012"/>
    <d v="2020-05-15T00:00:00"/>
    <s v="Ship to FAS Warehouse. Attn: Mike Wong."/>
    <s v="FAS"/>
    <s v="FA1-0000000013; S00019"/>
    <m/>
    <s v="Yes"/>
    <n v="21168"/>
    <m/>
    <m/>
    <m/>
    <m/>
    <m/>
    <m/>
    <m/>
    <m/>
    <n v="0"/>
    <x v="6"/>
    <s v="Each"/>
    <n v="0"/>
    <d v="2020-05-15T00:00:00"/>
    <s v="Received 2940 boxes on 05/26/20 0840 (2940 x 12 = 35280)Lines C_213 and C_214 in one receiving report"/>
    <m/>
    <m/>
    <m/>
  </r>
  <r>
    <d v="2020-05-04T00:00:00"/>
    <s v="Huons USA"/>
    <s v="Surgical Mask"/>
    <s v="N3 Surgical Masks, 50/box"/>
    <m/>
    <s v="N/A"/>
    <s v="N/A"/>
    <n v="50"/>
    <s v="Masks"/>
    <n v="18000"/>
    <s v="Box"/>
    <n v="1"/>
    <s v="Order"/>
    <n v="900000"/>
    <s v="N/A"/>
    <n v="0.38"/>
    <n v="342000"/>
    <d v="2020-06-12T00:00:00"/>
    <s v="Ship to FAS Warehouse. Attn: Mike Wong."/>
    <s v="FAS"/>
    <s v="FA105052020PT"/>
    <m/>
    <s v="Yes"/>
    <n v="900000"/>
    <s v="HUUS/OB/INV20-166"/>
    <d v="2020-07-06T00:00:00"/>
    <m/>
    <m/>
    <m/>
    <m/>
    <m/>
    <m/>
    <n v="0"/>
    <x v="8"/>
    <s v="Each"/>
    <n v="0"/>
    <d v="2020-06-12T00:00:00"/>
    <s v="Received 18000 boxes on 07/01/2020 at 1530"/>
    <m/>
    <m/>
    <m/>
  </r>
  <r>
    <d v="2020-05-06T00:00:00"/>
    <s v="Bartell's"/>
    <s v="Disinfectant Wipes"/>
    <s v="Lemon &amp; Lime Blossom, 4/(3x35) ct."/>
    <n v="3064746"/>
    <s v="N/A"/>
    <s v="N/A"/>
    <n v="35"/>
    <s v="Wipes"/>
    <n v="4"/>
    <s v="Tubes"/>
    <n v="966"/>
    <s v="Case"/>
    <n v="135240"/>
    <n v="3864"/>
    <n v="9.89"/>
    <n v="9553.74"/>
    <d v="2020-06-05T00:00:00"/>
    <s v="Ship to FAS Warehouse. Attn: Mike Wong."/>
    <s v="FAS"/>
    <s v="FA1-05052020PP"/>
    <m/>
    <s v="No"/>
    <n v="684"/>
    <s v="SEA050820"/>
    <d v="2020-05-14T00:00:00"/>
    <m/>
    <m/>
    <m/>
    <m/>
    <m/>
    <m/>
    <n v="282"/>
    <x v="11"/>
    <s v="Tube"/>
    <n v="1128"/>
    <d v="2020-06-05T00:00:00"/>
    <s v="Received 684 (171 cases x 4 tubes/case) on 05/08/20 1208 (Receiving Report)"/>
    <m/>
    <m/>
    <m/>
  </r>
  <r>
    <d v="2020-05-06T00:00:00"/>
    <s v="Bartell's"/>
    <m/>
    <s v="Lysol, US, LDS SWF 12/12.5Z (US02)"/>
    <n v="8031806"/>
    <n v="12.5"/>
    <n v="8487.5"/>
    <n v="679"/>
    <s v="Each"/>
    <s v="N/A"/>
    <s v="N/A"/>
    <n v="1"/>
    <s v="Order"/>
    <n v="679"/>
    <s v="N/A"/>
    <n v="5.39"/>
    <m/>
    <d v="2020-06-05T00:00:00"/>
    <s v="Ship to FAS Warehouse. Attn: Mike Wong."/>
    <s v="FAS"/>
    <s v="FA1-05052020PP"/>
    <m/>
    <s v="Cancelled"/>
    <m/>
    <m/>
    <m/>
    <m/>
    <m/>
    <m/>
    <m/>
    <m/>
    <m/>
    <n v="0"/>
    <x v="10"/>
    <m/>
    <n v="0"/>
    <m/>
    <m/>
    <m/>
    <m/>
    <m/>
  </r>
  <r>
    <d v="2020-05-06T00:00:00"/>
    <s v="Bartell's"/>
    <s v="Disinfectant Wipes"/>
    <s v="Lysol Disinfecting Wipes - Brand New Day. Mango &amp; Hibiscus 6/80 ct."/>
    <n v="3064749"/>
    <s v="N/A"/>
    <s v="N/A"/>
    <n v="35"/>
    <s v="Wipes"/>
    <n v="3"/>
    <s v="Tubes"/>
    <n v="206"/>
    <s v="Case"/>
    <n v="21630"/>
    <n v="618"/>
    <n v="6.11"/>
    <n v="1258.6600000000001"/>
    <d v="2020-06-05T00:00:00"/>
    <s v="Ship to FAS Warehouse. Attn: Mike Wong."/>
    <s v="FAS"/>
    <s v="FA1-05052020PP"/>
    <m/>
    <s v="No"/>
    <n v="204"/>
    <s v="SEA050820"/>
    <d v="2020-05-14T00:00:00"/>
    <m/>
    <m/>
    <m/>
    <m/>
    <m/>
    <m/>
    <n v="2"/>
    <x v="11"/>
    <s v="Tube"/>
    <n v="6"/>
    <d v="2020-06-05T00:00:00"/>
    <s v="Received 204 (34 cases x 6 tubes/case) on 05/08/20 1208 (Receiving Report)"/>
    <m/>
    <m/>
    <m/>
  </r>
  <r>
    <d v="2020-05-06T00:00:00"/>
    <s v="Saryan's Arthur"/>
    <s v="Therm"/>
    <s v="Infrared no contact thermometers"/>
    <s v="FT-100A"/>
    <s v="N/A"/>
    <s v="N/A"/>
    <n v="1000"/>
    <s v="Each"/>
    <s v="N/A"/>
    <s v="N/A"/>
    <n v="1"/>
    <s v="Order"/>
    <n v="1000"/>
    <s v="N/A"/>
    <n v="50"/>
    <n v="50000"/>
    <d v="2020-06-15T00:00:00"/>
    <s v="Ship to FAS Warehouse. Attn: Mike Wong."/>
    <s v="FAS"/>
    <s v="FA1-0000000018"/>
    <s v="Net 1"/>
    <s v="Yes"/>
    <n v="1000"/>
    <s v="05222020"/>
    <d v="2020-06-24T00:00:00"/>
    <m/>
    <m/>
    <m/>
    <m/>
    <m/>
    <m/>
    <n v="0"/>
    <x v="12"/>
    <s v="Each"/>
    <n v="0"/>
    <d v="2020-06-15T00:00:00"/>
    <s v="Received 1000 on 06/18/2020 at 13:30 "/>
    <m/>
    <m/>
    <m/>
  </r>
  <r>
    <d v="2020-05-08T00:00:00"/>
    <s v="Stellar"/>
    <s v="DS"/>
    <s v="M18 switch tank, 4-gallon, backpack sprayer kit"/>
    <s v="MILWA 2820-21PS"/>
    <s v="N/A"/>
    <s v="N/A"/>
    <n v="15"/>
    <s v="Each"/>
    <s v="N/A"/>
    <s v="N/A"/>
    <n v="1"/>
    <s v="Order"/>
    <n v="15"/>
    <s v="N/A"/>
    <n v="384.71"/>
    <n v="5770.65"/>
    <d v="2020-05-13T00:00:00"/>
    <s v="Ship to FAS Warehouse. Attn: Mike Wong."/>
    <s v="FAS"/>
    <s v="FA1-STTL-hywm6o; 5985620"/>
    <m/>
    <s v="Yes"/>
    <n v="15"/>
    <n v="4205246"/>
    <d v="2020-05-13T00:00:00"/>
    <m/>
    <m/>
    <m/>
    <m/>
    <m/>
    <m/>
    <n v="0"/>
    <x v="19"/>
    <s v="Each"/>
    <n v="0"/>
    <d v="2020-05-13T00:00:00"/>
    <s v="Received 15 on 05/12/20 1220 (Receiving Report)."/>
    <m/>
    <m/>
    <m/>
  </r>
  <r>
    <d v="2020-05-08T00:00:00"/>
    <s v="Stellar"/>
    <s v="Other"/>
    <s v="M18 red lithium 5.0 AH battery pack"/>
    <s v="MILWA 48-11-1850"/>
    <s v="N/A"/>
    <s v="N/A"/>
    <n v="15"/>
    <s v="Each"/>
    <s v="N/A"/>
    <s v="N/A"/>
    <n v="1"/>
    <s v="Order"/>
    <n v="15"/>
    <s v="N/A"/>
    <n v="75"/>
    <n v="1125"/>
    <d v="2020-05-13T00:00:00"/>
    <s v="Ship to FAS Warehouse. Attn: Mike Wong."/>
    <s v="FAS"/>
    <s v="FA1-STTL-hywm6o; 5985620"/>
    <m/>
    <s v="Yes"/>
    <n v="15"/>
    <n v="4205246"/>
    <d v="2020-05-13T00:00:00"/>
    <m/>
    <m/>
    <m/>
    <m/>
    <m/>
    <m/>
    <n v="0"/>
    <x v="20"/>
    <m/>
    <n v="0"/>
    <d v="2020-05-13T00:00:00"/>
    <s v="Received 15 on 05/12/20 1220 (Receiving Report)."/>
    <m/>
    <m/>
    <m/>
  </r>
  <r>
    <d v="2020-05-08T00:00:00"/>
    <s v="Home Depot"/>
    <s v="DSS"/>
    <s v="Bioesque Botanical Disinfectant, 55-gallon drum"/>
    <n v="310650026"/>
    <n v="7040"/>
    <n v="35200"/>
    <n v="5"/>
    <s v="Each"/>
    <s v="N/A"/>
    <s v="N/A"/>
    <n v="1"/>
    <s v="Order"/>
    <n v="5"/>
    <s v="N/A"/>
    <n v="849.99"/>
    <m/>
    <s v="TBD"/>
    <s v="Ship to FAS Warehouse. Attn: Mike Wong."/>
    <s v="FAS"/>
    <s v="FA1-STTL-hywm6o"/>
    <m/>
    <s v="Cancelled"/>
    <m/>
    <m/>
    <m/>
    <m/>
    <m/>
    <m/>
    <m/>
    <m/>
    <m/>
    <n v="0"/>
    <x v="21"/>
    <s v="Gal"/>
    <n v="0"/>
    <d v="2035-12-31T00:00:00"/>
    <m/>
    <m/>
    <m/>
    <m/>
  </r>
  <r>
    <d v="2020-05-08T00:00:00"/>
    <s v="Home Depot"/>
    <s v="DSS"/>
    <s v="Bioesque Botanical Disinfectant, 5-gallon pail"/>
    <n v="310650025"/>
    <n v="640"/>
    <n v="2560"/>
    <n v="4"/>
    <s v="Each"/>
    <s v="N/A"/>
    <s v="N/A"/>
    <n v="1"/>
    <s v="Order"/>
    <n v="4"/>
    <s v="N/A"/>
    <n v="93.49"/>
    <m/>
    <s v="TBD"/>
    <s v="Ship to FAS Warehouse. Attn: Mike Wong."/>
    <s v="FAS"/>
    <s v="FA1-STTL-hywm6o"/>
    <m/>
    <s v="Cancelled"/>
    <m/>
    <m/>
    <m/>
    <m/>
    <m/>
    <m/>
    <m/>
    <m/>
    <m/>
    <n v="0"/>
    <x v="21"/>
    <s v="Gal"/>
    <n v="0"/>
    <d v="2035-12-31T00:00:00"/>
    <m/>
    <m/>
    <m/>
    <m/>
  </r>
  <r>
    <d v="2020-05-12T00:00:00"/>
    <s v="Western Safety"/>
    <s v="PAWS"/>
    <s v="PAWS, Antimicrobial Towelette, 100 per box 100 $"/>
    <n v="34400"/>
    <s v="N/A"/>
    <s v="N/A"/>
    <n v="100"/>
    <s v="Wipes"/>
    <n v="10"/>
    <s v="Packs"/>
    <n v="10"/>
    <s v="Case"/>
    <n v="10000"/>
    <n v="100"/>
    <n v="9.25"/>
    <n v="925"/>
    <d v="2020-05-15T00:00:00"/>
    <s v="Ship to FAS Warehouse, Mike Wong - 8532 15th AVE NW"/>
    <s v="FAS"/>
    <s v="FA1-0000000021; 191326-0"/>
    <m/>
    <s v="Yes"/>
    <n v="100"/>
    <s v="191326-1"/>
    <d v="2020-05-18T00:00:00"/>
    <m/>
    <m/>
    <m/>
    <m/>
    <m/>
    <m/>
    <n v="0"/>
    <x v="13"/>
    <s v="Each"/>
    <n v="0"/>
    <d v="2020-05-15T00:00:00"/>
    <s v="Received 100 boxes (10,000 wipes) on 05/15/20 (Receiving Report with PS 191326-1)."/>
    <m/>
    <m/>
    <m/>
  </r>
  <r>
    <d v="2020-04-22T00:00:00"/>
    <s v="Saryan's Arthur"/>
    <s v="CMask"/>
    <s v="cloth masks, antimicrobial"/>
    <s v="FORAC-IR42"/>
    <s v="N/A"/>
    <s v="N/A"/>
    <n v="20000"/>
    <s v="Masks"/>
    <s v="N/A"/>
    <s v="N/A"/>
    <n v="1"/>
    <s v="Order"/>
    <n v="20000"/>
    <s v="N/A"/>
    <n v="4.6500000000000004"/>
    <n v="93000"/>
    <d v="2020-05-30T00:00:00"/>
    <s v="Ship to FAS"/>
    <s v="FAS"/>
    <s v="FA0-0000000060"/>
    <m/>
    <s v="No"/>
    <n v="20005"/>
    <s v="05132020"/>
    <d v="2020-06-04T00:00:00"/>
    <m/>
    <m/>
    <m/>
    <m/>
    <m/>
    <m/>
    <n v="-5"/>
    <x v="15"/>
    <s v="Each"/>
    <n v="0"/>
    <d v="2020-05-30T00:00:00"/>
    <s v="Received 7,632 on 05/18/20 1130 (Receiving report - no packing slip).  Received 864 on 05/19/20 1400 (receiving report - no packing slip). Received 1,368 on 05/20/20 1100 (Receiving report - no packing slip). Received 5,484 on 05/21/20 1315 (Receiving report - no packing slip). Received 4,405 on 5/22/20 1025 (Receiving report - no packing slip). Received 252 on 6/2/20 (Receiving report - no packing slip)."/>
    <m/>
    <m/>
    <m/>
  </r>
  <r>
    <d v="2020-05-12T00:00:00"/>
    <s v="Excel Supply Company"/>
    <s v="Other"/>
    <s v="Purell Dispenser Stand with Dispenser"/>
    <s v="2424-DS and 2720-12"/>
    <s v="N/A"/>
    <s v="N/A"/>
    <n v="250"/>
    <s v="Each"/>
    <s v="N/A"/>
    <s v="N/A"/>
    <n v="1"/>
    <s v="Order"/>
    <n v="250"/>
    <s v="N/A"/>
    <n v="99"/>
    <n v="24750"/>
    <s v="TBD"/>
    <s v="Ship to FAS"/>
    <s v="FAS"/>
    <s v="FA1-0000000022"/>
    <m/>
    <s v="No"/>
    <m/>
    <m/>
    <m/>
    <m/>
    <m/>
    <m/>
    <m/>
    <m/>
    <m/>
    <n v="250"/>
    <x v="22"/>
    <s v="Each"/>
    <n v="250"/>
    <d v="2035-12-31T00:00:00"/>
    <m/>
    <m/>
    <m/>
    <m/>
  </r>
  <r>
    <d v="2020-05-12T00:00:00"/>
    <s v="Excel Supply Company"/>
    <s v="Other"/>
    <s v="Purell Mask Bracket"/>
    <n v="2428"/>
    <s v="N/A"/>
    <s v="N/A"/>
    <n v="250"/>
    <s v="Each"/>
    <s v="N/A"/>
    <s v="N/A"/>
    <n v="1"/>
    <s v="Order"/>
    <n v="250"/>
    <s v="N/A"/>
    <n v="16"/>
    <n v="4000"/>
    <s v="TBD"/>
    <s v="Ship to FAS"/>
    <s v="FAS"/>
    <s v="FA1-0000000022"/>
    <m/>
    <s v="No"/>
    <m/>
    <m/>
    <m/>
    <m/>
    <m/>
    <m/>
    <m/>
    <m/>
    <m/>
    <n v="250"/>
    <x v="23"/>
    <s v="Each"/>
    <n v="250"/>
    <d v="2035-12-31T00:00:00"/>
    <m/>
    <m/>
    <m/>
    <m/>
  </r>
  <r>
    <d v="2020-05-13T00:00:00"/>
    <s v="Sound Safety Products"/>
    <s v="IA"/>
    <s v="70% Isopropyl Alcohol, 32 oz bottles"/>
    <s v="14-032-70"/>
    <n v="32"/>
    <n v="528000"/>
    <n v="16500"/>
    <s v="Bottles"/>
    <s v="N/A"/>
    <s v="N/A"/>
    <n v="1"/>
    <s v="Order"/>
    <n v="16500"/>
    <s v="N/A"/>
    <n v="8.85"/>
    <n v="146025"/>
    <d v="2020-05-28T00:00:00"/>
    <s v="Ship to FAS"/>
    <s v="FAS"/>
    <s v="FA1-0000000024"/>
    <m/>
    <s v="Yes"/>
    <n v="16500"/>
    <s v="350132/1"/>
    <d v="2020-06-12T00:00:00"/>
    <m/>
    <m/>
    <m/>
    <m/>
    <m/>
    <m/>
    <n v="0"/>
    <x v="24"/>
    <s v="Bottle"/>
    <n v="0"/>
    <d v="2020-05-28T00:00:00"/>
    <s v="Received 3,975 cases (15,900 32 oz bottles) on 6/2, Received 150 cases (600 32oz bottles) on 6/8 1150"/>
    <m/>
    <m/>
    <m/>
  </r>
  <r>
    <d v="2020-05-14T00:00:00"/>
    <s v="Excel Supply Company"/>
    <s v="Disinfectant Wipes"/>
    <s v="PDI Super Sani-Cloth, Germicidal, 160 ct"/>
    <s v="Q55172"/>
    <s v="N/A"/>
    <s v="N/A"/>
    <n v="160"/>
    <s v="Wipes"/>
    <n v="500"/>
    <s v="Tubes"/>
    <n v="1"/>
    <s v="Order"/>
    <n v="80000"/>
    <n v="500"/>
    <n v="5.9"/>
    <n v="2950"/>
    <d v="2020-06-05T00:00:00"/>
    <s v="Ship to FAS"/>
    <s v="FAS"/>
    <s v="FA1-STTL-shm90d"/>
    <m/>
    <s v="Yes"/>
    <n v="120"/>
    <n v="122126"/>
    <d v="2020-06-02T00:00:00"/>
    <n v="380"/>
    <n v="122369"/>
    <d v="2020-06-05T00:00:00"/>
    <m/>
    <m/>
    <m/>
    <n v="0"/>
    <x v="11"/>
    <s v="Tube"/>
    <n v="0"/>
    <d v="2020-06-05T00:00:00"/>
    <s v="Received 120 on 05/18/20 1450 (Receiving Report and P.S. ref inv#122126 / Sales Order SO212313 - 6 per case, 20 cases)."/>
    <m/>
    <m/>
    <m/>
  </r>
  <r>
    <d v="2020-05-15T00:00:00"/>
    <s v="Excel Supply Company"/>
    <s v="N-95 No Filter"/>
    <s v="N95 masks, 3M 8200, 3M 8210, Gerson 1730"/>
    <m/>
    <s v="N/A"/>
    <s v="N/A"/>
    <n v="20"/>
    <s v="Masks"/>
    <n v="25004"/>
    <s v="Box"/>
    <n v="1"/>
    <s v="Order"/>
    <n v="500080"/>
    <s v="N/A"/>
    <n v="1.5"/>
    <n v="750120"/>
    <d v="2020-07-31T00:00:00"/>
    <s v="Ship to FAS"/>
    <s v="FAS"/>
    <s v="FA1-0000000025"/>
    <m/>
    <s v="No"/>
    <n v="6400"/>
    <n v="122704"/>
    <d v="2020-06-16T00:00:00"/>
    <n v="11200"/>
    <n v="122967"/>
    <d v="2020-07-07T00:00:00"/>
    <n v="3080"/>
    <s v="123444, 123547, 123817, 123771, 124259"/>
    <d v="2020-07-06T00:00:00"/>
    <n v="479400"/>
    <x v="7"/>
    <s v="Each"/>
    <n v="479400"/>
    <d v="2020-07-31T00:00:00"/>
    <s v="Received 1600 of 3M N95 8200 masks and 4800 3M N95 8210s on 06/15/20 at 1500 (per receiving report, 10cases of 8200 and 30 cases of 8210, 20 masks per box, 8 boxes per case), Received 560 boxes of 20 8210s on 06/22/2020 at 1555, Received 120 boxes of 20 8210 on 07/02/2020 at 13:25. // Recieved 56 boxes on 07/08/20 1320 - Receiving Report and Packing slip 123547. Paid on Inv#123547 to A/P on 07/08/20. // Received 400 boxes on 07/21/20 at 1200 - Rec Rep and Pck Slip. Paid on Inv#123771 to A/P on 08/10/20. // Received 224 (80+144) boxes of 20 on 08/11/20 1030 (Packing Slip and Receiving Report 124259. Paid on Inv#124259 - to A/P on 08/17/20."/>
    <m/>
    <m/>
    <m/>
  </r>
  <r>
    <d v="2020-05-19T00:00:00"/>
    <s v="TeleSwivel"/>
    <s v="DSS"/>
    <s v="Bioesque Disinfectant, 55-gallon drum"/>
    <s v=" BBDS55G "/>
    <n v="7040"/>
    <n v="14080"/>
    <n v="2"/>
    <s v="Drums"/>
    <s v="N/A"/>
    <s v="N/A"/>
    <n v="1"/>
    <s v=" Order "/>
    <n v="2"/>
    <s v=" N/A "/>
    <n v="1039.21"/>
    <n v="2078.42"/>
    <d v="2020-05-29T00:00:00"/>
    <s v="Ship to FAS"/>
    <s v="FAS"/>
    <s v="FA1-0000000028"/>
    <m/>
    <s v="Yes"/>
    <n v="2"/>
    <n v="777"/>
    <d v="2020-06-15T00:00:00"/>
    <m/>
    <m/>
    <m/>
    <m/>
    <m/>
    <m/>
    <n v="0"/>
    <x v="21"/>
    <s v="Gal"/>
    <n v="0"/>
    <d v="2020-05-29T00:00:00"/>
    <s v="Received 2 on 05/28/20 1055 (Receiving report and delivery info from Elden Logistics - no packing slip)."/>
    <m/>
    <m/>
    <m/>
  </r>
  <r>
    <d v="2020-05-19T00:00:00"/>
    <s v="TeleSwivel"/>
    <s v="DSS"/>
    <s v="Bioesque Disinfectant, 5-gallon pail"/>
    <s v="BBDs5G"/>
    <n v="640"/>
    <n v="14080"/>
    <n v="22"/>
    <s v="Pails"/>
    <s v="N/A"/>
    <s v="N/A"/>
    <n v="1"/>
    <s v=" Order "/>
    <n v="22"/>
    <s v=" N/A "/>
    <n v="151.4"/>
    <n v="3330.8"/>
    <d v="2020-05-29T00:00:00"/>
    <s v="Ship to FAS"/>
    <s v="FAS"/>
    <s v="FA1-0000000028"/>
    <m/>
    <s v="Yes"/>
    <n v="22"/>
    <n v="777"/>
    <d v="2020-06-15T00:00:00"/>
    <m/>
    <m/>
    <m/>
    <m/>
    <m/>
    <m/>
    <n v="0"/>
    <x v="21"/>
    <s v="Gal"/>
    <n v="0"/>
    <d v="2020-05-29T00:00:00"/>
    <s v="Received 22 on 05/28/20 1055 (Receiving report and delivery info from Elden Logistics - no packing slip)."/>
    <m/>
    <m/>
    <m/>
  </r>
  <r>
    <d v="2020-05-21T00:00:00"/>
    <s v="Grainger"/>
    <s v="Gowns"/>
    <s v="Gown, elastic, blue, universal, Condor, 15 per pack"/>
    <s v="32KF55"/>
    <s v=" N/A "/>
    <s v=" N/A "/>
    <n v="15"/>
    <s v="Gowns"/>
    <n v="13333"/>
    <s v="Packs"/>
    <n v="1"/>
    <s v=" Order "/>
    <n v="199995"/>
    <n v="13333"/>
    <n v="27.95"/>
    <n v="372657.35"/>
    <d v="2021-01-06T00:00:00"/>
    <s v="Ship to FAS Warehouse 2901 27th Ave S"/>
    <s v="FAS"/>
    <s v="FA1-0000000029"/>
    <s v="Rec'd notice that delivery date pushed to 1/6/2021 (from 8/5/20)-back order"/>
    <s v="No"/>
    <m/>
    <m/>
    <m/>
    <m/>
    <m/>
    <m/>
    <m/>
    <m/>
    <m/>
    <n v="199995"/>
    <x v="16"/>
    <s v="Each"/>
    <n v="199995"/>
    <d v="2021-01-06T00:00:00"/>
    <m/>
    <m/>
    <m/>
    <m/>
  </r>
  <r>
    <d v="2020-06-11T00:00:00"/>
    <s v="Procurement Services"/>
    <s v="Hand Sanitizer"/>
    <s v="Lux Eoi Hand Sanitizer Gel, 16.9oz - 40%"/>
    <s v="UPC 860003646014"/>
    <n v="-16.899999999999999"/>
    <n v="-304.2"/>
    <n v="-18"/>
    <s v="Bottles"/>
    <s v="N/A"/>
    <s v="N/A"/>
    <n v="1"/>
    <s v="Order"/>
    <n v="-18"/>
    <s v="N/A"/>
    <n v="4.75"/>
    <n v="-85.5"/>
    <s v="N/A"/>
    <s v="N/A"/>
    <s v="N/A"/>
    <s v="FA1-0000000056"/>
    <s v="REF C_212, short 18 bottles"/>
    <s v="-"/>
    <s v="-"/>
    <s v="-"/>
    <m/>
    <m/>
    <m/>
    <m/>
    <m/>
    <m/>
    <m/>
    <n v="-18"/>
    <x v="6"/>
    <s v="Each"/>
    <n v="0"/>
    <s v="N/A"/>
    <m/>
    <m/>
    <m/>
    <m/>
  </r>
  <r>
    <d v="2020-05-21T00:00:00"/>
    <s v="Pacific Office Solutions"/>
    <s v="IA"/>
    <s v="Rubbing Alcohol, liquid solution, 70%, 16 oz. bottle"/>
    <s v="2MRZ2"/>
    <n v="16"/>
    <n v="192000"/>
    <n v="12000"/>
    <s v="Bottles"/>
    <s v="N/A"/>
    <s v="N/A"/>
    <n v="1"/>
    <s v=" Order "/>
    <n v="12000"/>
    <s v=" N/A "/>
    <n v="1.2"/>
    <n v="14400"/>
    <d v="2020-08-12T00:00:00"/>
    <s v="Ship to FAS - changed address to 2901 27th S on 6.29.20 in DM email"/>
    <s v="FAS"/>
    <s v="FA1-0000000030"/>
    <s v="Rec'd notice on 8/12 that delivery expected now 13 on 8/13/20; 2k on 8/17/20; 9,987 on 8/20/20."/>
    <s v="No"/>
    <m/>
    <m/>
    <m/>
    <m/>
    <m/>
    <m/>
    <m/>
    <m/>
    <m/>
    <n v="12000"/>
    <x v="24"/>
    <s v="Bottle"/>
    <n v="12000"/>
    <d v="2020-08-12T00:00:00"/>
    <m/>
    <m/>
    <m/>
    <m/>
  </r>
  <r>
    <d v="2020-05-21T00:00:00"/>
    <s v="Huons USA"/>
    <s v="Hand Sanitizer"/>
    <s v="Hand Sanitizer gel, 70%, 16.9 oz bottles"/>
    <m/>
    <n v="16.899999999999999"/>
    <n v="371800"/>
    <n v="22000"/>
    <s v="Bottles"/>
    <s v="N/A"/>
    <s v="N/A"/>
    <n v="1"/>
    <s v=" Order "/>
    <n v="22000"/>
    <s v=" N/A "/>
    <n v="3.25"/>
    <n v="71500"/>
    <d v="2020-07-10T00:00:00"/>
    <s v="Ship to FAS"/>
    <s v="FAS"/>
    <s v="FA1-0000000031"/>
    <m/>
    <s v="Yes"/>
    <n v="22000"/>
    <s v="HUUS/OB/INV20-165"/>
    <d v="2020-07-08T00:00:00"/>
    <m/>
    <m/>
    <m/>
    <m/>
    <m/>
    <m/>
    <n v="0"/>
    <x v="6"/>
    <s v="Bottle"/>
    <n v="0"/>
    <d v="2020-07-10T00:00:00"/>
    <s v="Received 22008 on 06/17/2020 1010 (8 over)"/>
    <m/>
    <m/>
    <m/>
  </r>
  <r>
    <d v="2020-05-26T00:00:00"/>
    <s v="Amazon.com"/>
    <s v="Other"/>
    <s v="50/100 Pcs replaceable activated carbon filters meltblown cloth filters by Moonli (500 pcs)"/>
    <s v="ASIN B0877869VY"/>
    <s v="N/A"/>
    <s v="N/A"/>
    <n v="500"/>
    <s v="Filters"/>
    <n v="60"/>
    <s v="Packs"/>
    <n v="1"/>
    <s v="Order"/>
    <n v="30000"/>
    <s v="N/A"/>
    <n v="244.99"/>
    <n v="14699.400000000001"/>
    <d v="2020-06-12T00:00:00"/>
    <s v="Ship to FAS Warehouse Attn:Mike Wong"/>
    <s v="FAS"/>
    <n v="5262020"/>
    <s v="Paid by PP CC *6666, also included $5.99 S&amp;H"/>
    <s v="Yes"/>
    <n v="21390"/>
    <m/>
    <m/>
    <n v="8610"/>
    <m/>
    <m/>
    <m/>
    <m/>
    <m/>
    <n v="0"/>
    <x v="10"/>
    <m/>
    <n v="0"/>
    <d v="2020-06-12T00:00:00"/>
    <s v="Received 21,390 on 06/05/20 1005 (receiving report)"/>
    <m/>
    <m/>
    <m/>
  </r>
  <r>
    <d v="2020-05-28T00:00:00"/>
    <s v="Complete Office"/>
    <s v="Surgical Mask"/>
    <s v="Disposable face mask, 3-ply, 50 per box, 4,000 boxes. "/>
    <s v="COM910160"/>
    <s v=" N/A "/>
    <s v=" N/A "/>
    <n v="50"/>
    <s v="Masks"/>
    <n v="4000"/>
    <s v="Box"/>
    <n v="1"/>
    <s v=" Order "/>
    <n v="200000"/>
    <n v="4000"/>
    <n v="17.95"/>
    <n v="71800"/>
    <d v="2020-06-12T00:00:00"/>
    <s v="Ship to FAS Warehouse, Mike Wong - 8532 15th AVE NW"/>
    <s v="FAS"/>
    <s v="FA1-0000000034"/>
    <m/>
    <s v="Yes"/>
    <n v="4000"/>
    <s v="1967451-0"/>
    <d v="2020-06-15T00:00:00"/>
    <m/>
    <m/>
    <m/>
    <m/>
    <m/>
    <m/>
    <n v="0"/>
    <x v="8"/>
    <s v="Each"/>
    <n v="0"/>
    <d v="2020-06-12T00:00:00"/>
    <s v="Received 4000 on 06/11/20 0935,"/>
    <m/>
    <m/>
    <m/>
  </r>
  <r>
    <d v="2020-05-28T00:00:00"/>
    <s v="Complete Office"/>
    <s v="Surgical Mask"/>
    <s v="Disposable face mask, 3-ply, 50 per box, 16,000"/>
    <s v="COM910160"/>
    <s v=" N/A "/>
    <s v=" N/A "/>
    <n v="50"/>
    <s v="Masks"/>
    <n v="16000"/>
    <s v="Box"/>
    <n v="1"/>
    <s v=" Order "/>
    <n v="800000"/>
    <n v="16000"/>
    <n v="17.95"/>
    <n v="287200"/>
    <d v="2020-07-06T00:00:00"/>
    <s v="Ship to FAS Warehouse, Mike Wong - 8532 15th AVE NW"/>
    <s v="FAS"/>
    <s v="FA1-0000000034"/>
    <m/>
    <s v="Yes"/>
    <n v="8000"/>
    <s v="1975233-1"/>
    <d v="2020-08-05T00:00:00"/>
    <n v="8000"/>
    <s v="1978274-0"/>
    <d v="2020-08-17T00:00:00"/>
    <m/>
    <m/>
    <m/>
    <n v="0"/>
    <x v="8"/>
    <s v="Each"/>
    <n v="0"/>
    <d v="2020-07-06T00:00:00"/>
    <s v="Received 8000 boxes on 07/21/2020 at 0930 // Received 8000 boxes on 7/30/2020 per packing slip/email from Cregan."/>
    <m/>
    <m/>
    <m/>
  </r>
  <r>
    <d v="2020-05-28T00:00:00"/>
    <s v="Grainger"/>
    <s v="Tyvek H-XXL"/>
    <s v="Hooded Coverall, Elastic, White, 2XL, Kleenguard, manufacturer part number 44325"/>
    <s v="2WXA7"/>
    <s v="N/A"/>
    <s v="N/A"/>
    <n v="25"/>
    <s v="Each"/>
    <n v="40"/>
    <s v="Packs"/>
    <n v="1"/>
    <s v="Order"/>
    <n v="1000"/>
    <n v="40"/>
    <n v="147.41999999999999"/>
    <n v="5896.7999999999993"/>
    <d v="2020-06-05T00:00:00"/>
    <s v="Ship to FAS Warehouse Attn:Mike Wong"/>
    <s v="FAS"/>
    <s v="FA1-0000000035"/>
    <m/>
    <s v="Yes"/>
    <n v="25"/>
    <s v="9545098163 and 9545098171"/>
    <d v="2020-06-15T00:00:00"/>
    <n v="8"/>
    <n v="954293715"/>
    <d v="2020-06-15T00:00:00"/>
    <n v="7"/>
    <n v="954293715"/>
    <d v="2020-06-15T00:00:00"/>
    <n v="0"/>
    <x v="9"/>
    <s v="Each"/>
    <n v="0"/>
    <d v="2020-06-05T00:00:00"/>
    <s v="Received 25 on 06/01/20 1045 (Receiving report and packing slip - 24 cases @ 25/case = 600 each). Received 8 on 06/02/20 (Receiving report listing 8 cases @ 25/case = 200 each). Received 7 on 06/03/20 1045 (Receiving report listing 7 cases @ 25/case = 175 each)."/>
    <m/>
    <m/>
    <m/>
  </r>
  <r>
    <d v="2020-05-28T00:00:00"/>
    <s v="Stellar"/>
    <s v="Tyvek H-XL"/>
    <s v="Dupont Coverall, Tyvek Zipper Hood, elastic wrist and ankles, 25 per case, 40 cases"/>
    <s v="TY127SWHXL002500"/>
    <s v="N/A"/>
    <s v="N/A"/>
    <n v="25"/>
    <s v="Gowns"/>
    <n v="40"/>
    <s v="Case"/>
    <n v="1"/>
    <s v="Order"/>
    <n v="1000"/>
    <n v="40"/>
    <n v="4.3600000000000003"/>
    <n v="4360"/>
    <d v="2020-09-18T00:00:00"/>
    <s v="Ship to FAS"/>
    <s v="FAS"/>
    <s v="FA1-0000000036, Blanket Contract 3342"/>
    <m/>
    <s v="No"/>
    <n v="200"/>
    <n v="4216194"/>
    <d v="2020-06-23T00:00:00"/>
    <m/>
    <m/>
    <m/>
    <m/>
    <m/>
    <m/>
    <n v="799.99999999999989"/>
    <x v="25"/>
    <s v="Each"/>
    <n v="799.99999999999989"/>
    <d v="2020-09-18T00:00:00"/>
    <s v="Received 200 on 06/19/2020 0824"/>
    <m/>
    <m/>
    <m/>
  </r>
  <r>
    <d v="2020-06-01T00:00:00"/>
    <s v="Bartell's"/>
    <s v="Other"/>
    <s v="Lysol Spray Crisp Linen 12.5 oz, 141 cases, 12/case"/>
    <s v="UPC FG19200074186 GIC #832092"/>
    <n v="12.5"/>
    <s v="N/A"/>
    <n v="12"/>
    <s v="Each"/>
    <n v="141"/>
    <s v="Case"/>
    <n v="1"/>
    <s v="Order"/>
    <n v="1692"/>
    <n v="141"/>
    <n v="5.39"/>
    <n v="9119.8799999999992"/>
    <d v="2020-06-08T00:00:00"/>
    <s v="Ship to FAS Warehouse, Attn: Mike Wong"/>
    <s v="FAS"/>
    <s v="FA1-06022020-PT"/>
    <m/>
    <s v="Yes"/>
    <n v="1692"/>
    <s v="SEA060220"/>
    <d v="2020-06-15T00:00:00"/>
    <m/>
    <m/>
    <m/>
    <m/>
    <m/>
    <m/>
    <n v="0"/>
    <x v="10"/>
    <m/>
    <n v="0"/>
    <d v="2020-06-08T00:00:00"/>
    <s v="Received 141 cases (1692 ea) on 06/04/20 1150"/>
    <m/>
    <m/>
    <m/>
  </r>
  <r>
    <d v="2020-04-30T00:00:00"/>
    <s v="Saryan's Arthur"/>
    <s v="Other"/>
    <s v="Filter Chip Inserts for mask"/>
    <m/>
    <s v="N/A"/>
    <s v="N/A"/>
    <n v="20000"/>
    <s v="Each"/>
    <s v="N/A"/>
    <s v="N/A"/>
    <n v="1"/>
    <s v="Order"/>
    <n v="20000"/>
    <s v="N/A"/>
    <n v="0.98"/>
    <n v="19600"/>
    <d v="2020-05-13T00:00:00"/>
    <s v="Ship to FAS Warehouse Attn: Mike Wong 98117"/>
    <s v="FAS"/>
    <s v="FA1-0000000060"/>
    <s v="This line was change ordered onto the PO"/>
    <s v="Yes"/>
    <n v="16190"/>
    <s v="05132020"/>
    <d v="2020-06-04T00:00:00"/>
    <m/>
    <m/>
    <m/>
    <m/>
    <m/>
    <m/>
    <n v="0"/>
    <x v="10"/>
    <m/>
    <n v="0"/>
    <d v="2020-05-13T00:00:00"/>
    <s v="Received 2,130 on 05/21/20 1510 (Receiving report - no packing slip). Received 5,330 on 05/22/20 1025 (Receiving report - no packing slip). Warehouse reported on 05/27/20 1309 that the total they had in stock was 16,109. Override outstanding to zero because the cloth masks arrived with an additional filter included with the cloth mask."/>
    <m/>
    <m/>
    <m/>
  </r>
  <r>
    <d v="2020-06-03T00:00:00"/>
    <s v="Keeney's"/>
    <s v="Hand Sanitizer"/>
    <s v="Hand Sanitizer gel, 70%, clear scent 33.8 oz bottle with pump top"/>
    <s v="Blumen"/>
    <n v="33.799999999999997"/>
    <n v="5272.8"/>
    <n v="156"/>
    <s v="Bottles"/>
    <s v="N/A"/>
    <s v="N/A"/>
    <n v="1"/>
    <s v="Order"/>
    <n v="156"/>
    <s v="N/A"/>
    <n v="22"/>
    <n v="3432"/>
    <d v="2020-06-09T00:00:00"/>
    <s v="Ship to FAS"/>
    <s v="FAS"/>
    <s v="FA1-0000000041, Blanket Contract 5128"/>
    <m/>
    <s v="Yes"/>
    <n v="156"/>
    <s v="KI-00022480"/>
    <d v="2020-06-15T00:00:00"/>
    <m/>
    <m/>
    <m/>
    <m/>
    <m/>
    <m/>
    <n v="0"/>
    <x v="6"/>
    <s v="Bottle"/>
    <n v="0"/>
    <d v="2020-06-09T00:00:00"/>
    <s v="Received 156 on 06/04/20 1130 per receiving report"/>
    <m/>
    <m/>
    <m/>
  </r>
  <r>
    <d v="2020-06-08T00:00:00"/>
    <s v="MB Diversity"/>
    <s v="Disinfectant Wipes"/>
    <s v="Entaid Disinfectant Wipes, 80 wipes per tube"/>
    <n v="2239"/>
    <s v="N/A"/>
    <s v="N/A"/>
    <n v="80"/>
    <s v="Wipes"/>
    <n v="5000"/>
    <s v="Tubes"/>
    <n v="1"/>
    <s v="Order"/>
    <n v="400000"/>
    <n v="5000"/>
    <n v="3.45"/>
    <n v="17250"/>
    <d v="2020-06-19T00:00:00"/>
    <s v="Ship to Mike Wong, City of Seattle, 8532 15th Ave NW"/>
    <s v="FAS"/>
    <s v="FA1-0000000044"/>
    <m/>
    <s v="No"/>
    <m/>
    <m/>
    <m/>
    <m/>
    <m/>
    <m/>
    <m/>
    <m/>
    <m/>
    <n v="5000"/>
    <x v="11"/>
    <s v="Tube"/>
    <n v="5000"/>
    <d v="2020-06-19T00:00:00"/>
    <m/>
    <m/>
    <m/>
    <m/>
  </r>
  <r>
    <d v="2020-06-08T00:00:00"/>
    <s v="MB Diversity"/>
    <s v="Disinfectant Wipes"/>
    <s v="Entaid Disinfectant Wipes, 80 wipes per tube"/>
    <n v="2239"/>
    <s v="N/A"/>
    <s v="N/A"/>
    <n v="80"/>
    <s v="Wipes"/>
    <n v="15000"/>
    <s v="Tubes"/>
    <n v="1"/>
    <s v="Order"/>
    <n v="1200000"/>
    <n v="15000"/>
    <n v="3.45"/>
    <n v="51750"/>
    <d v="2020-06-26T00:00:00"/>
    <s v="Ship to FAS, Mike Wong"/>
    <s v="FAS"/>
    <s v="FA1-0000000044"/>
    <m/>
    <s v="No"/>
    <m/>
    <m/>
    <m/>
    <m/>
    <m/>
    <m/>
    <m/>
    <m/>
    <m/>
    <n v="15000"/>
    <x v="11"/>
    <s v="Tube"/>
    <n v="15000"/>
    <d v="2020-06-26T00:00:00"/>
    <m/>
    <m/>
    <m/>
    <m/>
  </r>
  <r>
    <d v="2020-06-08T00:00:00"/>
    <s v="Stellar"/>
    <s v="DS"/>
    <s v="Milwaukee, switch tank, 4-gal backpack sprayer"/>
    <s v="2820-21PS"/>
    <s v="N/A"/>
    <s v="N/A"/>
    <n v="10"/>
    <s v="Each"/>
    <s v="N/A"/>
    <s v="N/A"/>
    <n v="1"/>
    <s v="Order"/>
    <n v="10"/>
    <s v="N/A"/>
    <n v="384.71"/>
    <n v="3847.1"/>
    <d v="2020-06-12T00:00:00"/>
    <s v="Ship to FAS "/>
    <s v="FAS"/>
    <s v="FA1-0000000045"/>
    <m/>
    <s v="Yes"/>
    <n v="10"/>
    <n v="4213966"/>
    <d v="2020-06-12T00:00:00"/>
    <m/>
    <m/>
    <m/>
    <m/>
    <m/>
    <m/>
    <n v="0"/>
    <x v="19"/>
    <s v="Each"/>
    <n v="0"/>
    <d v="2020-06-12T00:00:00"/>
    <s v="Received 10 on 06/12/20 1330 (receiving report)"/>
    <m/>
    <m/>
    <m/>
  </r>
  <r>
    <d v="2020-06-08T00:00:00"/>
    <s v="Stellar"/>
    <s v="Other"/>
    <s v="Milwaukee battery pack"/>
    <s v="48-11-1850"/>
    <s v="N/A"/>
    <s v="N/A"/>
    <n v="10"/>
    <s v="Each"/>
    <s v="N/A"/>
    <s v="N/A"/>
    <n v="1"/>
    <s v="Order"/>
    <n v="10"/>
    <s v="N/A"/>
    <n v="75"/>
    <n v="750"/>
    <d v="2020-06-12T00:00:00"/>
    <s v="Ship to FAS"/>
    <s v="FAS"/>
    <s v="FA1-0000000045"/>
    <m/>
    <s v="Yes"/>
    <n v="10"/>
    <n v="4214863"/>
    <d v="2020-06-16T00:00:00"/>
    <m/>
    <m/>
    <m/>
    <m/>
    <m/>
    <m/>
    <n v="0"/>
    <x v="10"/>
    <s v="Each"/>
    <n v="0"/>
    <d v="2020-06-12T00:00:00"/>
    <s v="Received 10 on 6/16/20 1020 (Receiving Report and packing slip 7156164)."/>
    <m/>
    <m/>
    <m/>
  </r>
  <r>
    <d v="2020-06-11T00:00:00"/>
    <s v="Sound Safety Products"/>
    <s v="IA"/>
    <s v="70% Isopropyl Alcohol, 32 oz bottles"/>
    <s v="14-032-70"/>
    <n v="32"/>
    <n v="528192"/>
    <n v="16506"/>
    <s v="Bottle"/>
    <n v="1834"/>
    <s v="Case"/>
    <n v="1"/>
    <s v="Order"/>
    <n v="16506"/>
    <s v="N/A"/>
    <n v="8.3000000000000007"/>
    <n v="136999.80000000002"/>
    <d v="2020-06-30T00:00:00"/>
    <s v="Ship to FAS Crown Hill Warehouse"/>
    <s v="FAS"/>
    <s v="FA1-0000000046"/>
    <s v="9 per case"/>
    <s v="Yes"/>
    <n v="16506"/>
    <s v="354635/1"/>
    <d v="2020-07-07T00:00:00"/>
    <m/>
    <m/>
    <m/>
    <m/>
    <m/>
    <m/>
    <n v="0"/>
    <x v="24"/>
    <s v="Bottle"/>
    <n v="0"/>
    <d v="2020-06-30T00:00:00"/>
    <s v="Received 1836 cases on 06/30/20 at 13:45"/>
    <m/>
    <m/>
    <m/>
  </r>
  <r>
    <d v="2020-05-15T00:00:00"/>
    <s v="Procurement Services"/>
    <s v="N-95 No Filter"/>
    <s v="N95 Masks, Honeywell, 20 per box"/>
    <s v="N1115-14110391"/>
    <s v="N/A"/>
    <s v="N/A"/>
    <n v="20"/>
    <s v="Masks"/>
    <n v="10"/>
    <s v="Box"/>
    <n v="2500"/>
    <s v="Case"/>
    <n v="500000"/>
    <n v="200"/>
    <n v="1.85"/>
    <n v="925000"/>
    <s v="TBD"/>
    <s v="Ship to FAS"/>
    <s v="FAS"/>
    <s v="FA1-0000000026"/>
    <m/>
    <s v="No"/>
    <m/>
    <m/>
    <m/>
    <m/>
    <m/>
    <m/>
    <m/>
    <m/>
    <m/>
    <n v="500000"/>
    <x v="7"/>
    <s v="Each"/>
    <n v="500000"/>
    <d v="2035-12-31T00:00:00"/>
    <m/>
    <m/>
    <m/>
    <m/>
  </r>
  <r>
    <d v="2020-06-12T00:00:00"/>
    <s v="Western Safety"/>
    <s v="Hand Sanitizer"/>
    <s v="Avant Hand Sanitizer"/>
    <s v="12089-16-FF"/>
    <n v="-16"/>
    <n v="-32064"/>
    <n v="-2004"/>
    <s v="Bottles"/>
    <s v="N/A"/>
    <s v="N/A"/>
    <n v="1"/>
    <s v="Order"/>
    <n v="-2004"/>
    <s v="N/A"/>
    <n v="6.15"/>
    <n v="-12324.6"/>
    <s v="N/A"/>
    <s v="N/A"/>
    <s v="N/A"/>
    <s v="PO#3340, Orig Invoice # 188957-1"/>
    <s v="REF C_131 - Western Safety issued credit invoice 191695-1 on 6/12/2020 (invoice date = 5/21/2020)"/>
    <s v="-"/>
    <s v="-"/>
    <s v="-"/>
    <m/>
    <m/>
    <m/>
    <m/>
    <m/>
    <m/>
    <m/>
    <n v="-2004"/>
    <x v="6"/>
    <m/>
    <m/>
    <m/>
    <m/>
    <m/>
    <m/>
    <m/>
  </r>
  <r>
    <d v="2020-06-15T00:00:00"/>
    <s v="TeleSwivel"/>
    <s v="DSS"/>
    <s v="Bioesque Disinfectant, 55-gallon drum"/>
    <s v="BBDS55G"/>
    <n v="7040"/>
    <n v="14080"/>
    <n v="2"/>
    <s v="Drum"/>
    <s v="N/A"/>
    <s v="N/A"/>
    <n v="1"/>
    <s v="Order"/>
    <n v="2"/>
    <s v="N/A"/>
    <n v="1039.21"/>
    <n v="2078.42"/>
    <n v="44006"/>
    <s v="Ship to FAS Crown Hill Warehouse"/>
    <s v="FAS"/>
    <s v="FA1-0000000047"/>
    <s v="NET 30"/>
    <s v="Yes"/>
    <n v="2"/>
    <n v="1013"/>
    <d v="2020-07-08T00:00:00"/>
    <m/>
    <m/>
    <m/>
    <m/>
    <m/>
    <m/>
    <n v="0"/>
    <x v="21"/>
    <s v="Gal"/>
    <n v="0"/>
    <n v="44006"/>
    <s v="Received 2 drums on 06/26/2020 at 1340"/>
    <m/>
    <m/>
    <m/>
  </r>
  <r>
    <d v="2020-06-16T00:00:00"/>
    <s v="Zogics"/>
    <s v="DS"/>
    <s v="Protexus handheld electrostatic sprayer"/>
    <s v="PX200ES"/>
    <s v="N/A"/>
    <s v="N/A"/>
    <n v="5"/>
    <s v="Each"/>
    <s v="N/A"/>
    <s v="N/A"/>
    <n v="1"/>
    <s v="Order"/>
    <n v="5"/>
    <s v="N/A"/>
    <n v="699.99"/>
    <n v="3499.95"/>
    <d v="2020-07-15T00:00:00"/>
    <s v="Ship to Crown Hill Warehouse"/>
    <s v="FAS"/>
    <s v="FA1-STTL-xal5t"/>
    <s v="NET 30"/>
    <s v="Yes"/>
    <n v="5"/>
    <m/>
    <m/>
    <m/>
    <m/>
    <m/>
    <m/>
    <m/>
    <m/>
    <n v="0"/>
    <x v="19"/>
    <s v="Each"/>
    <n v="0"/>
    <d v="2020-07-15T00:00:00"/>
    <s v="Received 5 sprayers on 07/27/2020 1130"/>
    <m/>
    <m/>
    <m/>
  </r>
  <r>
    <d v="2020-06-16T00:00:00"/>
    <s v="Zogics"/>
    <s v="DSS"/>
    <s v="Purtabs ESPT3.3G Disinfecting Tabs, 200 tabs per container, 108 containers"/>
    <s v="ESPT3.3G-Single"/>
    <s v="N/A"/>
    <s v="N/A"/>
    <n v="108"/>
    <s v="Each"/>
    <s v="N/A"/>
    <s v="N/A"/>
    <n v="1"/>
    <s v="Order"/>
    <n v="108"/>
    <s v="N/A"/>
    <n v="38.67"/>
    <n v="4176.3600000000006"/>
    <d v="2020-07-15T00:00:00"/>
    <s v="Ship to Crown Hill Warehouse"/>
    <s v="FAS"/>
    <s v="FA1-STTL-xal5t"/>
    <s v="NET 30"/>
    <s v="No"/>
    <m/>
    <m/>
    <m/>
    <m/>
    <m/>
    <m/>
    <m/>
    <m/>
    <m/>
    <n v="108"/>
    <x v="21"/>
    <s v="Gal"/>
    <n v="108"/>
    <d v="2020-07-15T00:00:00"/>
    <m/>
    <m/>
    <m/>
    <m/>
  </r>
  <r>
    <d v="2020-06-17T00:00:00"/>
    <s v="Grainger"/>
    <s v="Gowns"/>
    <s v="Isolation gown, XL, polyethylene, blue, pack of 100, 20 boxes"/>
    <s v="56LA83"/>
    <s v="N/A"/>
    <s v="N/A"/>
    <n v="100"/>
    <s v="Each"/>
    <n v="20"/>
    <s v="Box"/>
    <n v="1"/>
    <s v="Order"/>
    <n v="2000"/>
    <n v="20"/>
    <n v="617"/>
    <n v="12340"/>
    <d v="2020-06-26T00:00:00"/>
    <s v="Ship to 3807 2nd A"/>
    <s v="FAS"/>
    <m/>
    <m/>
    <s v="Yes"/>
    <n v="20"/>
    <n v="9564664671"/>
    <d v="2020-06-24T00:00:00"/>
    <m/>
    <m/>
    <m/>
    <m/>
    <m/>
    <m/>
    <n v="0"/>
    <x v="16"/>
    <s v="Each"/>
    <n v="0"/>
    <d v="2020-06-26T00:00:00"/>
    <s v="Received 20 cases on 6.19.20 at 1030"/>
    <m/>
    <m/>
    <m/>
  </r>
  <r>
    <d v="2020-06-18T00:00:00"/>
    <s v="Western Safety"/>
    <s v="PAWS"/>
    <s v="PAWS, Antimicrobial Towelette, 100 per box"/>
    <n v="34400"/>
    <s v="N/A"/>
    <s v="N/A"/>
    <n v="100"/>
    <s v="Each"/>
    <n v="300"/>
    <s v="Box"/>
    <n v="1"/>
    <s v="Order"/>
    <n v="30000"/>
    <n v="300"/>
    <n v="9.85"/>
    <n v="2955"/>
    <d v="2020-06-05T00:00:00"/>
    <s v="Ship to Crown Hill Warehouse"/>
    <s v="FAS"/>
    <s v="192629, PO#FA1-0000000049"/>
    <s v="NET 30"/>
    <s v="Yes"/>
    <n v="300"/>
    <s v="192629-1"/>
    <d v="2020-06-25T00:00:00"/>
    <m/>
    <m/>
    <m/>
    <m/>
    <m/>
    <m/>
    <n v="0"/>
    <x v="13"/>
    <s v="Each"/>
    <n v="0"/>
    <d v="2020-06-05T00:00:00"/>
    <s v="Received 300 boxes on 06/22/20 at 905"/>
    <m/>
    <m/>
    <m/>
  </r>
  <r>
    <d v="2020-06-25T00:00:00"/>
    <s v="Advanced Digital Solutions"/>
    <s v="Surgical Mask"/>
    <s v="3-ply surgical masks, 100 per box, 20,000 boxes"/>
    <s v="3PS-Masks"/>
    <s v="N/A"/>
    <s v="N/A"/>
    <n v="100"/>
    <s v="Each"/>
    <n v="20000"/>
    <s v="Box"/>
    <n v="1"/>
    <s v="Order"/>
    <n v="2000000"/>
    <s v="N/A"/>
    <n v="0.19"/>
    <n v="380000"/>
    <d v="2020-07-06T00:00:00"/>
    <s v="Ship to Crown Hill Warehouse"/>
    <s v="FAS"/>
    <s v="PO# FA1-0000000050"/>
    <m/>
    <s v="No"/>
    <n v="2016000"/>
    <n v="2125"/>
    <d v="2020-07-09T00:00:00"/>
    <m/>
    <m/>
    <m/>
    <m/>
    <m/>
    <m/>
    <n v="-16000"/>
    <x v="8"/>
    <s v="Each"/>
    <n v="-16000"/>
    <d v="2020-07-06T00:00:00"/>
    <s v="Received 2,016,000 on 07/08/20 0830 (Receiving Report). Overage is okay (donation)."/>
    <m/>
    <m/>
    <m/>
  </r>
  <r>
    <d v="2020-06-29T00:00:00"/>
    <s v="Grainger"/>
    <s v="Other"/>
    <s v="Mask Bracket, gray, purell, 2428-MB"/>
    <s v="3EUE8"/>
    <s v="N/A"/>
    <s v="N/A"/>
    <n v="40"/>
    <s v="Each"/>
    <s v="N/A"/>
    <s v="N/A"/>
    <n v="1"/>
    <s v="Order"/>
    <n v="40"/>
    <s v="N/A"/>
    <n v="30.12"/>
    <n v="1204.8"/>
    <d v="2020-07-06T00:00:00"/>
    <s v="Ship to FAS Warehouse 3807 2nd Ave S"/>
    <s v="FAS"/>
    <s v="1386830349; PO# FA1-STTL-5x3p0e"/>
    <s v="Net 30, ordered for Library"/>
    <s v="No"/>
    <n v="40"/>
    <n v="9574665403"/>
    <d v="2020-08-17T00:00:00"/>
    <m/>
    <m/>
    <m/>
    <m/>
    <m/>
    <m/>
    <n v="0"/>
    <x v="10"/>
    <m/>
    <m/>
    <d v="2020-07-06T00:00:00"/>
    <s v="Received 40 on 07/02/2020. Mike Wong emailed packing slip on 7/2"/>
    <m/>
    <m/>
    <m/>
  </r>
  <r>
    <d v="2020-06-26T00:00:00"/>
    <s v="Complete Office"/>
    <s v="Paper Towels"/>
    <s v="Multi-fold 100% recycled"/>
    <s v="APC EN416"/>
    <s v="N/A"/>
    <s v="N/A"/>
    <s v="N/A"/>
    <s v="N/A"/>
    <n v="200"/>
    <s v="Case"/>
    <n v="1"/>
    <s v="Order "/>
    <s v="N/A"/>
    <n v="200"/>
    <n v="18.489999999999998"/>
    <n v="3697.9999999999995"/>
    <d v="2020-06-29T00:00:00"/>
    <s v="Ship to FAS Crown Hill Warehouse"/>
    <s v="FAS"/>
    <s v="PO#FA1-0000000051"/>
    <s v="Net 30, Blanket Contract, 3835"/>
    <s v="Yes"/>
    <n v="200"/>
    <s v="1973926-0"/>
    <d v="2020-07-13T00:00:00"/>
    <m/>
    <m/>
    <m/>
    <m/>
    <m/>
    <m/>
    <n v="0"/>
    <x v="2"/>
    <s v="Pack"/>
    <n v="0"/>
    <d v="2020-06-29T00:00:00"/>
    <s v="Received 200 cases on 6/29/2020 at 1020"/>
    <m/>
    <m/>
    <m/>
  </r>
  <r>
    <d v="2020-06-26T00:00:00"/>
    <s v="Complete Office"/>
    <s v="Paper Towels"/>
    <s v="C-Fold, 100% recycled"/>
    <s v="GPC 25190"/>
    <s v="N/A"/>
    <s v="N/A"/>
    <s v="N/A"/>
    <s v="N/A"/>
    <n v="100"/>
    <s v="Case"/>
    <n v="1"/>
    <s v="Order"/>
    <s v="N/A"/>
    <n v="100"/>
    <n v="23.07"/>
    <n v="2307"/>
    <d v="2020-06-29T00:00:00"/>
    <s v="Ship to FAS Crown Hill Warehouse"/>
    <s v="FAS"/>
    <s v="PO#FA1-0000000051"/>
    <s v="Net 30, Blanket Contract 3835"/>
    <s v="Yes"/>
    <n v="100"/>
    <s v="1973926-0"/>
    <d v="2020-07-13T00:00:00"/>
    <m/>
    <m/>
    <m/>
    <m/>
    <m/>
    <m/>
    <n v="0"/>
    <x v="2"/>
    <s v="Pack"/>
    <n v="0"/>
    <d v="2020-06-29T00:00:00"/>
    <s v="Received 100 cases on 06/29/2020 at 1020"/>
    <m/>
    <m/>
    <m/>
  </r>
  <r>
    <d v="2020-03-16T00:00:00"/>
    <s v="Western Safety"/>
    <s v="Hand Soap"/>
    <s v="MICRELL Antibacterial Lotion Soap 12 fl oz, pump bottle, 12 per case"/>
    <s v="9759-12"/>
    <n v="12"/>
    <n v="120960"/>
    <n v="12"/>
    <s v="Bottles"/>
    <n v="840"/>
    <s v="Case"/>
    <n v="1"/>
    <s v="Order"/>
    <n v="10080"/>
    <n v="840"/>
    <n v="69"/>
    <n v="57960"/>
    <s v="TBD"/>
    <s v="Ship to Mt Baker Warehouse"/>
    <s v="FAS"/>
    <s v="188973-0"/>
    <s v="1%30 "/>
    <s v="No"/>
    <m/>
    <m/>
    <m/>
    <m/>
    <m/>
    <m/>
    <m/>
    <m/>
    <m/>
    <n v="840"/>
    <x v="5"/>
    <s v="Bottle"/>
    <n v="10080"/>
    <d v="2035-12-31T00:00:00"/>
    <m/>
    <m/>
    <m/>
    <m/>
  </r>
  <r>
    <d v="2020-06-29T00:00:00"/>
    <s v="Rexel dba Platt"/>
    <s v="Other"/>
    <s v="Opticom floor mount dynamic temperature measurement camera"/>
    <s v="OPT-7MFTD-FM"/>
    <s v="N/A"/>
    <s v="N/A"/>
    <n v="6"/>
    <s v="Each"/>
    <s v="N/A"/>
    <s v="N/A"/>
    <n v="1"/>
    <s v="Order"/>
    <n v="6"/>
    <s v="N/A"/>
    <n v="2434.21"/>
    <n v="14605.26"/>
    <d v="2020-07-07T00:00:00"/>
    <s v="Ship to 3807 2nd Ave S"/>
    <s v="FAS"/>
    <m/>
    <m/>
    <s v="Yes"/>
    <n v="3"/>
    <s v="0M52621"/>
    <d v="2020-07-15T00:00:00"/>
    <n v="3"/>
    <s v="0N01899"/>
    <d v="2020-07-15T00:00:00"/>
    <m/>
    <m/>
    <m/>
    <n v="0"/>
    <x v="10"/>
    <m/>
    <m/>
    <d v="2020-07-07T00:00:00"/>
    <s v="Received 3 on 07/07/2020 per Mike Wong email at 12:31pm; Receivd 3 on 7/10/20 (packing slip)."/>
    <m/>
    <m/>
    <m/>
  </r>
  <r>
    <d v="2020-06-29T00:00:00"/>
    <s v="Huons USA"/>
    <s v="Other"/>
    <s v="Mask, Korea First Class"/>
    <s v="KF94 Face Mask"/>
    <s v="N/A"/>
    <s v="N/A"/>
    <n v="250000"/>
    <s v="Each"/>
    <s v="N/A"/>
    <s v="N/A"/>
    <n v="1"/>
    <s v="Order"/>
    <n v="250000"/>
    <s v="N/A"/>
    <n v="1.1299999999999999"/>
    <n v="282500"/>
    <d v="2020-08-07T00:00:00"/>
    <s v="Ship to Mt Baker Warehouse"/>
    <s v="FAS"/>
    <s v="PO# FA1-0000000053"/>
    <s v="Net 7"/>
    <s v="Yes"/>
    <n v="250000"/>
    <s v="HUONS/OB/INV20-202"/>
    <d v="2020-07-30T00:00:00"/>
    <m/>
    <m/>
    <m/>
    <m/>
    <m/>
    <m/>
    <n v="0"/>
    <x v="10"/>
    <m/>
    <m/>
    <d v="2020-08-07T00:00:00"/>
    <s v="Received 5000 boxes of 50 masks on 7/22/2020 at 3:49 per receiving report"/>
    <m/>
    <m/>
    <m/>
  </r>
  <r>
    <d v="2020-06-30T00:00:00"/>
    <s v="Western Safety "/>
    <s v="Gog"/>
    <s v="Starlite FX3 anti-fog glass, clear"/>
    <s v="46X9"/>
    <s v="N/A"/>
    <s v="N/A"/>
    <n v="100"/>
    <s v="Each"/>
    <s v="N/A"/>
    <s v="N/A"/>
    <n v="1"/>
    <s v="Order"/>
    <n v="100"/>
    <s v="N/A"/>
    <n v="2.99"/>
    <n v="299"/>
    <d v="2020-07-02T00:00:00"/>
    <s v="Ship to South Warehouse"/>
    <s v="FAS"/>
    <s v="PO# FA1-0000000054"/>
    <s v="Net 30, Blanket Contract #3340"/>
    <s v="Yes"/>
    <n v="100"/>
    <s v="192980-1"/>
    <d v="2020-07-06T00:00:00"/>
    <m/>
    <m/>
    <m/>
    <m/>
    <m/>
    <m/>
    <n v="0"/>
    <x v="26"/>
    <s v="Each"/>
    <n v="0"/>
    <d v="2020-07-02T00:00:00"/>
    <s v="Received 100 07/02/20 (packing slip)"/>
    <m/>
    <m/>
    <m/>
  </r>
  <r>
    <d v="2020-07-01T00:00:00"/>
    <s v="Walter E. Nelson"/>
    <s v="Hand Soap"/>
    <s v="Foam soap, 1.2L - fragrance and dye free, kimberly clark, 2 per case"/>
    <n v="91591"/>
    <n v="40.5"/>
    <n v="10530"/>
    <n v="2"/>
    <s v="Bottles"/>
    <n v="65"/>
    <s v="Case"/>
    <n v="1"/>
    <s v="Order"/>
    <n v="130"/>
    <n v="65"/>
    <n v="57.26"/>
    <n v="3721.9"/>
    <d v="2020-07-09T00:00:00"/>
    <s v="Ship to Mt Baker Warehouse"/>
    <s v="Library"/>
    <s v="PO# FA1-STTL5x3p0e"/>
    <s v="Blanket Contract 3789"/>
    <s v="Yes"/>
    <n v="130"/>
    <n v="531183"/>
    <d v="2020-07-15T00:00:00"/>
    <m/>
    <m/>
    <m/>
    <m/>
    <m/>
    <m/>
    <n v="0"/>
    <x v="5"/>
    <s v="Bottle"/>
    <n v="0"/>
    <d v="2020-07-09T00:00:00"/>
    <s v="Received 65 cases on 07/09/20 at 12:45"/>
    <m/>
    <m/>
    <m/>
  </r>
  <r>
    <d v="2020-07-02T00:00:00"/>
    <s v="Excel Supply Company"/>
    <s v="Surgical Mask"/>
    <s v="3-ply earloop masks, CE Grade 50 masks"/>
    <s v="0503-3plym"/>
    <s v="N/A"/>
    <s v="N/A"/>
    <n v="2000000"/>
    <s v="Masks"/>
    <s v="N/A"/>
    <s v="N/A"/>
    <n v="1"/>
    <s v="Order"/>
    <n v="2000000"/>
    <s v="N/A"/>
    <n v="0.13800000000000001"/>
    <n v="276000"/>
    <d v="2020-07-16T00:00:00"/>
    <s v="Ship to Mt Baker Warehouse"/>
    <s v="FAS"/>
    <s v="PO# FA10000000057"/>
    <s v="Blanket Contract 3832"/>
    <s v="No"/>
    <n v="180000"/>
    <n v="123767"/>
    <d v="2020-07-21T00:00:00"/>
    <n v="360000"/>
    <n v="123783"/>
    <d v="2020-07-21T00:00:00"/>
    <n v="199200"/>
    <s v="(not Recd), 124269, 124268, 124352"/>
    <d v="2020-08-17T00:00:00"/>
    <n v="1260800"/>
    <x v="8"/>
    <s v="Each"/>
    <n v="1260800"/>
    <d v="2020-07-16T00:00:00"/>
    <s v="Received 3600 boxes on 07/16/20 1300 (receiving report) //Received 7200 boxes on 07/17/20 at 0930 (receiving report) // Received 3600 boxes on 07.28.2020 at 1405 per receiving report. NEED Invoices as of 8/17/20. // Received 4800 (Boxes on 8/11/20 (Receiving Report and Packing slip 124269. Paid on Inv#124269 to A/P on 08/17/20. // Received 7,200 Boxes of 50 on 08/13/20 1030 (Receiving Report and Packing Slip 124268. Paid on Inv#124268 to A/P on 8/17/20. // Received 7,200 Boxes of 50 on 8/17/20 (Receiving Report and Packing slip 124352. Paid on Inv#124352 to A/P on 8/17/20. // "/>
    <m/>
    <m/>
    <m/>
  </r>
  <r>
    <d v="2020-07-07T00:00:00"/>
    <s v="Excel Supply Company"/>
    <s v="Disinfectant Wipes"/>
    <s v="Metrex Cavi-Wipes, Towelettes, 6 x 6.75, 160 count, 400 tubs"/>
    <s v="13-100"/>
    <s v="N/A"/>
    <s v="N/A"/>
    <n v="160"/>
    <s v="Wipes"/>
    <n v="400"/>
    <s v="Tubes"/>
    <n v="1"/>
    <s v="Order"/>
    <n v="64000"/>
    <n v="400"/>
    <n v="7.88"/>
    <n v="3152"/>
    <d v="2020-09-08T00:00:00"/>
    <s v="Ship to Mt Baker Warehouse"/>
    <s v="FAS"/>
    <s v="FA1-STTL-arx25a"/>
    <m/>
    <s v="Yes"/>
    <m/>
    <m/>
    <m/>
    <n v="400"/>
    <m/>
    <m/>
    <m/>
    <m/>
    <m/>
    <n v="0"/>
    <x v="11"/>
    <s v="Tube"/>
    <n v="0"/>
    <d v="2020-09-08T00:00:00"/>
    <m/>
    <m/>
    <m/>
    <m/>
  </r>
  <r>
    <d v="2020-07-07T00:00:00"/>
    <s v="Excel Supply Company"/>
    <s v="Disinfectant Wipes"/>
    <s v="PDI Super-Sani Cloths (purple), germicidal, 160 count"/>
    <s v="Q55172"/>
    <s v="N/A"/>
    <s v="N/A"/>
    <n v="160"/>
    <s v="Wipes"/>
    <n v="500"/>
    <s v="Tubes"/>
    <n v="1"/>
    <s v="Order"/>
    <n v="80000"/>
    <n v="500"/>
    <n v="5.99"/>
    <n v="2995"/>
    <d v="2020-07-31T00:00:00"/>
    <s v="Ship to Mt Baker Warehouse"/>
    <s v="FAS"/>
    <s v="FA1-STTL-arx25a"/>
    <s v="ACH 5 days after delivery"/>
    <s v="No"/>
    <n v="120"/>
    <n v="123569"/>
    <d v="2020-07-13T00:00:00"/>
    <n v="120"/>
    <n v="123817"/>
    <d v="2020-07-29T00:00:00"/>
    <m/>
    <m/>
    <m/>
    <n v="260"/>
    <x v="11"/>
    <s v="Tube"/>
    <n v="260"/>
    <d v="2020-07-31T00:00:00"/>
    <s v="Received 120 tubes on 07.08.20 at 1200 // Received 120 tubes on 7.20.20 at 1200"/>
    <m/>
    <m/>
    <m/>
  </r>
  <r>
    <d v="2020-07-07T00:00:00"/>
    <s v="Excel Supply Company"/>
    <s v="Gloves - M"/>
    <s v="Nitrile exam glove, purple, medium"/>
    <s v="1101-55082-M"/>
    <s v="N/A"/>
    <s v="N/A"/>
    <n v="50"/>
    <s v="Pairs"/>
    <n v="1000"/>
    <s v="Box"/>
    <n v="1"/>
    <s v="Order"/>
    <n v="50000"/>
    <n v="1000"/>
    <n v="11"/>
    <n v="11000"/>
    <d v="2020-07-10T00:00:00"/>
    <s v="Ship to Mt Baker Warehouse"/>
    <s v="FAS"/>
    <s v="FA1-0000000058"/>
    <s v="NET 30"/>
    <s v="Yes"/>
    <n v="50000"/>
    <n v="123579"/>
    <d v="2020-07-15T00:00:00"/>
    <m/>
    <m/>
    <m/>
    <m/>
    <m/>
    <m/>
    <n v="0"/>
    <x v="1"/>
    <s v="Pair"/>
    <n v="0"/>
    <d v="2020-07-10T00:00:00"/>
    <s v="Received 1000 boxes on 07.13.20 at 1100"/>
    <m/>
    <m/>
    <m/>
  </r>
  <r>
    <d v="2020-07-07T00:00:00"/>
    <s v="Excel Supply Company"/>
    <s v="Gloves - S"/>
    <s v="Nitrile exam glove, extended cuff, small"/>
    <s v="1302-5825-S"/>
    <s v="N/A"/>
    <s v="N/A"/>
    <n v="50"/>
    <s v="Pairs"/>
    <n v="100"/>
    <s v="Box"/>
    <n v="1"/>
    <s v="Order"/>
    <n v="5000"/>
    <n v="100"/>
    <n v="14"/>
    <n v="1400"/>
    <d v="2020-07-10T00:00:00"/>
    <s v="Ship to Mt Baker Warehouse"/>
    <s v="FAS"/>
    <s v="FA1-0000000058"/>
    <s v="NET 30"/>
    <s v="Yes"/>
    <n v="5000"/>
    <n v="123579"/>
    <d v="2020-07-15T00:00:00"/>
    <m/>
    <m/>
    <m/>
    <m/>
    <m/>
    <m/>
    <n v="0"/>
    <x v="1"/>
    <s v="Pair"/>
    <n v="0"/>
    <d v="2020-07-10T00:00:00"/>
    <s v="Received 100 boxes on 07.13.20 at 1100"/>
    <m/>
    <m/>
    <m/>
  </r>
  <r>
    <d v="2020-07-07T00:00:00"/>
    <s v="Excel Supply Company"/>
    <s v="Gloves - M"/>
    <s v="Nitrile Exam Glove, extended cuff, medium"/>
    <s v="1302-5825-M"/>
    <s v="N/A"/>
    <s v="N/A"/>
    <n v="50"/>
    <s v="Pairs"/>
    <n v="400"/>
    <s v="Box"/>
    <n v="1"/>
    <s v="Order"/>
    <n v="20000"/>
    <n v="400"/>
    <n v="14"/>
    <n v="5600"/>
    <d v="2020-07-10T00:00:00"/>
    <s v="Ship to Mt Baker Warehouse"/>
    <s v="FAS"/>
    <s v="FA1-0000000058"/>
    <s v="NET 30"/>
    <s v="Yes"/>
    <n v="20000"/>
    <n v="123579"/>
    <d v="2020-07-15T00:00:00"/>
    <m/>
    <m/>
    <m/>
    <m/>
    <m/>
    <m/>
    <n v="0"/>
    <x v="1"/>
    <s v="Pair"/>
    <n v="0"/>
    <d v="2020-07-10T00:00:00"/>
    <s v="Received 400 boxes on 07.13.20 at 1100"/>
    <m/>
    <m/>
    <m/>
  </r>
  <r>
    <d v="2020-07-07T00:00:00"/>
    <s v="Excel Supply Company"/>
    <s v="Gloves - L"/>
    <s v="Nitrile exam glove, extended cuff, large"/>
    <s v="1302-5825-L"/>
    <s v="N/A"/>
    <s v="N/A"/>
    <n v="50"/>
    <s v="Pairs"/>
    <n v="50"/>
    <s v="Box"/>
    <n v="1"/>
    <s v="Order"/>
    <n v="2500"/>
    <n v="50"/>
    <n v="14"/>
    <n v="700"/>
    <d v="2020-07-10T00:00:00"/>
    <s v="Ship to Mt Baker Warehouse"/>
    <s v="FAS"/>
    <s v="FA1-0000000058"/>
    <s v="NET 30"/>
    <s v="Yes"/>
    <n v="2500"/>
    <n v="123579"/>
    <d v="2020-07-15T00:00:00"/>
    <m/>
    <m/>
    <m/>
    <m/>
    <m/>
    <m/>
    <n v="0"/>
    <x v="1"/>
    <s v="Pair"/>
    <n v="0"/>
    <d v="2020-07-10T00:00:00"/>
    <s v="Received 50 boxes on 07.13.20 at 1100"/>
    <m/>
    <m/>
    <m/>
  </r>
  <r>
    <d v="2020-07-07T00:00:00"/>
    <s v="Excel Supply Company"/>
    <s v="Gloves - XL"/>
    <s v="Nitrile exam glove, extended cuff, x-large"/>
    <s v="1302-5825-XL"/>
    <s v="N/A"/>
    <s v="N/A"/>
    <n v="50"/>
    <s v="Pairs"/>
    <n v="400"/>
    <s v="Box"/>
    <n v="1"/>
    <s v="Order"/>
    <n v="20000"/>
    <n v="400"/>
    <n v="14"/>
    <n v="5600"/>
    <d v="2020-07-10T00:00:00"/>
    <s v="Ship to Mt Baker Warehouse"/>
    <s v="FAS"/>
    <s v="FA1-0000000058"/>
    <s v="NET 30"/>
    <s v="Yes"/>
    <n v="20000"/>
    <n v="123579"/>
    <d v="2020-07-15T00:00:00"/>
    <m/>
    <m/>
    <m/>
    <m/>
    <m/>
    <m/>
    <n v="0"/>
    <x v="1"/>
    <s v="Pair"/>
    <n v="0"/>
    <d v="2020-07-10T00:00:00"/>
    <s v="Received 400 boxes on 07.13.20 at 1100"/>
    <m/>
    <m/>
    <m/>
  </r>
  <r>
    <d v="2020-07-08T00:00:00"/>
    <s v="Excel Supply Company"/>
    <s v="Gloves - S"/>
    <s v="Blue Nitrile Exam glove, extended cuff, small"/>
    <s v="1302-5825-S"/>
    <s v="N/A"/>
    <s v="N/A"/>
    <n v="50"/>
    <s v="Pairs"/>
    <n v="500"/>
    <s v="Box"/>
    <n v="1"/>
    <s v="Order"/>
    <n v="25000"/>
    <n v="500"/>
    <n v="14"/>
    <n v="7000"/>
    <d v="2020-07-10T00:00:00"/>
    <s v="Ship to Mt Baker Warehouse"/>
    <s v="FAS"/>
    <s v="FA1-0000000059"/>
    <s v="NET 30"/>
    <s v="Yes"/>
    <n v="500"/>
    <n v="123705"/>
    <d v="2020-07-21T00:00:00"/>
    <m/>
    <m/>
    <m/>
    <m/>
    <m/>
    <m/>
    <n v="0"/>
    <x v="17"/>
    <s v="Pair"/>
    <n v="0"/>
    <d v="2020-07-10T00:00:00"/>
    <s v="Received 500 boxes on 07/16/20 1000 (receiving report and packing slip 123705)"/>
    <m/>
    <m/>
    <m/>
  </r>
  <r>
    <d v="2020-07-08T00:00:00"/>
    <s v="Excel Supply Company"/>
    <s v="Gloves - M"/>
    <s v="Blue nitrile exam glove, extended cuff, medium"/>
    <s v="1302-5825-M"/>
    <s v="N/A"/>
    <s v="N/A"/>
    <n v="50"/>
    <s v="Pairs"/>
    <n v="1000"/>
    <s v="Box"/>
    <n v="1"/>
    <s v="Order"/>
    <n v="50000"/>
    <n v="1000"/>
    <n v="14"/>
    <n v="14000"/>
    <d v="2020-07-10T00:00:00"/>
    <s v="Ship to Mt Baker Warehouse"/>
    <s v="FAS"/>
    <s v="FA1-0000000059"/>
    <s v="NET 30"/>
    <s v="Yes"/>
    <n v="1000"/>
    <n v="123705"/>
    <d v="2020-07-21T00:00:00"/>
    <m/>
    <m/>
    <m/>
    <m/>
    <m/>
    <m/>
    <n v="0"/>
    <x v="17"/>
    <s v="Pair"/>
    <n v="0"/>
    <d v="2020-07-10T00:00:00"/>
    <s v="Received 1,000 boxes on 07/16/20 1000 (receiving report and packing slip 123705)"/>
    <m/>
    <m/>
    <m/>
  </r>
  <r>
    <d v="2020-07-08T00:00:00"/>
    <s v="Excel Supply Company"/>
    <s v="Gloves - L"/>
    <s v="Blue nitrile exam glove, extended cuff, large"/>
    <s v="1302-5825-L"/>
    <s v="N/A"/>
    <s v="N/A"/>
    <n v="50"/>
    <s v="Pairs"/>
    <n v="1500"/>
    <s v="Box"/>
    <n v="1"/>
    <s v="Order"/>
    <n v="75000"/>
    <n v="1500"/>
    <n v="14"/>
    <n v="21000"/>
    <d v="2020-07-10T00:00:00"/>
    <s v="Ship to Mt Baker Warehouse"/>
    <s v="FAS"/>
    <s v="FA1-0000000059"/>
    <s v="NET 30"/>
    <s v="Yes"/>
    <n v="1500"/>
    <n v="123705"/>
    <d v="2020-07-21T00:00:00"/>
    <m/>
    <m/>
    <m/>
    <m/>
    <m/>
    <m/>
    <n v="0"/>
    <x v="17"/>
    <s v="Pair"/>
    <n v="0"/>
    <d v="2020-07-10T00:00:00"/>
    <s v="Received 1,500 boxes on 07/16/20 1000 (receiving report and packing slip 123705)"/>
    <m/>
    <m/>
    <m/>
  </r>
  <r>
    <d v="2020-07-08T00:00:00"/>
    <s v="Excel Supply Company "/>
    <s v="Gloves - XL"/>
    <s v="Blue nitrile exam glove, extended cuff, x-large"/>
    <s v="1302-5825-XL"/>
    <s v="N/A"/>
    <s v="N/A"/>
    <n v="50"/>
    <s v="Pairs"/>
    <n v="1500"/>
    <s v="Box"/>
    <n v="1"/>
    <s v="Order"/>
    <n v="75000"/>
    <n v="1500"/>
    <n v="14"/>
    <n v="21000"/>
    <d v="2020-07-10T00:00:00"/>
    <s v="Ship to Mt Baker Warehouse"/>
    <s v="FAS"/>
    <s v="FA1-0000000059"/>
    <s v="NET 30"/>
    <s v="Yes"/>
    <n v="1500"/>
    <n v="123705"/>
    <d v="2020-07-21T00:00:00"/>
    <m/>
    <m/>
    <m/>
    <m/>
    <m/>
    <m/>
    <n v="0"/>
    <x v="17"/>
    <s v="Pair"/>
    <n v="0"/>
    <d v="2020-07-10T00:00:00"/>
    <s v="Received 1,500 boxes on 07/16/20 1000 (receiving report and packing slip 123705)"/>
    <m/>
    <m/>
    <m/>
  </r>
  <r>
    <d v="2020-07-14T00:00:00"/>
    <s v="Complete Office"/>
    <s v="Paper Towels"/>
    <s v="towel, recycled multi-fold, 250 per bundle, 16 bundles per case"/>
    <s v="APC EW416"/>
    <s v="N/A"/>
    <s v="N/A"/>
    <n v="3600"/>
    <s v="case"/>
    <s v="N/A"/>
    <s v="N/A"/>
    <n v="1"/>
    <s v="Order"/>
    <n v="3600"/>
    <s v="N/A"/>
    <n v="20.93"/>
    <n v="75348"/>
    <d v="2020-07-29T00:00:00"/>
    <s v="Ship to Mt Baker Warehouse"/>
    <s v="FAS"/>
    <s v="PO# FA1-0000000060"/>
    <s v="Blanket Contract #3835"/>
    <s v="Yes"/>
    <n v="1780"/>
    <m/>
    <m/>
    <n v="1820"/>
    <m/>
    <m/>
    <m/>
    <m/>
    <m/>
    <n v="0"/>
    <x v="2"/>
    <m/>
    <n v="0"/>
    <m/>
    <s v="Received 1780 cases on 07/28/2020 at 1330 per receiving report // Received 1820 cases on 7.28.2020 at 1440 per receiving report."/>
    <m/>
    <m/>
    <m/>
  </r>
  <r>
    <d v="2020-07-16T00:00:00"/>
    <s v="Grainger"/>
    <s v="Tyvek H-XL"/>
    <s v="Coverall, hooded, elastic yellow, dupont QC127SYLXL001200, XL, 12 per pack"/>
    <s v="4LUF4"/>
    <s v="N/A"/>
    <s v="N/A"/>
    <n v="12"/>
    <s v="Each"/>
    <n v="25"/>
    <s v="Pack"/>
    <n v="1"/>
    <s v="Order"/>
    <n v="300"/>
    <n v="25"/>
    <n v="149.85"/>
    <n v="3746.25"/>
    <d v="2020-07-23T00:00:00"/>
    <s v="Ship to Mt Baker Warehouse"/>
    <s v="FAS"/>
    <s v="PO# FA1-0000000055"/>
    <s v="Blanket Contract #2915"/>
    <m/>
    <n v="96"/>
    <m/>
    <m/>
    <n v="204"/>
    <m/>
    <m/>
    <m/>
    <m/>
    <m/>
    <n v="0"/>
    <x v="9"/>
    <s v="Each"/>
    <n v="0"/>
    <d v="2020-07-23T00:00:00"/>
    <s v="Received 8 boxes on 07/21/2020 at 1230 per receiving report, received 17 boxes on 07/22/2020 at 1030 per receiving report"/>
    <m/>
    <m/>
    <m/>
  </r>
  <r>
    <d v="2020-07-16T00:00:00"/>
    <s v="Sound Safety Products"/>
    <s v="Tyvek NH-XL"/>
    <s v="Suit, tyvek, yellow without hood, XL"/>
    <s v="QC125S"/>
    <s v="N/A"/>
    <s v="N/A"/>
    <n v="300"/>
    <s v="Each"/>
    <s v="N/A"/>
    <s v="N/A"/>
    <n v="1"/>
    <s v="Order"/>
    <n v="300"/>
    <s v="N/A"/>
    <n v="6.91"/>
    <n v="2073"/>
    <d v="2020-09-25T00:00:00"/>
    <s v="Ship to Mt Baker Warehouse"/>
    <s v="FAS"/>
    <s v="PO# FA1-0000000062"/>
    <s v="ACH, net 5"/>
    <s v="No"/>
    <m/>
    <m/>
    <m/>
    <m/>
    <m/>
    <m/>
    <m/>
    <m/>
    <m/>
    <n v="300"/>
    <x v="25"/>
    <s v="Each"/>
    <n v="300"/>
    <d v="2020-09-25T00:00:00"/>
    <m/>
    <m/>
    <m/>
    <m/>
  </r>
  <r>
    <d v="2020-07-16T00:00:00"/>
    <s v="Grainger"/>
    <s v="Hand Soap"/>
    <s v="Foam Hand Soap, 7.5oz, Dial# 02934, 8 per pack"/>
    <s v="41D347"/>
    <n v="7.5"/>
    <n v="150000"/>
    <n v="8"/>
    <s v="Each"/>
    <n v="2500"/>
    <s v="Pack"/>
    <n v="1"/>
    <s v="Order"/>
    <n v="20000"/>
    <n v="2500"/>
    <n v="37.25"/>
    <n v="93125"/>
    <d v="2020-08-25T00:00:00"/>
    <s v="Ship to Mt Baker Warehouse (Updated est. delivery date from 8/17 to 8/25)"/>
    <s v="FAS"/>
    <s v="PO# FA1-0000000063"/>
    <s v="Blanket Contract #2915"/>
    <s v="No"/>
    <m/>
    <m/>
    <m/>
    <m/>
    <m/>
    <m/>
    <m/>
    <m/>
    <m/>
    <n v="20000"/>
    <x v="5"/>
    <s v="Bottle"/>
    <n v="20000"/>
    <d v="2020-08-25T00:00:00"/>
    <m/>
    <m/>
    <m/>
    <m/>
  </r>
  <r>
    <d v="2020-07-07T00:00:00"/>
    <s v="Excel Supply Company"/>
    <s v="Gloves - 2XL"/>
    <s v="nitrile exam gloves, extended cuff, 2x-large"/>
    <s v="1302-5825-2XL"/>
    <s v="N/A"/>
    <s v="N/A"/>
    <n v="50"/>
    <s v="Pairs"/>
    <n v="100"/>
    <s v="Box"/>
    <n v="1"/>
    <s v="Order"/>
    <n v="5000"/>
    <n v="100"/>
    <n v="14"/>
    <n v="1400"/>
    <d v="2020-07-10T00:00:00"/>
    <s v="Deliver to Mt Baker Warehouse"/>
    <s v="FAS"/>
    <s v="FA1-0000000058"/>
    <s v="NET 30"/>
    <s v="Yes"/>
    <n v="5000"/>
    <n v="123579"/>
    <d v="2020-07-15T00:00:00"/>
    <m/>
    <m/>
    <m/>
    <m/>
    <m/>
    <m/>
    <n v="0"/>
    <x v="17"/>
    <s v="Pair"/>
    <n v="0"/>
    <d v="2020-07-10T00:00:00"/>
    <s v="Received 100 boxes on 07.13.20 at 1100"/>
    <m/>
    <m/>
    <m/>
  </r>
  <r>
    <d v="2020-07-08T00:00:00"/>
    <s v="Excel Supply Company"/>
    <s v="Gloves - 2XL"/>
    <s v="blue nitrile exam gloves, extended cuff, 2X-large"/>
    <s v="1302-5825-2XL"/>
    <s v="N/A"/>
    <s v="N/A"/>
    <n v="50"/>
    <s v="Pairs"/>
    <n v="440"/>
    <s v="Box"/>
    <n v="1"/>
    <s v="Order"/>
    <n v="22000"/>
    <n v="440"/>
    <n v="14"/>
    <n v="6160"/>
    <d v="2020-07-10T00:00:00"/>
    <s v="Deliver to Mt Baker Warehouse"/>
    <s v="FAS"/>
    <s v="FA1-0000000059"/>
    <s v="NET 30"/>
    <s v="Yes"/>
    <n v="440"/>
    <n v="123705"/>
    <d v="2020-07-21T00:00:00"/>
    <m/>
    <m/>
    <m/>
    <m/>
    <m/>
    <m/>
    <n v="0"/>
    <x v="17"/>
    <s v="Pair"/>
    <n v="0"/>
    <d v="2020-07-10T00:00:00"/>
    <s v="Received 440 boxes on 07/16/20 1000 (receiving report and packing slip 123705)"/>
    <m/>
    <m/>
    <m/>
  </r>
  <r>
    <d v="2020-07-14T00:00:00"/>
    <s v="Excel Supply Company"/>
    <s v="PAWS"/>
    <s v="PDI Alcohol Prep Pad, 100 per box, 10 boxes per case"/>
    <s v="C69900"/>
    <s v="N/A"/>
    <s v="N.A"/>
    <n v="100"/>
    <s v="Each"/>
    <n v="10"/>
    <s v="Box"/>
    <n v="20"/>
    <s v="Case"/>
    <n v="20000"/>
    <n v="200"/>
    <n v="76"/>
    <n v="1520"/>
    <d v="2020-07-21T00:00:00"/>
    <s v="Deliver to Mt Baker Warehouse"/>
    <s v="FAS"/>
    <s v="FA1-0000000061"/>
    <s v="ACH Net 5 "/>
    <s v="Yes"/>
    <n v="20"/>
    <n v="123714"/>
    <d v="2020-07-21T00:00:00"/>
    <m/>
    <m/>
    <m/>
    <m/>
    <m/>
    <m/>
    <n v="0"/>
    <x v="13"/>
    <s v="Each"/>
    <n v="0"/>
    <d v="2020-07-21T00:00:00"/>
    <s v="Received 20 cases on 07/16/20 at 10:00 am"/>
    <m/>
    <m/>
    <m/>
  </r>
  <r>
    <d v="2020-07-21T00:00:00"/>
    <s v="Sound Safety Products"/>
    <s v="Disinfectant Wipes"/>
    <s v="Wipes, Anti-bacterial, santa fe, 80 count"/>
    <s v="PG94029"/>
    <s v="N/A"/>
    <s v="N/A"/>
    <n v="80"/>
    <s v="Wipes"/>
    <n v="52008"/>
    <s v="Tube"/>
    <n v="1"/>
    <s v="Order"/>
    <n v="4160640"/>
    <n v="52008"/>
    <n v="3.25"/>
    <n v="169026"/>
    <d v="2020-09-04T00:00:00"/>
    <s v="Deliver to Mt Baker Warehouse"/>
    <s v="FAS"/>
    <s v="FA1-0000000064"/>
    <s v="ACH 1%, Net 5"/>
    <s v="No"/>
    <m/>
    <m/>
    <m/>
    <m/>
    <m/>
    <m/>
    <m/>
    <m/>
    <m/>
    <n v="52008"/>
    <x v="11"/>
    <s v="Tube"/>
    <n v="52008"/>
    <d v="2020-09-04T00:00:00"/>
    <m/>
    <m/>
    <m/>
    <m/>
  </r>
  <r>
    <d v="2020-07-21T00:00:00"/>
    <s v="Stellar"/>
    <s v="Other"/>
    <s v="Gel dispenser with stand"/>
    <s v="ASHBU M-51613"/>
    <s v="N/A"/>
    <s v="N/A"/>
    <n v="20"/>
    <s v="Each"/>
    <s v="N/A"/>
    <s v="N/A"/>
    <n v="1"/>
    <s v="Order"/>
    <n v="20"/>
    <s v="N/A"/>
    <n v="269.99"/>
    <n v="5399.8"/>
    <d v="2020-08-05T00:00:00"/>
    <s v="Deliver to Mt Baker Warehouse"/>
    <s v="FAS"/>
    <s v="FA1-STTL-dm6052"/>
    <s v="Blanket Contract 3342"/>
    <s v="Yes"/>
    <n v="20"/>
    <n v="4230014"/>
    <d v="2020-08-11T00:00:00"/>
    <m/>
    <m/>
    <m/>
    <m/>
    <m/>
    <m/>
    <n v="0"/>
    <x v="27"/>
    <m/>
    <m/>
    <d v="2020-08-05T00:00:00"/>
    <s v="received 20 on 8/6/20 at 1155 per receiving report"/>
    <m/>
    <m/>
    <m/>
  </r>
  <r>
    <d v="2020-07-21T00:00:00"/>
    <s v="Stellar"/>
    <s v="Other"/>
    <s v="Hand Cleaner Gel, citrus refill, 1-gallon"/>
    <s v="LOMAF-Hand Cleaner Gel"/>
    <n v="128"/>
    <n v="10240"/>
    <n v="80"/>
    <s v="Each"/>
    <s v="N/A"/>
    <s v="N/A"/>
    <n v="1"/>
    <s v="Order"/>
    <n v="80"/>
    <s v="N/A"/>
    <n v="39.99"/>
    <n v="3199.2000000000003"/>
    <d v="2020-08-05T00:00:00"/>
    <s v="Deliver to Mt Baker Warehouse"/>
    <s v="FAS"/>
    <s v="FA1-STTL-dm6052"/>
    <s v="Blanket Contract 3342"/>
    <s v="Yes"/>
    <n v="80"/>
    <n v="4230014"/>
    <d v="2020-08-11T00:00:00"/>
    <m/>
    <m/>
    <m/>
    <m/>
    <m/>
    <m/>
    <n v="0"/>
    <x v="27"/>
    <m/>
    <m/>
    <d v="2020-08-05T00:00:00"/>
    <s v="received 80 on 8/6/20 at 1155 per receiving report"/>
    <m/>
    <m/>
    <m/>
  </r>
  <r>
    <d v="2020-07-21T00:00:00"/>
    <s v="Stellar"/>
    <s v="Other"/>
    <s v="Hand Cleaner Gel, citrus refill, 1-gallon"/>
    <s v="LOMAF-Hand Cleaner Gel"/>
    <n v="128"/>
    <n v="15360"/>
    <n v="120"/>
    <s v="Each"/>
    <s v="N/A"/>
    <s v="N/A"/>
    <n v="1"/>
    <s v="Order"/>
    <n v="120"/>
    <s v="N/A"/>
    <n v="39.99"/>
    <n v="4798.8"/>
    <d v="2020-08-05T00:00:00"/>
    <s v="Deliver to Mt Baker Warehouse"/>
    <s v="FAS"/>
    <s v="FA1-STTL-dm6052"/>
    <s v="Blanket Contract 3342"/>
    <s v="Yes"/>
    <n v="120"/>
    <n v="4229752"/>
    <d v="2020-08-11T00:00:00"/>
    <m/>
    <m/>
    <m/>
    <m/>
    <m/>
    <m/>
    <n v="0"/>
    <x v="27"/>
    <m/>
    <m/>
    <d v="2020-08-05T00:00:00"/>
    <s v="Received 120 on 8/5/2020 at 1100 per receiving report"/>
    <m/>
    <m/>
    <m/>
  </r>
  <r>
    <d v="2020-07-21T00:00:00"/>
    <s v="Excel Supply Company"/>
    <s v="Gowns"/>
    <s v="Gown, Isolation Gown with thumb loop, level 3, 35 to 45 gsm, universal size, one size fits most, 100 per case, 2,000 cases."/>
    <s v="0503-IG881T"/>
    <s v="N/A"/>
    <s v="N/A"/>
    <n v="100"/>
    <s v="Each"/>
    <n v="2000"/>
    <s v="Case"/>
    <n v="1"/>
    <s v="Order"/>
    <n v="200000"/>
    <n v="2000"/>
    <n v="1.65"/>
    <n v="330000"/>
    <d v="2020-08-14T00:00:00"/>
    <s v="Deliver to Mt Baker Warehouse"/>
    <s v="FAS"/>
    <s v="FA1-0000000066"/>
    <s v="ACH, net 5"/>
    <s v="No"/>
    <n v="1500"/>
    <n v="124361"/>
    <d v="2020-08-17T00:00:00"/>
    <m/>
    <m/>
    <m/>
    <m/>
    <m/>
    <m/>
    <n v="198500"/>
    <x v="16"/>
    <s v="Each"/>
    <n v="198500"/>
    <d v="2020-08-14T00:00:00"/>
    <s v="Received 1,500 EA on 08/17/20 1240 (Receiving report and packing slip) Paid on Inv#124361."/>
    <m/>
    <m/>
    <m/>
  </r>
  <r>
    <d v="2020-07-23T00:00:00"/>
    <s v="Excel Supply Company"/>
    <s v="Gloves - M"/>
    <s v="Nitrile exam gloves, 4 mil, powder free, blue, medium, 100 per box"/>
    <s v="EM1887"/>
    <s v="N/A"/>
    <s v="N/A"/>
    <n v="100"/>
    <s v="Each"/>
    <n v="17500"/>
    <s v="Box"/>
    <n v="1"/>
    <s v="Order"/>
    <n v="1750000"/>
    <n v="17500"/>
    <n v="9"/>
    <n v="157500"/>
    <d v="2021-07-24T00:00:00"/>
    <s v="Deliver to Mt Baker Warehouse"/>
    <s v="FAS"/>
    <s v="FA1-0000000067"/>
    <s v="Blanket Contract 3832"/>
    <s v="No"/>
    <m/>
    <m/>
    <m/>
    <m/>
    <m/>
    <m/>
    <m/>
    <m/>
    <m/>
    <n v="17500"/>
    <x v="17"/>
    <s v="Pair"/>
    <n v="875000"/>
    <d v="2021-07-24T00:00:00"/>
    <m/>
    <m/>
    <m/>
    <m/>
  </r>
  <r>
    <d v="2020-07-23T00:00:00"/>
    <s v="Excel Supply Company"/>
    <s v="Gloves - L"/>
    <s v="Nitrile exam gloves, 4 mil, powder free, blue, large, 100 per box"/>
    <s v="EM1888"/>
    <s v="N/A"/>
    <s v="N/A"/>
    <n v="100"/>
    <s v="Each"/>
    <n v="17500"/>
    <s v="Box "/>
    <n v="1"/>
    <s v="Order"/>
    <n v="1750000"/>
    <n v="17500"/>
    <n v="9"/>
    <n v="157500"/>
    <d v="2021-07-24T00:00:00"/>
    <s v="Deliver to Mt Baker Warehouse"/>
    <s v="FAS"/>
    <s v="FA1-0000000067"/>
    <s v="Blanket Contract 3832"/>
    <s v="No"/>
    <m/>
    <m/>
    <m/>
    <m/>
    <m/>
    <m/>
    <m/>
    <m/>
    <m/>
    <n v="17500"/>
    <x v="17"/>
    <s v="Pair"/>
    <n v="875000"/>
    <d v="2021-07-24T00:00:00"/>
    <m/>
    <m/>
    <m/>
    <m/>
  </r>
  <r>
    <d v="2020-07-23T00:00:00"/>
    <s v="Excel Supply Company"/>
    <s v="Gloves - XL"/>
    <s v="Nitrile exam gloves, 4 mil, powder free, blue, x-large, 100 per box"/>
    <s v="EM1889"/>
    <s v="N/A"/>
    <s v="N/A"/>
    <n v="100"/>
    <s v="Each"/>
    <n v="17500"/>
    <s v="Box "/>
    <n v="1"/>
    <s v="Order"/>
    <n v="1750000"/>
    <n v="17500"/>
    <n v="9"/>
    <n v="157500"/>
    <d v="2021-07-24T00:00:00"/>
    <s v="Deliver to Mt Baker Warehouse"/>
    <s v="FAS"/>
    <s v="FA1-0000000067"/>
    <s v="Blanket Contract 3832"/>
    <s v="No"/>
    <m/>
    <m/>
    <m/>
    <m/>
    <m/>
    <m/>
    <m/>
    <m/>
    <m/>
    <n v="17500"/>
    <x v="17"/>
    <s v="Pair"/>
    <n v="875000"/>
    <d v="2021-07-24T00:00:00"/>
    <m/>
    <m/>
    <m/>
    <m/>
  </r>
  <r>
    <d v="2020-07-23T00:00:00"/>
    <s v="Excel Supply Company"/>
    <s v="Gloves - XXL"/>
    <s v="Nitrile exam gloves, 4 mil, powder free, blue, 2x-large, 100 per box"/>
    <s v="EM18810"/>
    <s v="N/A"/>
    <s v="N/A"/>
    <n v="100"/>
    <s v="Each"/>
    <n v="17500"/>
    <s v="Box "/>
    <n v="1"/>
    <s v="Order"/>
    <n v="1750000"/>
    <n v="17500"/>
    <n v="9"/>
    <n v="157500"/>
    <d v="2021-07-24T00:00:00"/>
    <s v="Deliver to Mt Baker Warehouse"/>
    <s v="FAS"/>
    <s v="FA1-0000000067"/>
    <s v="Blanket Contract 3832"/>
    <s v="No"/>
    <m/>
    <m/>
    <m/>
    <m/>
    <m/>
    <m/>
    <m/>
    <m/>
    <m/>
    <n v="17500"/>
    <x v="17"/>
    <s v="Pair"/>
    <n v="875000"/>
    <d v="2021-07-24T00:00:00"/>
    <m/>
    <m/>
    <m/>
    <m/>
  </r>
  <r>
    <d v="2020-07-01T00:00:00"/>
    <s v="Complete Office"/>
    <s v="Towels"/>
    <s v="Pacific blue select A#300, disposable bath towels, 200 per box"/>
    <s v="GPC 80540"/>
    <s v="N/A"/>
    <s v="N/A"/>
    <n v="200"/>
    <s v="Each"/>
    <n v="50"/>
    <s v="Box"/>
    <n v="1"/>
    <s v="Order"/>
    <n v="10000"/>
    <n v="50"/>
    <n v="77.290000000000006"/>
    <n v="3864.5000000000005"/>
    <d v="2020-07-24T00:00:00"/>
    <s v="Deliver to Mt Baker Warehouse"/>
    <s v="FAS"/>
    <s v="PO#FA1-0000000056"/>
    <s v="NET 30"/>
    <s v="No"/>
    <n v="50"/>
    <s v="1975196-0"/>
    <d v="2020-08-11T00:00:00"/>
    <m/>
    <m/>
    <m/>
    <m/>
    <m/>
    <m/>
    <n v="0"/>
    <x v="0"/>
    <m/>
    <n v="0"/>
    <d v="2020-07-24T00:00:00"/>
    <s v="Received 50 on 07/21/2020 at 0930"/>
    <m/>
    <m/>
    <m/>
  </r>
  <r>
    <d v="2020-07-27T00:00:00"/>
    <s v="Sid Tool Co dba MSC Industrial Supply"/>
    <s v="N-95 No Filter"/>
    <s v="Moldex N95 Masks, Small, 10 per box"/>
    <s v="2701N95"/>
    <s v="N/A"/>
    <s v="N/A"/>
    <n v="10"/>
    <s v="Each"/>
    <n v="3"/>
    <s v="Box"/>
    <n v="1"/>
    <s v="Order"/>
    <n v="30"/>
    <n v="3"/>
    <n v="40.33"/>
    <n v="120.99"/>
    <d v="2020-07-31T00:00:00"/>
    <s v="Deliver to Mt Baker Warehouse"/>
    <s v="FAS"/>
    <s v="FA1-0000000071"/>
    <s v="NET 30"/>
    <s v="No"/>
    <m/>
    <m/>
    <m/>
    <m/>
    <m/>
    <m/>
    <m/>
    <m/>
    <m/>
    <n v="3"/>
    <x v="0"/>
    <s v="Each"/>
    <n v="30"/>
    <d v="2020-07-31T00:00:00"/>
    <m/>
    <m/>
    <m/>
    <m/>
  </r>
  <r>
    <d v="2020-07-31T00:00:00"/>
    <s v="Complete Office"/>
    <s v="Other"/>
    <s v="LINER,LD,22X25,.90MIL,BK,500CT"/>
    <s v="E222509BK"/>
    <s v="N/A"/>
    <s v="N/A"/>
    <n v="500"/>
    <s v="Box"/>
    <n v="30"/>
    <s v="Boxes"/>
    <n v="1"/>
    <s v="Order"/>
    <n v="15000"/>
    <n v="30"/>
    <n v="21.65"/>
    <n v="649.5"/>
    <d v="2020-07-31T00:00:00"/>
    <s v="Deliver to Rainier Warehouse"/>
    <s v="FAS"/>
    <n v="3835"/>
    <n v="3"/>
    <s v="No"/>
    <n v="24"/>
    <m/>
    <m/>
    <m/>
    <m/>
    <m/>
    <m/>
    <m/>
    <m/>
    <n v="6"/>
    <x v="20"/>
    <m/>
    <n v="0"/>
    <m/>
    <m/>
    <m/>
    <m/>
    <m/>
  </r>
  <r>
    <d v="2020-07-31T00:00:00"/>
    <s v="Complete Office"/>
    <s v="Other"/>
    <s v="LINER,HD,30X37, 12MIC.NAT,500CT"/>
    <s v="H303712NL"/>
    <s v="N/A"/>
    <s v="N/A"/>
    <n v="500"/>
    <s v="Box"/>
    <n v="30"/>
    <s v="Boxes"/>
    <n v="1"/>
    <s v="Order"/>
    <n v="15000"/>
    <n v="30"/>
    <n v="27.53"/>
    <n v="825.90000000000009"/>
    <d v="2020-07-31T00:00:00"/>
    <s v="Deliver to Rainier Warehouse"/>
    <s v="FAS"/>
    <n v="3835"/>
    <s v="Blanket Contract 3835"/>
    <s v="Yes"/>
    <n v="30"/>
    <m/>
    <m/>
    <m/>
    <m/>
    <m/>
    <m/>
    <m/>
    <m/>
    <n v="0"/>
    <x v="20"/>
    <m/>
    <n v="0"/>
    <m/>
    <m/>
    <m/>
    <m/>
    <m/>
  </r>
  <r>
    <d v="2020-07-31T00:00:00"/>
    <s v="Complete Office"/>
    <s v="Other"/>
    <s v="LINER,HD,40X46, 19MIC,NAT,250CT"/>
    <s v="PHD404619NL"/>
    <s v="N/A"/>
    <s v="N/A"/>
    <n v="250"/>
    <s v="Box"/>
    <n v="30"/>
    <s v="Boxes"/>
    <n v="1"/>
    <s v="Order"/>
    <n v="7500"/>
    <n v="30"/>
    <n v="23.33"/>
    <n v="699.9"/>
    <d v="2020-07-31T00:00:00"/>
    <s v="Deliver to Rainier Warehouse"/>
    <s v="FAS"/>
    <n v="3835"/>
    <s v="Blanket Contract 3835"/>
    <s v="Yes"/>
    <n v="30"/>
    <m/>
    <m/>
    <m/>
    <m/>
    <m/>
    <m/>
    <m/>
    <m/>
    <n v="0"/>
    <x v="20"/>
    <m/>
    <n v="0"/>
    <m/>
    <m/>
    <m/>
    <m/>
    <m/>
  </r>
  <r>
    <d v="2020-08-06T00:00:00"/>
    <s v="Element 6 Equity LLC"/>
    <s v="Other"/>
    <s v="Test Swabs"/>
    <s v="none"/>
    <s v="N/A"/>
    <s v="N/A"/>
    <n v="100000"/>
    <s v="Each"/>
    <s v="N/A"/>
    <s v="N/A"/>
    <n v="1"/>
    <s v="Order"/>
    <n v="100000"/>
    <s v="N/A"/>
    <n v="1"/>
    <n v="100000"/>
    <d v="2020-08-24T00:00:00"/>
    <s v="deliver to mt baker warehouse"/>
    <s v="FAS"/>
    <s v="FA1-STTL-8hybo3"/>
    <s v="delivery will also include 20,000 additional test swab kits as donation"/>
    <s v="No"/>
    <m/>
    <m/>
    <m/>
    <m/>
    <m/>
    <m/>
    <m/>
    <m/>
    <m/>
    <n v="100000"/>
    <x v="20"/>
    <m/>
    <m/>
    <m/>
    <m/>
    <m/>
    <m/>
    <m/>
  </r>
  <r>
    <d v="2020-08-06T00:00:00"/>
    <s v="Element 6 Equity LLC"/>
    <s v="Other"/>
    <s v="Test Swabs"/>
    <s v="none"/>
    <s v="N/A"/>
    <s v="N/A"/>
    <n v="20000"/>
    <s v="Each"/>
    <s v="N/A"/>
    <s v="N/A"/>
    <n v="1"/>
    <s v="Order"/>
    <n v="20000"/>
    <s v="N/A"/>
    <n v="0"/>
    <n v="0"/>
    <d v="2020-08-24T00:00:00"/>
    <s v="deliver to mt baker warehouse"/>
    <s v="FAS"/>
    <s v="FA1-STTL-8hybo3"/>
    <s v="DONATION FROM E6"/>
    <s v="No"/>
    <m/>
    <m/>
    <m/>
    <m/>
    <m/>
    <m/>
    <m/>
    <m/>
    <m/>
    <n v="20000"/>
    <x v="20"/>
    <m/>
    <m/>
    <m/>
    <m/>
    <m/>
    <m/>
    <m/>
  </r>
  <r>
    <d v="2020-08-10T00:00:00"/>
    <s v="CUBIK Promotions Inc"/>
    <s v="CMask"/>
    <s v="Reusable Mask with Filter Insert, Individually wrapped, Black Color"/>
    <s v="none"/>
    <s v="N/A"/>
    <s v="N/A"/>
    <n v="182000"/>
    <s v="Each"/>
    <s v="N/A"/>
    <s v="N/A"/>
    <n v="1"/>
    <s v="Order"/>
    <n v="182000"/>
    <s v="N/A"/>
    <n v="0.69"/>
    <n v="125579.99999999999"/>
    <d v="2020-11-23T00:00:00"/>
    <s v="deliver to mt baker warehouse"/>
    <s v="FAS"/>
    <s v="FA1-0000000073"/>
    <s v="40k by 9/24; 40k by 10/22; 102k by 11/23/2020"/>
    <s v="No"/>
    <m/>
    <m/>
    <m/>
    <m/>
    <m/>
    <m/>
    <m/>
    <m/>
    <m/>
    <n v="182000"/>
    <x v="15"/>
    <s v="Each"/>
    <n v="182000"/>
    <d v="2020-11-23T00:00:00"/>
    <m/>
    <m/>
    <m/>
    <m/>
  </r>
  <r>
    <d v="2020-08-10T00:00:00"/>
    <s v="CUBIK Promotions Inc"/>
    <s v="Other"/>
    <s v="Filter Inserts, packs of 10"/>
    <s v="none"/>
    <s v="N/A"/>
    <s v="N/A"/>
    <n v="10"/>
    <s v="pack"/>
    <n v="60667"/>
    <s v="Packs"/>
    <n v="1"/>
    <s v="Order"/>
    <n v="60667"/>
    <n v="606670"/>
    <n v="0.3"/>
    <n v="18200.099999999999"/>
    <d v="2020-11-23T00:00:00"/>
    <s v="deliver to mt baker warehouse"/>
    <s v="FAS"/>
    <s v="FA1-0000000073"/>
    <s v="N/A"/>
    <s v="No"/>
    <m/>
    <m/>
    <m/>
    <m/>
    <m/>
    <m/>
    <m/>
    <m/>
    <m/>
    <n v="60667"/>
    <x v="2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r>
    <m/>
    <m/>
    <m/>
    <m/>
    <m/>
    <m/>
    <m/>
    <m/>
    <m/>
    <m/>
    <m/>
    <m/>
    <m/>
    <m/>
    <m/>
    <m/>
    <m/>
    <m/>
    <m/>
    <m/>
    <m/>
    <m/>
    <m/>
    <m/>
    <m/>
    <m/>
    <m/>
    <m/>
    <m/>
    <m/>
    <m/>
    <m/>
    <m/>
    <x v="0"/>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4C3E89-93B9-4D03-84AE-761B3DADE6A1}" name="PivotOutstandingOrders"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32" firstHeaderRow="0" firstDataRow="1" firstDataCol="1"/>
  <pivotFields count="41">
    <pivotField numFmtId="14" showAll="0"/>
    <pivotField showAll="0"/>
    <pivotField showAll="0"/>
    <pivotField showAll="0"/>
    <pivotField showAll="0"/>
    <pivotField showAll="0"/>
    <pivotField showAll="0"/>
    <pivotField numFmtId="164" showAll="0"/>
    <pivotField showAll="0"/>
    <pivotField showAll="0"/>
    <pivotField showAll="0"/>
    <pivotField numFmtId="164" showAll="0"/>
    <pivotField showAll="0"/>
    <pivotField numFmtId="164" showAll="0"/>
    <pivotField showAll="0"/>
    <pivotField showAll="0"/>
    <pivotField numFmtId="4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axis="axisRow" showAll="0" sortType="ascending">
      <items count="38">
        <item x="27"/>
        <item x="13"/>
        <item m="1" x="34"/>
        <item m="1" x="28"/>
        <item m="1" x="32"/>
        <item x="11"/>
        <item x="21"/>
        <item x="19"/>
        <item m="1" x="35"/>
        <item x="14"/>
        <item x="4"/>
        <item x="26"/>
        <item m="1" x="30"/>
        <item x="6"/>
        <item m="1" x="33"/>
        <item x="5"/>
        <item m="1" x="29"/>
        <item x="24"/>
        <item x="23"/>
        <item x="15"/>
        <item x="7"/>
        <item x="8"/>
        <item x="10"/>
        <item x="1"/>
        <item x="17"/>
        <item x="20"/>
        <item x="2"/>
        <item x="18"/>
        <item x="22"/>
        <item m="1" x="36"/>
        <item m="1" x="31"/>
        <item x="16"/>
        <item x="12"/>
        <item x="3"/>
        <item x="25"/>
        <item x="9"/>
        <item x="0"/>
        <item t="default"/>
      </items>
    </pivotField>
    <pivotField showAll="0"/>
    <pivotField dataField="1" showAll="0"/>
    <pivotField dataField="1" showAll="0"/>
    <pivotField showAll="0"/>
    <pivotField showAll="0"/>
    <pivotField showAll="0"/>
    <pivotField showAll="0"/>
  </pivotFields>
  <rowFields count="1">
    <field x="33"/>
  </rowFields>
  <rowItems count="29">
    <i>
      <x/>
    </i>
    <i>
      <x v="1"/>
    </i>
    <i>
      <x v="5"/>
    </i>
    <i>
      <x v="6"/>
    </i>
    <i>
      <x v="7"/>
    </i>
    <i>
      <x v="9"/>
    </i>
    <i>
      <x v="10"/>
    </i>
    <i>
      <x v="11"/>
    </i>
    <i>
      <x v="13"/>
    </i>
    <i>
      <x v="15"/>
    </i>
    <i>
      <x v="17"/>
    </i>
    <i>
      <x v="18"/>
    </i>
    <i>
      <x v="19"/>
    </i>
    <i>
      <x v="20"/>
    </i>
    <i>
      <x v="21"/>
    </i>
    <i>
      <x v="22"/>
    </i>
    <i>
      <x v="23"/>
    </i>
    <i>
      <x v="24"/>
    </i>
    <i>
      <x v="25"/>
    </i>
    <i>
      <x v="26"/>
    </i>
    <i>
      <x v="27"/>
    </i>
    <i>
      <x v="28"/>
    </i>
    <i>
      <x v="31"/>
    </i>
    <i>
      <x v="32"/>
    </i>
    <i>
      <x v="33"/>
    </i>
    <i>
      <x v="34"/>
    </i>
    <i>
      <x v="35"/>
    </i>
    <i>
      <x v="36"/>
    </i>
    <i t="grand">
      <x/>
    </i>
  </rowItems>
  <colFields count="1">
    <field x="-2"/>
  </colFields>
  <colItems count="2">
    <i>
      <x/>
    </i>
    <i i="1">
      <x v="1"/>
    </i>
  </colItems>
  <dataFields count="2">
    <dataField name="Sum of Dashboard Outstanding" fld="35" baseField="0" baseItem="0"/>
    <dataField name="Max of Dashboard Delivery Date" fld="36" subtotal="max" baseField="33" baseItem="20"/>
  </dataFields>
  <formats count="2">
    <format dxfId="431">
      <pivotArea collapsedLevelsAreSubtotals="1" fieldPosition="0">
        <references count="2">
          <reference field="4294967294" count="1" selected="0">
            <x v="0"/>
          </reference>
          <reference field="33" count="0"/>
        </references>
      </pivotArea>
    </format>
    <format dxfId="430">
      <pivotArea collapsedLevelsAreSubtotals="1" fieldPosition="0">
        <references count="2">
          <reference field="4294967294" count="1" selected="0">
            <x v="1"/>
          </reference>
          <reference field="3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8" xr16:uid="{4272F9E3-B913-4F0C-AD10-801CFCA44F82}" autoFormatId="16" applyNumberFormats="0" applyBorderFormats="0" applyFontFormats="0" applyPatternFormats="0" applyAlignmentFormats="0" applyWidthHeightFormats="0">
  <queryTableRefresh nextId="12">
    <queryTableFields count="11">
      <queryTableField id="1" name="  Tracker Number  " tableColumnId="1"/>
      <queryTableField id="2" name="  Requesting Agency  " tableColumnId="2"/>
      <queryTableField id="3" name="  Last Updated At  " tableColumnId="3"/>
      <queryTableField id="4" name="  Subject  " tableColumnId="4"/>
      <queryTableField id="5" name="  Assigned Unit  " tableColumnId="5"/>
      <queryTableField id="6" name="  Status  " tableColumnId="6"/>
      <queryTableField id="7" name="  Started At  " tableColumnId="7"/>
      <queryTableField id="8" name="  Request Subject  " tableColumnId="8"/>
      <queryTableField id="9" name="  Initial Entry  " tableColumnId="9"/>
      <queryTableField id="10" name="  Follow-Up  " tableColumnId="10"/>
      <queryTableField id="11" name="  Requested Capability  " tableColumnId="1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D732F3-CD42-415F-9D69-65D6293B0640}" name="DisplayOrder" displayName="DisplayOrder" ref="A1:C101" totalsRowShown="0">
  <autoFilter ref="A1:C101" xr:uid="{9D2FDBA0-BF42-4766-BB7E-0E563373BCC9}"/>
  <sortState ref="A2:C101">
    <sortCondition ref="A1:A101"/>
  </sortState>
  <tableColumns count="3">
    <tableColumn id="1" xr3:uid="{EBD00158-1225-4E52-B528-95C3FDA7C8A7}" name="Order"/>
    <tableColumn id="2" xr3:uid="{41CF0E7C-4CA3-4B44-988F-E62CCF91DC74}" name="Description"/>
    <tableColumn id="3" xr3:uid="{AB8A7A20-C9F2-4AEB-8B4F-ED221D3CBB8A}" name="Unit" dataDxfId="46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6468AE-1074-4B32-A437-83ADF81340BE}" name="table_export_33" displayName="table_export_33" ref="A11:K464" tableType="queryTable" totalsRowShown="0">
  <autoFilter ref="A11:K464" xr:uid="{C25F77DD-6218-4A37-A94C-6E66AFB9DFBF}"/>
  <tableColumns count="11">
    <tableColumn id="1" xr3:uid="{80DE7379-9478-489B-AFD6-1F5DFAD7BFC3}" uniqueName="1" name="  Tracker Number  " queryTableFieldId="1" dataDxfId="463"/>
    <tableColumn id="2" xr3:uid="{FF860162-3CDE-4734-AC4B-C867D95D2840}" uniqueName="2" name="  Requesting Agency  " queryTableFieldId="2" dataDxfId="462"/>
    <tableColumn id="3" xr3:uid="{40B3A0ED-EF31-4A6C-9B84-EC270EC7A2E9}" uniqueName="3" name="  Last Updated At  " queryTableFieldId="3" dataDxfId="461"/>
    <tableColumn id="4" xr3:uid="{2D8B4459-405A-4A1D-84B2-A8190059E5EF}" uniqueName="4" name="  Subject  " queryTableFieldId="4" dataDxfId="460"/>
    <tableColumn id="5" xr3:uid="{ED12ACC2-BD0C-407A-91F7-BFAF4665AA85}" uniqueName="5" name="  Assigned Unit  " queryTableFieldId="5" dataDxfId="459"/>
    <tableColumn id="6" xr3:uid="{FDBDD859-58D9-4B5D-9EB2-7E17A2CD7D80}" uniqueName="6" name="  Status  " queryTableFieldId="6" dataDxfId="458"/>
    <tableColumn id="7" xr3:uid="{47A8BC58-6ED4-46BA-829E-6A81D23F27E0}" uniqueName="7" name="  Started At  " queryTableFieldId="7" dataDxfId="457"/>
    <tableColumn id="8" xr3:uid="{2C04B894-52DF-4877-B9B5-C8A83BCFFD8D}" uniqueName="8" name="  Request Subject  " queryTableFieldId="8" dataDxfId="456"/>
    <tableColumn id="9" xr3:uid="{1BBB1A39-03D1-4091-93A2-FF18DC994E49}" uniqueName="9" name="  Initial Entry  " queryTableFieldId="9" dataDxfId="455"/>
    <tableColumn id="10" xr3:uid="{CD863B77-E19F-474B-8C76-687FB358BC3F}" uniqueName="10" name="  Follow-Up  " queryTableFieldId="10" dataDxfId="454"/>
    <tableColumn id="11" xr3:uid="{67F37332-0236-43D5-B412-1CA2A0F46EC0}" uniqueName="11" name="  Requested Capability  " queryTableFieldId="11" dataDxfId="4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99AC715-AAC1-4BD0-A5F4-DDE30B4E4FC0}" name="EmployeesSupported" displayName="EmployeesSupported" ref="A1:E29" totalsRowShown="0" dataDxfId="452" tableBorderDxfId="451" dataCellStyle="Comma">
  <autoFilter ref="A1:E29" xr:uid="{1DBEDD88-D824-4B3B-B304-6195E3FEF72B}"/>
  <tableColumns count="5">
    <tableColumn id="1" xr3:uid="{A70B7E96-9BE5-453D-B6E7-9659E796AF04}" name="Dept"/>
    <tableColumn id="2" xr3:uid="{9E8ECB28-D728-494E-A0F0-C490F0F1928D}" name="Notes"/>
    <tableColumn id="3" xr3:uid="{E1FB8F32-9955-4178-9ACA-A46F441DE4F8}" name="Employees Supported" dataDxfId="450" dataCellStyle="Comma"/>
    <tableColumn id="4" xr3:uid="{424FE908-DCCE-4715-8235-889E5ACCD44B}" name="HRIS Shows" dataDxfId="449" dataCellStyle="Comma"/>
    <tableColumn id="5" xr3:uid="{68555D6C-F8B7-4F86-AD35-5A4440F21209}" name="SMT Employees (from HRIS)" dataDxfId="448" dataCellStyle="Comm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4482D1-2B1A-4092-BC4A-7F4B95858FB2}" name="FAS_Centralized" displayName="FAS_Centralized" ref="A2:N162" totalsRowShown="0" headerRowDxfId="447" dataDxfId="446">
  <autoFilter ref="A2:N162" xr:uid="{AF8ED1AE-1A2A-4D0A-8818-ED92B9027FDD}"/>
  <tableColumns count="14">
    <tableColumn id="1" xr3:uid="{D364DF69-F54D-4E09-8BC1-D73A58399D99}" name="SKU" dataDxfId="445"/>
    <tableColumn id="2" xr3:uid="{62D2AE23-6E90-4C6C-9D51-BA328A5A6B44}" name="Description" dataDxfId="444"/>
    <tableColumn id="3" xr3:uid="{A67CB8D0-CAA8-4E70-ABF3-73BEAE8B03C5}" name="(null1)" dataDxfId="443"/>
    <tableColumn id="4" xr3:uid="{2E3BF2E8-F698-42D5-B120-9D1C71B3510E}" name="(null2)" dataDxfId="442"/>
    <tableColumn id="5" xr3:uid="{70F5E901-067F-46AA-9CAD-1C01AE842706}" name="(null3)" dataDxfId="441"/>
    <tableColumn id="6" xr3:uid="{B55A9A65-C5AF-4EAC-8923-6E9F3E610878}" name="(null4)" dataDxfId="440"/>
    <tableColumn id="7" xr3:uid="{F767D72E-5698-496E-B81A-1FBA4C480111}" name="On-hand" dataDxfId="439"/>
    <tableColumn id="8" xr3:uid="{ABD13729-B98B-41D2-98F0-CA2A39BCAD1C}" name="(null5)" dataDxfId="438"/>
    <tableColumn id="9" xr3:uid="{3B9DB558-4CEA-4B71-BF35-7B2DE52D1838}" name="Unites" dataDxfId="437"/>
    <tableColumn id="10" xr3:uid="{5EDB8DC7-7D03-44B2-8D88-63E12240D804}" name="Burn Rate YTD" dataDxfId="436"/>
    <tableColumn id="11" xr3:uid="{056874D7-1B3C-4E6B-AE69-631F5B012FB9}" name="Dashboard Category" dataDxfId="435">
      <calculatedColumnFormula>_xlfn.SINGLE(VLOOKUP(FAS_Centralized[[#This Row],[SKU]],Centralized_Conversions[#All],4,FALSE))</calculatedColumnFormula>
    </tableColumn>
    <tableColumn id="12" xr3:uid="{31A7547C-E6F0-4D35-BFE2-144CFB90624C}" name="Multiplier" dataDxfId="434">
      <calculatedColumnFormula>_xlfn.SINGLE(VLOOKUP(FAS_Centralized[[#This Row],[SKU]],Centralized_Conversions[#All],5,FALSE))</calculatedColumnFormula>
    </tableColumn>
    <tableColumn id="13" xr3:uid="{F3B22456-63A2-4662-9083-F0AB32D957DA}" name="Dashboard Unit" dataDxfId="433">
      <calculatedColumnFormula>_xlfn.SINGLE(VLOOKUP(FAS_Centralized[[#This Row],[SKU]],Centralized_Conversions[#All],6,FALSE))</calculatedColumnFormula>
    </tableColumn>
    <tableColumn id="14" xr3:uid="{769E926F-D51E-4DBE-89A3-54600370B5F2}" name="Count for Dashboard" dataDxfId="432">
      <calculatedColumnFormula>+FAS_Centralized[[#This Row],[On-hand]]*FAS_Centralized[[#This Row],[Multiplier]]</calculatedColumnFormula>
    </tableColumn>
  </tableColumns>
  <tableStyleInfo name="TableStyleLight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748427-D005-45BF-8942-FD69ED561343}" name="Centralized_Conversions" displayName="Centralized_Conversions" ref="A1:G77" totalsRowShown="0">
  <autoFilter ref="A1:G77" xr:uid="{1CEA5E3F-354A-4738-8C3F-3A26D4464BBD}"/>
  <sortState ref="A2:G77">
    <sortCondition ref="A1:A77"/>
  </sortState>
  <tableColumns count="7">
    <tableColumn id="1" xr3:uid="{EA11B6B3-CE25-4A23-850E-7F643AABA6EE}" name="SKU"/>
    <tableColumn id="2" xr3:uid="{1F20D66E-8CCA-4DFC-9DE7-EF1FE14CC923}" name="Description"/>
    <tableColumn id="3" xr3:uid="{950B0E43-8E58-4D96-B40E-1994B1DF00FF}" name="Whse Units"/>
    <tableColumn id="4" xr3:uid="{6F97E7AF-83FA-4712-94EA-C8707B387E28}" name="Dashboard Category"/>
    <tableColumn id="5" xr3:uid="{94E57A64-60D4-41C7-9BDA-61177D91C70A}" name="Multiplier"/>
    <tableColumn id="6" xr3:uid="{601B8745-142E-401F-8922-93B75A13AC67}" name="Dashboard Unit"/>
    <tableColumn id="7" xr3:uid="{1F16A85A-3FA6-4BF9-B894-8E1D2969E80A}" name="Note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E4BBAF-AB37-48BD-A878-5A1CEC24B37F}" name="DATA_Depts" displayName="DATA_Depts" ref="A4:O104" totalsRowShown="0" headerRowDxfId="19" dataDxfId="17" headerRowBorderDxfId="18" tableBorderDxfId="16" totalsRowBorderDxfId="15" dataCellStyle="Comma">
  <autoFilter ref="A4:O104" xr:uid="{25D76D06-9003-470D-B211-1165232698EB}"/>
  <sortState ref="A5:O104">
    <sortCondition ref="A4:A104"/>
  </sortState>
  <tableColumns count="15">
    <tableColumn id="1" xr3:uid="{95A550B8-0E80-4D18-96FA-6E3DFFD66955}" name="Old Line Number" dataDxfId="14"/>
    <tableColumn id="2" xr3:uid="{A539DFFE-2384-4AD1-AD95-256F92DCA7F6}" name="New Line Number" dataDxfId="13"/>
    <tableColumn id="3" xr3:uid="{C9149759-AC1C-43E4-A8ED-6C9CD22B97C0}" name="COVID-19 Item List" dataDxfId="12">
      <calculatedColumnFormula>_xlfn.SINGLE(VLOOKUP(B5,DisplayOrder!A:B,2,FALSE))</calculatedColumnFormula>
    </tableColumn>
    <tableColumn id="4" xr3:uid="{2D5EE80A-6E1C-4ADF-9D4F-AF619138B58F}" name="Unit" dataDxfId="11">
      <calculatedColumnFormula>_xlfn.SINGLE(VLOOKUP(B5,DisplayOrder!A:C,3,FALSE))</calculatedColumnFormula>
    </tableColumn>
    <tableColumn id="5" xr3:uid="{2E6CE2C6-B51F-4D7A-838D-09A3B736EA1D}" name="Consolidated" dataDxfId="10"/>
    <tableColumn id="6" xr3:uid="{D2090E28-158C-4D1D-8785-567DA34FAD6D}" name="SFD" dataDxfId="9" dataCellStyle="Comma"/>
    <tableColumn id="7" xr3:uid="{88A91626-BE74-4ED9-9E3D-24B373B653A8}" name="SPD" dataDxfId="8" dataCellStyle="Comma"/>
    <tableColumn id="8" xr3:uid="{4B7C4174-D151-4793-96C0-2CC6FEF7A621}" name="Parks" dataDxfId="7" dataCellStyle="Comma"/>
    <tableColumn id="9" xr3:uid="{F9DD1F12-BCEA-4326-A6C8-4F274FD4109C}" name="SPU" dataDxfId="6" dataCellStyle="Comma"/>
    <tableColumn id="10" xr3:uid="{50204A55-04CF-4CF9-AFBC-B8E368920D8E}" name="SDOT" dataDxfId="5" dataCellStyle="Comma"/>
    <tableColumn id="11" xr3:uid="{22EF9DC7-650D-45C0-BBB1-2E8A3AF16243}" name="SDCI" dataDxfId="4" dataCellStyle="Comma"/>
    <tableColumn id="12" xr3:uid="{D80094BA-AFC5-4E2D-BE63-5859D20FF81A}" name="Libraries" dataDxfId="3" dataCellStyle="Comma"/>
    <tableColumn id="13" xr3:uid="{2AC116C2-3B54-4F49-8AB6-AEB89B61E735}" name="SeaIT" dataDxfId="2" dataCellStyle="Comma"/>
    <tableColumn id="14" xr3:uid="{DE78380D-FAA6-4930-ACAB-51C91C5FE314}" name="Seattle Ctr" dataDxfId="1" dataCellStyle="Comma"/>
    <tableColumn id="15" xr3:uid="{A46E07B6-E676-4BA2-AFB5-3FA8E2EF3C27}" name="SCL"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2" dT="2020-04-17T20:21:15.96" personId="{AF5CD949-4B8D-466F-B7FE-17238E167758}" id="{59AE2604-F20F-4E7C-AF15-965AEDC02372}">
    <text>Per meeting with @McLean, David, @Palmer, Presley, @Tokunaga, Pam @Salinas, Julie we will be adding a "Unit of Measure"column so that it clearly shows what the Unit Price ties to. Right now the formula identifies which Unit of Measure it ties to. And/or add a guide at the front to explain how the formulas are created.</text>
    <mentions>
      <mention mentionpersonId="{972081B3-C373-4B90-B2A7-5843C4264858}" mentionId="{92D1AB9E-0EF0-4168-9B52-8A14DA432A30}" startIndex="17" length="14"/>
      <mention mentionpersonId="{5163259D-6EE4-4A92-B313-E3DCBC6EAC2D}" mentionId="{73D0810E-DE2A-45E6-B191-0681FB5590D2}" startIndex="33" length="16"/>
      <mention mentionpersonId="{58C9E30F-96A1-4FEA-B6F0-57E0497D2530}" mentionId="{AB7FA0BD-9893-4DD1-BE8D-E33DBFB15081}" startIndex="51" length="14"/>
      <mention mentionpersonId="{ACE0C5C5-61F4-454E-845B-5CB3F45615C2}" mentionId="{5E91305A-B79C-4F5C-934D-8375FBDF4214}" startIndex="66" length="15"/>
    </mentions>
  </threadedComment>
  <threadedComment ref="W2" dT="2020-04-16T21:40:49.68" personId="{AF5CD949-4B8D-466F-B7FE-17238E167758}" id="{056EE73C-C64F-416D-B4B9-62B42E10C28A}">
    <text>Per today's meeting with PResley and Julie S., we will put "cancelled" here if cancelled. And conditional formatting to change the color (grey out?) of the line. I will update the Order Summary formulas to ensure it doesn't sum the amount of the cancelled items. Steve are you comfortable with this?</text>
  </threadedComment>
  <threadedComment ref="W2" dT="2020-04-16T21:42:44.31" personId="{AF5CD949-4B8D-466F-B7FE-17238E167758}" id="{235C57E2-5EA8-4236-984F-F69763F8AD96}" parentId="{056EE73C-C64F-416D-B4B9-62B42E10C28A}">
    <text>@Vanderveer, Steven @McLean, David</text>
    <mentions>
      <mention mentionpersonId="{B3371C7B-3D03-4B4A-B061-A3B6246E9D8A}" mentionId="{248BEF1E-925F-4F4A-BC64-BEC87B5C9210}" startIndex="0" length="19"/>
      <mention mentionpersonId="{972081B3-C373-4B90-B2A7-5843C4264858}" mentionId="{4E4D409D-2448-4146-A928-A6FA92BCFB50}" startIndex="20" length="14"/>
    </mentions>
  </threadedComment>
  <threadedComment ref="W2" dT="2020-04-16T22:34:34.83" personId="{4A7B041D-9A82-4FF1-A423-6D6A6351F570}" id="{592914FA-EB76-42BA-92BA-9EA9DB754762}" parentId="{056EE73C-C64F-416D-B4B9-62B42E10C28A}">
    <text>@Buch, Erin @McLean, David
I'm good.</text>
    <mentions>
      <mention mentionpersonId="{019AE63A-C55F-46B8-9E84-205CBD201C35}" mentionId="{FC751EC2-1C59-4BB1-83D5-7F9814AD6E84}" startIndex="0" length="11"/>
      <mention mentionpersonId="{972081B3-C373-4B90-B2A7-5843C4264858}" mentionId="{5D9FB414-AD60-4D40-AB96-6F02ED3977A2}" startIndex="12" length="14"/>
    </mentions>
  </threadedComment>
  <threadedComment ref="AG2" dT="2020-04-20T20:33:42.48" personId="{AF5CD949-4B8D-466F-B7FE-17238E167758}" id="{AAB67844-DBF3-4054-BA4B-3D16948C6603}">
    <text>@Vanderveer, Steven Hi Steve, is it possible to change this to a percentage outstanding?</text>
    <mentions>
      <mention mentionpersonId="{B3371C7B-3D03-4B4A-B061-A3B6246E9D8A}" mentionId="{21F211CC-FC8A-430C-BD15-B8914088D4D9}" startIndex="0" length="19"/>
    </mentions>
  </threadedComment>
  <threadedComment ref="H16" dT="2020-03-17T21:23:53.46" personId="{AF5CD949-4B8D-466F-B7FE-17238E167758}" id="{E061DEF0-C5B4-434E-BDEE-794ED9F407CC}">
    <text>This assumes 100 pairs per box.</text>
  </threadedComment>
  <threadedComment ref="H17" dT="2020-03-17T21:23:53.46" personId="{AF5CD949-4B8D-466F-B7FE-17238E167758}" id="{0159730C-97CE-4840-9A07-C0CB2B87F517}">
    <text>This assumes 100 pairs per box.</text>
  </threadedComment>
  <threadedComment ref="H18" dT="2020-03-17T21:23:53.46" personId="{AF5CD949-4B8D-466F-B7FE-17238E167758}" id="{E088028D-C161-43BD-B276-CCC79D9DD0BB}">
    <text>This assumes 100 pairs per box.</text>
  </threadedComment>
  <threadedComment ref="H19" dT="2020-03-17T21:23:53.46" personId="{AF5CD949-4B8D-466F-B7FE-17238E167758}" id="{4B9B77A5-C3DC-4C27-939B-E925A1C372DD}">
    <text>This assumes 100 pairs per box.</text>
  </threadedComment>
  <threadedComment ref="H20" dT="2020-03-17T21:23:53.46" personId="{AF5CD949-4B8D-466F-B7FE-17238E167758}" id="{2432A29A-700B-4269-82F8-27864DA12619}">
    <text>This assumes 100 pairs per box.</text>
  </threadedComment>
  <threadedComment ref="H44" dT="2020-03-17T21:23:53.46" personId="{AF5CD949-4B8D-466F-B7FE-17238E167758}" id="{B8B32281-5523-4DFF-9622-B69515B8240B}">
    <text>This assumes 100 pairs per box.</text>
  </threadedComment>
  <threadedComment ref="H45" dT="2020-03-17T21:23:53.46" personId="{AF5CD949-4B8D-466F-B7FE-17238E167758}" id="{B42EC38D-F862-43A7-8876-ADFC20CC1AB1}">
    <text>This assumes 100 pairs per box.</text>
  </threadedComment>
  <threadedComment ref="H46" dT="2020-03-17T21:23:53.46" personId="{AF5CD949-4B8D-466F-B7FE-17238E167758}" id="{126CB54C-46D4-4139-87A1-FE7A73D1DB9F}">
    <text>This assumes 100 pairs per box.</text>
  </threadedComment>
  <threadedComment ref="H47" dT="2020-03-17T21:23:53.46" personId="{AF5CD949-4B8D-466F-B7FE-17238E167758}" id="{C2FB71F9-3DB4-4741-BDD6-6E66739199B3}">
    <text>This assumes 100 pairs per box.</text>
  </threadedComment>
  <threadedComment ref="P101" dT="2020-03-19T17:23:56.20" personId="{AF5CD949-4B8D-466F-B7FE-17238E167758}" id="{EE3C24BA-C687-4DC5-B701-E29041C1A1E4}">
    <text>Don't have unit price</text>
  </threadedComment>
  <threadedComment ref="U103" dT="2020-03-17T23:08:48.21" personId="{AF5CD949-4B8D-466F-B7FE-17238E167758}" id="{48419F2E-2C55-4400-9E77-0052C8C9B026}">
    <text>In addition to the drums, this order also contains the same items as order 14893. Are these duplicates or did we actually order more of those bottles?</text>
  </threadedComment>
  <threadedComment ref="V107" dT="2020-04-16T15:17:06.82" personId="{E7905F8B-0480-4D90-905F-DAFA54CE6B8B}" id="{CBFE2F17-3795-43E5-B682-72BD792C5FF8}">
    <text>4/16 - Supplier said the is no updated ETA. Changed from 4/19 to TBD</text>
  </threadedComment>
  <threadedComment ref="H109" dT="2020-03-17T21:23:53.46" personId="{AF5CD949-4B8D-466F-B7FE-17238E167758}" id="{2C678EA7-2B2F-4BE7-8942-6089B14B3B0C}">
    <text>This assumes 100 pairs per box.</text>
  </threadedComment>
  <threadedComment ref="H110" dT="2020-03-17T21:23:53.46" personId="{AF5CD949-4B8D-466F-B7FE-17238E167758}" id="{8218B25D-9401-4784-B733-E7D78F0F16D2}">
    <text>This assumes 100 pairs per box.</text>
  </threadedComment>
  <threadedComment ref="H111" dT="2020-03-17T21:23:53.46" personId="{AF5CD949-4B8D-466F-B7FE-17238E167758}" id="{95F8E130-057C-4B47-89CF-2B46D23E6576}">
    <text>This assumes 100 pairs per box.</text>
  </threadedComment>
  <threadedComment ref="H112" dT="2020-03-17T21:23:53.46" personId="{AF5CD949-4B8D-466F-B7FE-17238E167758}" id="{52622574-4A79-423B-8BC9-9E1069674D52}">
    <text>This assumes 100 pairs per box.</text>
  </threadedComment>
  <threadedComment ref="H128" dT="2020-03-17T21:23:53.46" personId="{AF5CD949-4B8D-466F-B7FE-17238E167758}" id="{4E995DB8-D8BC-4D02-8FC2-FC9BC1776CA3}">
    <text>This assumes 100 pairs per box.</text>
  </threadedComment>
  <threadedComment ref="H129" dT="2020-03-17T21:23:53.46" personId="{AF5CD949-4B8D-466F-B7FE-17238E167758}" id="{619D7CF5-FFB1-493E-BC0D-38F3024E5F23}">
    <text>This assumes 100 pairs per box.</text>
  </threadedComment>
  <threadedComment ref="H130" dT="2020-03-17T21:23:53.46" personId="{AF5CD949-4B8D-466F-B7FE-17238E167758}" id="{381A50BB-F332-4DDD-825A-1EFD0B074FCA}">
    <text>This assumes 100 pairs per box.</text>
  </threadedComment>
  <threadedComment ref="H131" dT="2020-03-17T21:23:53.46" personId="{AF5CD949-4B8D-466F-B7FE-17238E167758}" id="{4DC1AFEE-7A8D-4552-A248-EFF4DEA48E7D}">
    <text>This assumes 100 pairs per box.</text>
  </threadedComment>
  <threadedComment ref="V161" dT="2020-04-20T18:57:46.54" personId="{E7905F8B-0480-4D90-905F-DAFA54CE6B8B}" id="{1DB85C5A-AACA-4B54-8158-A7B21212AD79}">
    <text>4/20 - Supplier said they are receiving the order today or 4/21. So, I changed the delivery date from 4/13 to 4/24.</text>
  </threadedComment>
  <threadedComment ref="I206" dT="2020-04-23T20:23:51.67" personId="{AF5CD949-4B8D-466F-B7FE-17238E167758}" id="{38454B8B-AF64-40E6-AFDB-442D1DD69B70}">
    <text>Actually a "Tote" - for the purposes of the spreadsheet formulas and consistency, the UOM is "Drum".</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1C8A4-C427-451E-B906-88F214868B61}">
  <dimension ref="A1:A17"/>
  <sheetViews>
    <sheetView workbookViewId="0">
      <selection activeCell="A18" sqref="A18"/>
    </sheetView>
  </sheetViews>
  <sheetFormatPr baseColWidth="10" defaultColWidth="9.1640625" defaultRowHeight="15"/>
  <cols>
    <col min="1" max="1" width="181.6640625" style="194" customWidth="1"/>
    <col min="2" max="16384" width="9.1640625" style="194"/>
  </cols>
  <sheetData>
    <row r="1" spans="1:1" s="189" customFormat="1" ht="17">
      <c r="A1" s="189" t="s">
        <v>0</v>
      </c>
    </row>
    <row r="2" spans="1:1" s="190" customFormat="1" ht="17"/>
    <row r="3" spans="1:1" s="189" customFormat="1" ht="17">
      <c r="A3" s="189" t="s">
        <v>1</v>
      </c>
    </row>
    <row r="4" spans="1:1" s="190" customFormat="1" ht="17"/>
    <row r="5" spans="1:1" s="195" customFormat="1" ht="19">
      <c r="A5" s="195" t="s">
        <v>2</v>
      </c>
    </row>
    <row r="6" spans="1:1" s="190" customFormat="1" ht="17"/>
    <row r="7" spans="1:1" s="189" customFormat="1" ht="17">
      <c r="A7" s="189" t="s">
        <v>3</v>
      </c>
    </row>
    <row r="8" spans="1:1" s="190" customFormat="1" ht="108">
      <c r="A8" s="191" t="s">
        <v>4</v>
      </c>
    </row>
    <row r="9" spans="1:1" s="190" customFormat="1" ht="17">
      <c r="A9" s="191"/>
    </row>
    <row r="10" spans="1:1" s="189" customFormat="1" ht="18">
      <c r="A10" s="192" t="s">
        <v>5</v>
      </c>
    </row>
    <row r="11" spans="1:1" s="190" customFormat="1" ht="90">
      <c r="A11" s="191" t="s">
        <v>6</v>
      </c>
    </row>
    <row r="12" spans="1:1" s="190" customFormat="1" ht="17"/>
    <row r="13" spans="1:1" s="189" customFormat="1" ht="18">
      <c r="A13" s="192" t="s">
        <v>7</v>
      </c>
    </row>
    <row r="14" spans="1:1" s="190" customFormat="1" ht="180">
      <c r="A14" s="191" t="s">
        <v>8</v>
      </c>
    </row>
    <row r="15" spans="1:1" s="190" customFormat="1" ht="17"/>
    <row r="16" spans="1:1" s="189" customFormat="1" ht="18">
      <c r="A16" s="192" t="s">
        <v>9</v>
      </c>
    </row>
    <row r="17" spans="1:1" s="190" customFormat="1" ht="126">
      <c r="A17" s="193" t="s">
        <v>10</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B649C-D241-4E89-BB4D-EFDEEEA148D4}">
  <dimension ref="A1:G77"/>
  <sheetViews>
    <sheetView workbookViewId="0">
      <selection activeCell="E17" sqref="E17"/>
    </sheetView>
  </sheetViews>
  <sheetFormatPr baseColWidth="10" defaultColWidth="8.83203125" defaultRowHeight="15"/>
  <cols>
    <col min="1" max="1" width="15.5" bestFit="1" customWidth="1"/>
    <col min="2" max="2" width="29.5" bestFit="1" customWidth="1"/>
    <col min="3" max="3" width="13.5" customWidth="1"/>
    <col min="4" max="4" width="30.6640625" bestFit="1" customWidth="1"/>
    <col min="5" max="5" width="12.33203125" bestFit="1" customWidth="1"/>
    <col min="6" max="6" width="16.83203125" customWidth="1"/>
    <col min="7" max="7" width="28" bestFit="1" customWidth="1"/>
  </cols>
  <sheetData>
    <row r="1" spans="1:7">
      <c r="A1" t="s">
        <v>2706</v>
      </c>
      <c r="B1" t="s">
        <v>65</v>
      </c>
      <c r="C1" t="s">
        <v>2952</v>
      </c>
      <c r="D1" t="s">
        <v>2715</v>
      </c>
      <c r="E1" t="s">
        <v>2716</v>
      </c>
      <c r="F1" t="s">
        <v>2717</v>
      </c>
      <c r="G1" t="s">
        <v>2641</v>
      </c>
    </row>
    <row r="2" spans="1:7">
      <c r="A2" t="s">
        <v>2721</v>
      </c>
      <c r="B2" t="s">
        <v>2722</v>
      </c>
      <c r="C2" t="s">
        <v>2739</v>
      </c>
      <c r="D2" t="s">
        <v>78</v>
      </c>
      <c r="E2">
        <v>1</v>
      </c>
      <c r="F2" t="s">
        <v>2724</v>
      </c>
    </row>
    <row r="3" spans="1:7">
      <c r="A3" t="s">
        <v>2725</v>
      </c>
      <c r="B3" t="s">
        <v>2726</v>
      </c>
      <c r="C3" t="s">
        <v>2733</v>
      </c>
      <c r="D3" t="s">
        <v>80</v>
      </c>
      <c r="E3">
        <v>100</v>
      </c>
      <c r="F3" t="s">
        <v>2727</v>
      </c>
    </row>
    <row r="4" spans="1:7">
      <c r="A4" t="s">
        <v>2730</v>
      </c>
      <c r="B4" t="s">
        <v>2731</v>
      </c>
      <c r="C4" t="s">
        <v>2953</v>
      </c>
      <c r="D4" t="s">
        <v>94</v>
      </c>
      <c r="E4">
        <v>20</v>
      </c>
      <c r="F4" t="s">
        <v>2733</v>
      </c>
    </row>
    <row r="5" spans="1:7">
      <c r="A5" t="s">
        <v>2734</v>
      </c>
      <c r="B5" t="s">
        <v>2735</v>
      </c>
      <c r="C5" t="s">
        <v>2953</v>
      </c>
      <c r="D5" t="s">
        <v>93</v>
      </c>
      <c r="E5">
        <v>12</v>
      </c>
      <c r="F5" t="s">
        <v>2736</v>
      </c>
    </row>
    <row r="6" spans="1:7">
      <c r="A6" t="s">
        <v>2737</v>
      </c>
      <c r="B6" t="s">
        <v>2738</v>
      </c>
      <c r="C6" t="s">
        <v>2739</v>
      </c>
      <c r="D6" t="s">
        <v>93</v>
      </c>
      <c r="E6">
        <v>1</v>
      </c>
      <c r="F6" t="s">
        <v>2739</v>
      </c>
    </row>
    <row r="7" spans="1:7">
      <c r="A7" t="s">
        <v>2740</v>
      </c>
      <c r="B7" t="s">
        <v>2741</v>
      </c>
      <c r="C7" t="s">
        <v>2733</v>
      </c>
      <c r="D7" t="s">
        <v>66</v>
      </c>
      <c r="E7">
        <v>10</v>
      </c>
      <c r="F7" t="s">
        <v>2739</v>
      </c>
    </row>
    <row r="8" spans="1:7">
      <c r="A8" t="s">
        <v>2742</v>
      </c>
      <c r="B8" t="s">
        <v>2743</v>
      </c>
      <c r="C8" t="s">
        <v>2733</v>
      </c>
      <c r="D8" t="s">
        <v>66</v>
      </c>
      <c r="E8">
        <v>10</v>
      </c>
      <c r="F8" t="s">
        <v>2739</v>
      </c>
    </row>
    <row r="9" spans="1:7">
      <c r="A9" t="s">
        <v>2744</v>
      </c>
      <c r="B9" t="s">
        <v>2745</v>
      </c>
      <c r="C9" t="s">
        <v>2733</v>
      </c>
      <c r="D9" t="s">
        <v>68</v>
      </c>
      <c r="E9">
        <v>50</v>
      </c>
      <c r="F9" t="s">
        <v>2739</v>
      </c>
    </row>
    <row r="10" spans="1:7">
      <c r="A10" t="s">
        <v>2746</v>
      </c>
      <c r="B10" t="s">
        <v>2747</v>
      </c>
      <c r="C10" t="s">
        <v>2739</v>
      </c>
      <c r="D10" t="s">
        <v>76</v>
      </c>
      <c r="E10">
        <v>1</v>
      </c>
      <c r="F10" t="s">
        <v>2739</v>
      </c>
    </row>
    <row r="11" spans="1:7">
      <c r="A11" t="s">
        <v>2748</v>
      </c>
      <c r="B11" t="s">
        <v>2954</v>
      </c>
      <c r="C11" t="s">
        <v>2739</v>
      </c>
      <c r="D11" t="s">
        <v>69</v>
      </c>
      <c r="E11">
        <v>1</v>
      </c>
      <c r="F11" t="s">
        <v>2739</v>
      </c>
    </row>
    <row r="12" spans="1:7">
      <c r="A12" t="s">
        <v>2749</v>
      </c>
      <c r="B12" t="s">
        <v>2750</v>
      </c>
      <c r="C12" t="s">
        <v>2739</v>
      </c>
      <c r="D12" t="s">
        <v>2751</v>
      </c>
      <c r="E12">
        <v>1</v>
      </c>
      <c r="F12" t="s">
        <v>2739</v>
      </c>
    </row>
    <row r="13" spans="1:7">
      <c r="A13" t="s">
        <v>2752</v>
      </c>
      <c r="B13" t="s">
        <v>99</v>
      </c>
      <c r="C13" t="s">
        <v>2733</v>
      </c>
      <c r="D13" t="s">
        <v>2753</v>
      </c>
      <c r="E13">
        <v>10</v>
      </c>
      <c r="F13" t="s">
        <v>2739</v>
      </c>
    </row>
    <row r="14" spans="1:7">
      <c r="A14" t="s">
        <v>2760</v>
      </c>
      <c r="B14" t="s">
        <v>2761</v>
      </c>
      <c r="C14" t="s">
        <v>2733</v>
      </c>
      <c r="D14" t="s">
        <v>72</v>
      </c>
      <c r="E14">
        <v>100</v>
      </c>
      <c r="F14" t="s">
        <v>2762</v>
      </c>
    </row>
    <row r="15" spans="1:7">
      <c r="A15" t="s">
        <v>2763</v>
      </c>
      <c r="B15" t="s">
        <v>2764</v>
      </c>
      <c r="C15" t="s">
        <v>2733</v>
      </c>
      <c r="D15" t="s">
        <v>70</v>
      </c>
      <c r="E15">
        <v>100</v>
      </c>
      <c r="F15" t="s">
        <v>2762</v>
      </c>
    </row>
    <row r="16" spans="1:7">
      <c r="A16" t="s">
        <v>2765</v>
      </c>
      <c r="B16" t="s">
        <v>2766</v>
      </c>
      <c r="C16" t="s">
        <v>2733</v>
      </c>
      <c r="D16" t="s">
        <v>72</v>
      </c>
      <c r="E16">
        <v>100</v>
      </c>
      <c r="F16" t="s">
        <v>2762</v>
      </c>
    </row>
    <row r="17" spans="1:7">
      <c r="A17" t="s">
        <v>2767</v>
      </c>
      <c r="B17" t="s">
        <v>2768</v>
      </c>
      <c r="C17" t="s">
        <v>2733</v>
      </c>
      <c r="D17" t="s">
        <v>70</v>
      </c>
      <c r="E17">
        <v>100</v>
      </c>
      <c r="F17" t="s">
        <v>2762</v>
      </c>
    </row>
    <row r="18" spans="1:7">
      <c r="A18" t="s">
        <v>2769</v>
      </c>
      <c r="B18" t="s">
        <v>2770</v>
      </c>
      <c r="C18" t="s">
        <v>2733</v>
      </c>
      <c r="D18" t="s">
        <v>72</v>
      </c>
      <c r="E18">
        <v>100</v>
      </c>
      <c r="F18" t="s">
        <v>2762</v>
      </c>
    </row>
    <row r="19" spans="1:7">
      <c r="A19" t="s">
        <v>2771</v>
      </c>
      <c r="B19" t="s">
        <v>2772</v>
      </c>
      <c r="C19" t="s">
        <v>2733</v>
      </c>
      <c r="D19" t="s">
        <v>70</v>
      </c>
      <c r="E19">
        <v>100</v>
      </c>
      <c r="F19" t="s">
        <v>2762</v>
      </c>
    </row>
    <row r="20" spans="1:7">
      <c r="A20" t="s">
        <v>2773</v>
      </c>
      <c r="B20" t="s">
        <v>2774</v>
      </c>
      <c r="C20" t="s">
        <v>2733</v>
      </c>
      <c r="D20" t="s">
        <v>72</v>
      </c>
      <c r="E20">
        <v>100</v>
      </c>
      <c r="F20" t="s">
        <v>2762</v>
      </c>
    </row>
    <row r="21" spans="1:7">
      <c r="A21" t="s">
        <v>2775</v>
      </c>
      <c r="B21" t="s">
        <v>2776</v>
      </c>
      <c r="C21" t="s">
        <v>2733</v>
      </c>
      <c r="D21" t="s">
        <v>70</v>
      </c>
      <c r="E21">
        <v>100</v>
      </c>
      <c r="F21" t="s">
        <v>2762</v>
      </c>
    </row>
    <row r="22" spans="1:7">
      <c r="A22" t="s">
        <v>2777</v>
      </c>
      <c r="B22" t="s">
        <v>2778</v>
      </c>
      <c r="C22" t="s">
        <v>2733</v>
      </c>
      <c r="D22" t="s">
        <v>70</v>
      </c>
      <c r="E22">
        <v>100</v>
      </c>
      <c r="F22" t="s">
        <v>2762</v>
      </c>
    </row>
    <row r="23" spans="1:7">
      <c r="A23" t="s">
        <v>2779</v>
      </c>
      <c r="B23" t="s">
        <v>2780</v>
      </c>
      <c r="C23" t="s">
        <v>2953</v>
      </c>
      <c r="D23" t="s">
        <v>95</v>
      </c>
      <c r="E23">
        <v>12</v>
      </c>
      <c r="F23" t="s">
        <v>2781</v>
      </c>
    </row>
    <row r="24" spans="1:7">
      <c r="A24" t="s">
        <v>2784</v>
      </c>
      <c r="B24" t="s">
        <v>2785</v>
      </c>
      <c r="C24" t="s">
        <v>2739</v>
      </c>
      <c r="D24" t="s">
        <v>84</v>
      </c>
      <c r="E24">
        <v>1</v>
      </c>
      <c r="F24" t="s">
        <v>2739</v>
      </c>
    </row>
    <row r="25" spans="1:7">
      <c r="A25" t="s">
        <v>2786</v>
      </c>
      <c r="B25" t="s">
        <v>2787</v>
      </c>
      <c r="C25" t="s">
        <v>2739</v>
      </c>
      <c r="D25" t="s">
        <v>82</v>
      </c>
      <c r="E25">
        <v>1</v>
      </c>
      <c r="F25" t="s">
        <v>2739</v>
      </c>
    </row>
    <row r="26" spans="1:7">
      <c r="A26" t="s">
        <v>2788</v>
      </c>
      <c r="B26" t="s">
        <v>2789</v>
      </c>
      <c r="C26" t="s">
        <v>2739</v>
      </c>
      <c r="D26" t="s">
        <v>82</v>
      </c>
      <c r="E26">
        <v>1</v>
      </c>
      <c r="F26" t="s">
        <v>2739</v>
      </c>
    </row>
    <row r="27" spans="1:7">
      <c r="A27" t="s">
        <v>2790</v>
      </c>
      <c r="B27" t="s">
        <v>2791</v>
      </c>
      <c r="C27" t="s">
        <v>2953</v>
      </c>
      <c r="D27" t="s">
        <v>97</v>
      </c>
      <c r="E27">
        <v>60</v>
      </c>
      <c r="F27" t="s">
        <v>2792</v>
      </c>
    </row>
    <row r="28" spans="1:7">
      <c r="A28" t="s">
        <v>2793</v>
      </c>
      <c r="B28" t="s">
        <v>2955</v>
      </c>
      <c r="C28" t="s">
        <v>2733</v>
      </c>
      <c r="D28" t="s">
        <v>2795</v>
      </c>
      <c r="E28">
        <v>1</v>
      </c>
      <c r="F28" t="s">
        <v>2733</v>
      </c>
      <c r="G28" t="s">
        <v>2956</v>
      </c>
    </row>
    <row r="29" spans="1:7">
      <c r="A29" t="s">
        <v>2800</v>
      </c>
      <c r="B29" t="s">
        <v>2801</v>
      </c>
      <c r="C29" t="s">
        <v>2739</v>
      </c>
      <c r="D29" t="s">
        <v>2795</v>
      </c>
      <c r="E29">
        <v>1</v>
      </c>
      <c r="F29" t="s">
        <v>2739</v>
      </c>
    </row>
    <row r="30" spans="1:7">
      <c r="A30" t="s">
        <v>2802</v>
      </c>
      <c r="B30" t="s">
        <v>2803</v>
      </c>
      <c r="C30" t="s">
        <v>2739</v>
      </c>
      <c r="D30" t="s">
        <v>75</v>
      </c>
      <c r="E30">
        <v>1</v>
      </c>
      <c r="F30" t="s">
        <v>2739</v>
      </c>
    </row>
    <row r="31" spans="1:7">
      <c r="A31" t="s">
        <v>2804</v>
      </c>
      <c r="B31" t="s">
        <v>2805</v>
      </c>
      <c r="C31" t="s">
        <v>2739</v>
      </c>
      <c r="D31" t="s">
        <v>75</v>
      </c>
      <c r="E31">
        <v>1</v>
      </c>
      <c r="F31" t="s">
        <v>2739</v>
      </c>
    </row>
    <row r="32" spans="1:7">
      <c r="A32" t="s">
        <v>2806</v>
      </c>
      <c r="B32" t="s">
        <v>2807</v>
      </c>
      <c r="C32" t="s">
        <v>2739</v>
      </c>
      <c r="D32" t="s">
        <v>75</v>
      </c>
      <c r="E32">
        <v>1</v>
      </c>
      <c r="F32" t="s">
        <v>2739</v>
      </c>
    </row>
    <row r="33" spans="1:7">
      <c r="A33" t="s">
        <v>2808</v>
      </c>
      <c r="B33" t="s">
        <v>2809</v>
      </c>
      <c r="C33" t="s">
        <v>2739</v>
      </c>
      <c r="D33" t="s">
        <v>74</v>
      </c>
      <c r="E33">
        <v>1</v>
      </c>
      <c r="F33" t="s">
        <v>2739</v>
      </c>
    </row>
    <row r="34" spans="1:7">
      <c r="A34" t="s">
        <v>2810</v>
      </c>
      <c r="B34" t="s">
        <v>2811</v>
      </c>
      <c r="C34" t="s">
        <v>2739</v>
      </c>
      <c r="D34" t="s">
        <v>74</v>
      </c>
      <c r="E34">
        <v>1</v>
      </c>
      <c r="F34" t="s">
        <v>2739</v>
      </c>
    </row>
    <row r="35" spans="1:7">
      <c r="A35" t="s">
        <v>2812</v>
      </c>
      <c r="B35" t="s">
        <v>2813</v>
      </c>
      <c r="C35" t="s">
        <v>2739</v>
      </c>
      <c r="D35" t="s">
        <v>74</v>
      </c>
      <c r="E35">
        <v>1</v>
      </c>
      <c r="F35" t="s">
        <v>2739</v>
      </c>
    </row>
    <row r="36" spans="1:7">
      <c r="A36" t="s">
        <v>2814</v>
      </c>
      <c r="B36" t="s">
        <v>2815</v>
      </c>
      <c r="C36" t="s">
        <v>2739</v>
      </c>
      <c r="D36" t="s">
        <v>74</v>
      </c>
      <c r="E36">
        <v>1</v>
      </c>
      <c r="F36" t="s">
        <v>2739</v>
      </c>
    </row>
    <row r="37" spans="1:7">
      <c r="A37" t="s">
        <v>2816</v>
      </c>
      <c r="B37" t="s">
        <v>2817</v>
      </c>
      <c r="C37" t="s">
        <v>2739</v>
      </c>
      <c r="D37" t="s">
        <v>75</v>
      </c>
      <c r="E37">
        <v>1</v>
      </c>
      <c r="F37" t="s">
        <v>2739</v>
      </c>
      <c r="G37" t="s">
        <v>2957</v>
      </c>
    </row>
    <row r="38" spans="1:7">
      <c r="A38" t="s">
        <v>2818</v>
      </c>
      <c r="B38" t="s">
        <v>2819</v>
      </c>
      <c r="C38" t="s">
        <v>2739</v>
      </c>
      <c r="D38" t="s">
        <v>75</v>
      </c>
      <c r="E38">
        <v>1</v>
      </c>
      <c r="F38" t="s">
        <v>2739</v>
      </c>
    </row>
    <row r="39" spans="1:7">
      <c r="A39" t="s">
        <v>2820</v>
      </c>
      <c r="B39" t="s">
        <v>2821</v>
      </c>
      <c r="C39" t="s">
        <v>2953</v>
      </c>
      <c r="D39" t="s">
        <v>2669</v>
      </c>
      <c r="E39">
        <v>1</v>
      </c>
      <c r="F39" t="s">
        <v>2739</v>
      </c>
      <c r="G39" t="s">
        <v>2958</v>
      </c>
    </row>
    <row r="40" spans="1:7">
      <c r="A40" t="s">
        <v>2822</v>
      </c>
      <c r="B40" t="s">
        <v>2823</v>
      </c>
      <c r="C40" t="s">
        <v>2739</v>
      </c>
      <c r="D40" t="s">
        <v>82</v>
      </c>
      <c r="E40">
        <f>ROUNDDOWN((128/12),0)</f>
        <v>10</v>
      </c>
      <c r="F40" t="s">
        <v>2739</v>
      </c>
    </row>
    <row r="41" spans="1:7">
      <c r="A41" t="s">
        <v>2824</v>
      </c>
      <c r="B41" t="s">
        <v>2825</v>
      </c>
      <c r="C41" t="s">
        <v>2739</v>
      </c>
      <c r="D41" t="s">
        <v>82</v>
      </c>
      <c r="E41">
        <f>ROUNDDOWN((128/12),0)</f>
        <v>10</v>
      </c>
      <c r="F41" t="s">
        <v>2739</v>
      </c>
    </row>
    <row r="42" spans="1:7">
      <c r="A42" t="s">
        <v>2826</v>
      </c>
      <c r="B42" t="s">
        <v>2827</v>
      </c>
      <c r="C42" t="s">
        <v>2959</v>
      </c>
      <c r="D42" t="s">
        <v>82</v>
      </c>
      <c r="E42">
        <f>ROUNDDOWN(((55*128)/12),0)</f>
        <v>586</v>
      </c>
      <c r="F42" t="s">
        <v>2739</v>
      </c>
    </row>
    <row r="43" spans="1:7">
      <c r="A43" t="s">
        <v>2829</v>
      </c>
      <c r="B43" t="s">
        <v>2830</v>
      </c>
      <c r="C43" t="s">
        <v>2960</v>
      </c>
      <c r="D43" t="s">
        <v>82</v>
      </c>
      <c r="E43">
        <f>ROUNDDOWN(((250*128)/12),0)</f>
        <v>2666</v>
      </c>
      <c r="F43" t="s">
        <v>2739</v>
      </c>
    </row>
    <row r="44" spans="1:7">
      <c r="A44" t="s">
        <v>2831</v>
      </c>
      <c r="B44" t="s">
        <v>2832</v>
      </c>
      <c r="C44" t="s">
        <v>2959</v>
      </c>
      <c r="D44" t="s">
        <v>82</v>
      </c>
      <c r="E44">
        <f>ROUNDDOWN(((55*128)/12),0)</f>
        <v>586</v>
      </c>
      <c r="F44" t="s">
        <v>2739</v>
      </c>
    </row>
    <row r="45" spans="1:7">
      <c r="A45" t="s">
        <v>2833</v>
      </c>
      <c r="B45" t="s">
        <v>2834</v>
      </c>
      <c r="C45" t="s">
        <v>2961</v>
      </c>
      <c r="D45" t="s">
        <v>86</v>
      </c>
      <c r="E45">
        <v>40</v>
      </c>
      <c r="F45" t="s">
        <v>2736</v>
      </c>
    </row>
    <row r="46" spans="1:7">
      <c r="A46" t="s">
        <v>2836</v>
      </c>
      <c r="B46" t="s">
        <v>2837</v>
      </c>
      <c r="C46" t="s">
        <v>2739</v>
      </c>
      <c r="D46" t="s">
        <v>86</v>
      </c>
      <c r="E46">
        <v>1</v>
      </c>
      <c r="F46" t="s">
        <v>2736</v>
      </c>
    </row>
    <row r="47" spans="1:7">
      <c r="A47" t="s">
        <v>2840</v>
      </c>
      <c r="B47" t="s">
        <v>2841</v>
      </c>
      <c r="C47" t="s">
        <v>2739</v>
      </c>
      <c r="D47" t="s">
        <v>2795</v>
      </c>
      <c r="E47">
        <v>1</v>
      </c>
      <c r="F47" t="s">
        <v>2739</v>
      </c>
    </row>
    <row r="48" spans="1:7">
      <c r="A48" t="s">
        <v>2842</v>
      </c>
      <c r="B48" t="s">
        <v>2843</v>
      </c>
      <c r="C48" t="s">
        <v>2739</v>
      </c>
      <c r="D48" t="s">
        <v>89</v>
      </c>
      <c r="E48">
        <v>1</v>
      </c>
      <c r="F48" t="s">
        <v>2739</v>
      </c>
    </row>
    <row r="49" spans="1:6">
      <c r="A49" t="s">
        <v>2844</v>
      </c>
      <c r="B49" t="s">
        <v>100</v>
      </c>
      <c r="C49" t="s">
        <v>2739</v>
      </c>
      <c r="D49" t="s">
        <v>92</v>
      </c>
      <c r="E49">
        <v>1</v>
      </c>
      <c r="F49" t="s">
        <v>2739</v>
      </c>
    </row>
    <row r="50" spans="1:6">
      <c r="A50" t="s">
        <v>2845</v>
      </c>
      <c r="B50" t="s">
        <v>101</v>
      </c>
      <c r="C50" t="s">
        <v>2739</v>
      </c>
      <c r="D50" t="s">
        <v>2846</v>
      </c>
      <c r="E50">
        <v>1</v>
      </c>
      <c r="F50" t="s">
        <v>2739</v>
      </c>
    </row>
    <row r="51" spans="1:6">
      <c r="A51" t="s">
        <v>2847</v>
      </c>
      <c r="B51" t="s">
        <v>2848</v>
      </c>
      <c r="C51" t="s">
        <v>2849</v>
      </c>
      <c r="D51" t="s">
        <v>87</v>
      </c>
      <c r="E51">
        <v>5</v>
      </c>
      <c r="F51" t="s">
        <v>2849</v>
      </c>
    </row>
    <row r="52" spans="1:6">
      <c r="A52" t="s">
        <v>2850</v>
      </c>
      <c r="B52" t="s">
        <v>2851</v>
      </c>
      <c r="C52" t="s">
        <v>2849</v>
      </c>
      <c r="D52" t="s">
        <v>87</v>
      </c>
      <c r="E52">
        <v>55</v>
      </c>
      <c r="F52" t="s">
        <v>2849</v>
      </c>
    </row>
    <row r="53" spans="1:6">
      <c r="A53" t="s">
        <v>2854</v>
      </c>
      <c r="B53" t="s">
        <v>2855</v>
      </c>
      <c r="C53" t="s">
        <v>2739</v>
      </c>
      <c r="D53" t="s">
        <v>77</v>
      </c>
      <c r="E53">
        <v>1</v>
      </c>
      <c r="F53" t="s">
        <v>2739</v>
      </c>
    </row>
    <row r="54" spans="1:6">
      <c r="A54" t="s">
        <v>2856</v>
      </c>
      <c r="B54" t="s">
        <v>2857</v>
      </c>
      <c r="C54" t="s">
        <v>2739</v>
      </c>
      <c r="D54" t="s">
        <v>78</v>
      </c>
      <c r="E54">
        <v>1</v>
      </c>
      <c r="F54" t="s">
        <v>2724</v>
      </c>
    </row>
    <row r="55" spans="1:6">
      <c r="A55" t="s">
        <v>2859</v>
      </c>
      <c r="B55" t="s">
        <v>2860</v>
      </c>
      <c r="C55" t="s">
        <v>2733</v>
      </c>
      <c r="D55" t="s">
        <v>66</v>
      </c>
      <c r="E55">
        <v>10</v>
      </c>
      <c r="F55" t="s">
        <v>2739</v>
      </c>
    </row>
    <row r="56" spans="1:6">
      <c r="A56" t="s">
        <v>2861</v>
      </c>
      <c r="B56" t="s">
        <v>2862</v>
      </c>
      <c r="C56" t="s">
        <v>2733</v>
      </c>
      <c r="D56" t="s">
        <v>68</v>
      </c>
      <c r="E56">
        <v>10</v>
      </c>
      <c r="F56" t="s">
        <v>2739</v>
      </c>
    </row>
    <row r="57" spans="1:6">
      <c r="A57" t="s">
        <v>2863</v>
      </c>
      <c r="B57" t="s">
        <v>2864</v>
      </c>
      <c r="C57" t="s">
        <v>2739</v>
      </c>
      <c r="D57" t="s">
        <v>76</v>
      </c>
      <c r="E57">
        <v>1</v>
      </c>
      <c r="F57" t="s">
        <v>2739</v>
      </c>
    </row>
    <row r="58" spans="1:6">
      <c r="A58" t="s">
        <v>2865</v>
      </c>
      <c r="B58" t="s">
        <v>2866</v>
      </c>
      <c r="C58" t="s">
        <v>2739</v>
      </c>
      <c r="D58" t="s">
        <v>69</v>
      </c>
      <c r="E58">
        <v>1</v>
      </c>
      <c r="F58" t="s">
        <v>2739</v>
      </c>
    </row>
    <row r="59" spans="1:6">
      <c r="A59" t="s">
        <v>2867</v>
      </c>
      <c r="B59" t="s">
        <v>2868</v>
      </c>
      <c r="C59" t="s">
        <v>2733</v>
      </c>
      <c r="D59" t="s">
        <v>2753</v>
      </c>
      <c r="E59">
        <v>50</v>
      </c>
      <c r="F59" t="s">
        <v>2739</v>
      </c>
    </row>
    <row r="60" spans="1:6">
      <c r="A60" t="s">
        <v>2869</v>
      </c>
      <c r="B60" t="s">
        <v>2870</v>
      </c>
      <c r="C60" t="s">
        <v>2733</v>
      </c>
      <c r="D60" t="s">
        <v>72</v>
      </c>
      <c r="E60">
        <v>100</v>
      </c>
      <c r="F60" t="s">
        <v>2762</v>
      </c>
    </row>
    <row r="61" spans="1:6">
      <c r="A61" t="s">
        <v>2871</v>
      </c>
      <c r="B61" t="s">
        <v>2872</v>
      </c>
      <c r="C61" t="s">
        <v>2733</v>
      </c>
      <c r="D61" t="s">
        <v>72</v>
      </c>
      <c r="E61">
        <v>100</v>
      </c>
      <c r="F61" t="s">
        <v>2762</v>
      </c>
    </row>
    <row r="62" spans="1:6">
      <c r="A62" t="s">
        <v>2873</v>
      </c>
      <c r="B62" t="s">
        <v>2874</v>
      </c>
      <c r="C62" t="s">
        <v>2733</v>
      </c>
      <c r="D62" t="s">
        <v>72</v>
      </c>
      <c r="E62">
        <v>100</v>
      </c>
      <c r="F62" t="s">
        <v>2762</v>
      </c>
    </row>
    <row r="63" spans="1:6">
      <c r="A63" t="s">
        <v>2875</v>
      </c>
      <c r="B63" t="s">
        <v>2876</v>
      </c>
      <c r="C63" t="s">
        <v>2733</v>
      </c>
      <c r="D63" t="s">
        <v>72</v>
      </c>
      <c r="E63">
        <v>100</v>
      </c>
      <c r="F63" t="s">
        <v>2762</v>
      </c>
    </row>
    <row r="64" spans="1:6">
      <c r="A64" t="s">
        <v>2879</v>
      </c>
      <c r="B64" t="s">
        <v>2880</v>
      </c>
      <c r="C64" t="s">
        <v>2739</v>
      </c>
      <c r="D64" t="s">
        <v>75</v>
      </c>
      <c r="E64">
        <v>1</v>
      </c>
      <c r="F64" t="s">
        <v>2739</v>
      </c>
    </row>
    <row r="65" spans="1:6">
      <c r="A65" t="s">
        <v>2881</v>
      </c>
      <c r="B65" t="s">
        <v>2882</v>
      </c>
      <c r="C65" t="s">
        <v>2739</v>
      </c>
      <c r="D65" t="s">
        <v>75</v>
      </c>
      <c r="E65">
        <v>1</v>
      </c>
      <c r="F65" t="s">
        <v>2739</v>
      </c>
    </row>
    <row r="66" spans="1:6">
      <c r="A66" t="s">
        <v>2883</v>
      </c>
      <c r="B66" t="s">
        <v>2884</v>
      </c>
      <c r="C66" t="s">
        <v>2739</v>
      </c>
      <c r="D66" t="s">
        <v>74</v>
      </c>
      <c r="E66">
        <v>1</v>
      </c>
      <c r="F66" t="s">
        <v>2739</v>
      </c>
    </row>
    <row r="67" spans="1:6">
      <c r="A67" t="s">
        <v>2885</v>
      </c>
      <c r="B67" t="s">
        <v>2886</v>
      </c>
      <c r="C67" t="s">
        <v>2739</v>
      </c>
      <c r="D67" t="s">
        <v>74</v>
      </c>
      <c r="E67">
        <v>1</v>
      </c>
      <c r="F67" t="s">
        <v>2739</v>
      </c>
    </row>
    <row r="68" spans="1:6">
      <c r="A68" t="s">
        <v>2887</v>
      </c>
      <c r="B68" t="s">
        <v>2888</v>
      </c>
      <c r="C68" t="s">
        <v>2739</v>
      </c>
      <c r="D68" t="s">
        <v>75</v>
      </c>
      <c r="E68">
        <v>1</v>
      </c>
      <c r="F68" t="s">
        <v>2739</v>
      </c>
    </row>
    <row r="69" spans="1:6">
      <c r="A69" t="s">
        <v>2889</v>
      </c>
      <c r="B69" t="s">
        <v>2890</v>
      </c>
      <c r="C69" t="s">
        <v>2739</v>
      </c>
      <c r="D69" t="s">
        <v>75</v>
      </c>
      <c r="E69">
        <v>1</v>
      </c>
      <c r="F69" t="s">
        <v>2739</v>
      </c>
    </row>
    <row r="70" spans="1:6">
      <c r="A70" t="s">
        <v>2891</v>
      </c>
      <c r="B70" t="s">
        <v>2892</v>
      </c>
      <c r="C70" t="s">
        <v>2739</v>
      </c>
      <c r="D70" t="s">
        <v>74</v>
      </c>
      <c r="E70">
        <v>1</v>
      </c>
      <c r="F70" t="s">
        <v>2739</v>
      </c>
    </row>
    <row r="71" spans="1:6">
      <c r="A71" t="s">
        <v>2893</v>
      </c>
      <c r="B71" t="s">
        <v>2894</v>
      </c>
      <c r="C71" t="s">
        <v>2739</v>
      </c>
      <c r="D71" t="s">
        <v>2669</v>
      </c>
      <c r="E71">
        <v>1</v>
      </c>
      <c r="F71" t="s">
        <v>2739</v>
      </c>
    </row>
    <row r="72" spans="1:6">
      <c r="A72" t="s">
        <v>2895</v>
      </c>
      <c r="B72" t="s">
        <v>2825</v>
      </c>
      <c r="C72" t="s">
        <v>2739</v>
      </c>
      <c r="D72" t="s">
        <v>82</v>
      </c>
      <c r="E72">
        <f>ROUNDDOWN((128/12),0)</f>
        <v>10</v>
      </c>
      <c r="F72" t="s">
        <v>2739</v>
      </c>
    </row>
    <row r="73" spans="1:6">
      <c r="A73" t="s">
        <v>2896</v>
      </c>
      <c r="B73" t="s">
        <v>2897</v>
      </c>
      <c r="C73" t="s">
        <v>2739</v>
      </c>
      <c r="D73" t="s">
        <v>82</v>
      </c>
      <c r="E73">
        <v>1</v>
      </c>
      <c r="F73" t="s">
        <v>2739</v>
      </c>
    </row>
    <row r="74" spans="1:6">
      <c r="A74" t="s">
        <v>2898</v>
      </c>
      <c r="B74" t="s">
        <v>2899</v>
      </c>
      <c r="C74" t="s">
        <v>2739</v>
      </c>
      <c r="D74" t="s">
        <v>82</v>
      </c>
      <c r="E74">
        <v>5</v>
      </c>
      <c r="F74" t="s">
        <v>2739</v>
      </c>
    </row>
    <row r="75" spans="1:6">
      <c r="A75" t="s">
        <v>2900</v>
      </c>
      <c r="B75" t="s">
        <v>2843</v>
      </c>
      <c r="C75" t="s">
        <v>2739</v>
      </c>
      <c r="D75" t="s">
        <v>89</v>
      </c>
      <c r="E75">
        <v>1</v>
      </c>
      <c r="F75" t="s">
        <v>2739</v>
      </c>
    </row>
    <row r="76" spans="1:6">
      <c r="A76" t="s">
        <v>2901</v>
      </c>
      <c r="B76" t="s">
        <v>2902</v>
      </c>
      <c r="C76" t="s">
        <v>2739</v>
      </c>
      <c r="D76" t="s">
        <v>2795</v>
      </c>
      <c r="E76">
        <v>1</v>
      </c>
      <c r="F76" t="s">
        <v>2739</v>
      </c>
    </row>
    <row r="77" spans="1:6">
      <c r="A77" t="s">
        <v>2903</v>
      </c>
      <c r="B77" t="s">
        <v>2904</v>
      </c>
      <c r="C77" t="s">
        <v>2739</v>
      </c>
      <c r="D77" t="s">
        <v>77</v>
      </c>
      <c r="E77">
        <v>1</v>
      </c>
      <c r="F77" t="s">
        <v>2739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FDB2D-9E1D-4F10-9230-09B52427EA75}">
  <sheetPr codeName="Sheet9"/>
  <dimension ref="A1:M33"/>
  <sheetViews>
    <sheetView zoomScale="85" zoomScaleNormal="85" workbookViewId="0">
      <selection activeCell="C21" sqref="C21"/>
    </sheetView>
  </sheetViews>
  <sheetFormatPr baseColWidth="10" defaultColWidth="8.83203125" defaultRowHeight="15"/>
  <cols>
    <col min="1" max="1" width="32.5" bestFit="1" customWidth="1"/>
    <col min="2" max="2" width="28.83203125" bestFit="1" customWidth="1"/>
    <col min="3" max="3" width="30.1640625" style="112" bestFit="1" customWidth="1"/>
    <col min="4" max="4" width="19.6640625" bestFit="1" customWidth="1"/>
    <col min="5" max="5" width="9.6640625" bestFit="1" customWidth="1"/>
    <col min="6" max="6" width="9.6640625" customWidth="1"/>
    <col min="7" max="7" width="31.1640625" bestFit="1" customWidth="1"/>
    <col min="8" max="8" width="30.6640625" bestFit="1" customWidth="1"/>
    <col min="9" max="9" width="29.33203125" bestFit="1" customWidth="1"/>
    <col min="10" max="11" width="9.6640625" bestFit="1" customWidth="1"/>
    <col min="12" max="12" width="15" bestFit="1" customWidth="1"/>
    <col min="13" max="13" width="12" style="12" bestFit="1" customWidth="1"/>
    <col min="14" max="14" width="9.6640625" bestFit="1" customWidth="1"/>
    <col min="15" max="17" width="8.6640625" bestFit="1" customWidth="1"/>
    <col min="18" max="18" width="12.83203125" bestFit="1" customWidth="1"/>
    <col min="19" max="28" width="9.6640625" bestFit="1" customWidth="1"/>
    <col min="29" max="31" width="8.6640625" bestFit="1" customWidth="1"/>
    <col min="32" max="35" width="9.6640625" bestFit="1" customWidth="1"/>
    <col min="36" max="36" width="7.33203125" bestFit="1" customWidth="1"/>
    <col min="37" max="37" width="12" bestFit="1" customWidth="1"/>
  </cols>
  <sheetData>
    <row r="1" spans="1:13">
      <c r="G1" s="119" t="s">
        <v>2962</v>
      </c>
    </row>
    <row r="2" spans="1:13">
      <c r="A2" s="1">
        <v>44060</v>
      </c>
      <c r="G2" s="1">
        <v>44057</v>
      </c>
    </row>
    <row r="3" spans="1:13">
      <c r="A3" s="11" t="s">
        <v>2963</v>
      </c>
      <c r="B3" t="s">
        <v>2964</v>
      </c>
      <c r="C3" t="s">
        <v>2965</v>
      </c>
      <c r="D3" s="185" t="s">
        <v>2966</v>
      </c>
      <c r="F3" s="2"/>
      <c r="G3" t="s">
        <v>2963</v>
      </c>
      <c r="H3" t="s">
        <v>2964</v>
      </c>
      <c r="I3" t="s">
        <v>2965</v>
      </c>
      <c r="J3" s="2" t="s">
        <v>2966</v>
      </c>
      <c r="L3" s="358" t="s">
        <v>2967</v>
      </c>
      <c r="M3" s="357" t="s">
        <v>2968</v>
      </c>
    </row>
    <row r="4" spans="1:13">
      <c r="A4" s="7" t="s">
        <v>2969</v>
      </c>
      <c r="B4" s="118"/>
      <c r="C4" s="113">
        <v>44048</v>
      </c>
      <c r="D4" s="115" t="e">
        <f t="shared" ref="D4:D30" ca="1" si="0">_xlfn.SINGLE(IF(C4&gt;_xlfn.SINGLE(TODAY()),IF(C4=49674,"TBD",C4),"TBD"))</f>
        <v>#NAME?</v>
      </c>
      <c r="F4" s="115"/>
      <c r="G4" t="s">
        <v>2969</v>
      </c>
      <c r="I4">
        <v>44048</v>
      </c>
      <c r="J4" s="2" t="s">
        <v>2970</v>
      </c>
      <c r="L4" t="str">
        <f t="shared" ref="L4" si="1">_xlfn.SINGLE(IF(A4&lt;&gt;G4,"Item Mismatch",""))</f>
        <v/>
      </c>
      <c r="M4" s="356">
        <f>+B4-H4</f>
        <v>0</v>
      </c>
    </row>
    <row r="5" spans="1:13">
      <c r="A5" s="7" t="s">
        <v>80</v>
      </c>
      <c r="B5" s="118">
        <v>22000</v>
      </c>
      <c r="C5" s="113">
        <v>49674</v>
      </c>
      <c r="D5" s="115" t="e">
        <f t="shared" ca="1" si="0"/>
        <v>#NAME?</v>
      </c>
      <c r="F5" s="115"/>
      <c r="G5" t="s">
        <v>80</v>
      </c>
      <c r="H5" s="127">
        <v>22000</v>
      </c>
      <c r="I5" s="1">
        <v>49674</v>
      </c>
      <c r="J5" s="115" t="s">
        <v>2970</v>
      </c>
      <c r="L5" t="str">
        <f t="shared" ref="L5" si="2">_xlfn.SINGLE(IF(A5&lt;&gt;G5,"Item Mismatch",""))</f>
        <v/>
      </c>
      <c r="M5" s="356">
        <f>+B5-H5</f>
        <v>0</v>
      </c>
    </row>
    <row r="6" spans="1:13">
      <c r="A6" s="7" t="s">
        <v>78</v>
      </c>
      <c r="B6" s="118">
        <v>74206</v>
      </c>
      <c r="C6" s="113">
        <v>49674</v>
      </c>
      <c r="D6" s="115" t="e">
        <f t="shared" ca="1" si="0"/>
        <v>#NAME?</v>
      </c>
      <c r="F6" s="115"/>
      <c r="G6" t="s">
        <v>78</v>
      </c>
      <c r="H6" s="127">
        <v>74206</v>
      </c>
      <c r="I6" s="1">
        <v>49674</v>
      </c>
      <c r="J6" s="115" t="s">
        <v>2970</v>
      </c>
      <c r="L6" t="str">
        <f t="shared" ref="L6:L32" si="3">_xlfn.SINGLE(IF(A6&lt;&gt;G6,"Item Mismatch",""))</f>
        <v/>
      </c>
      <c r="M6" s="356">
        <f>+B6-H6</f>
        <v>0</v>
      </c>
    </row>
    <row r="7" spans="1:13">
      <c r="A7" s="7" t="s">
        <v>87</v>
      </c>
      <c r="B7" s="118">
        <v>108</v>
      </c>
      <c r="C7" s="113">
        <v>49674</v>
      </c>
      <c r="D7" s="115" t="e">
        <f t="shared" ca="1" si="0"/>
        <v>#NAME?</v>
      </c>
      <c r="F7" s="115"/>
      <c r="G7" t="s">
        <v>87</v>
      </c>
      <c r="H7" s="127">
        <v>108</v>
      </c>
      <c r="I7" s="1">
        <v>49674</v>
      </c>
      <c r="J7" s="115" t="s">
        <v>2970</v>
      </c>
      <c r="L7" t="str">
        <f t="shared" si="3"/>
        <v/>
      </c>
      <c r="M7" s="356">
        <f t="shared" ref="M7:M32" si="4">+B7-H7</f>
        <v>0</v>
      </c>
    </row>
    <row r="8" spans="1:13">
      <c r="A8" s="7" t="s">
        <v>92</v>
      </c>
      <c r="B8" s="118">
        <v>0</v>
      </c>
      <c r="C8" s="113">
        <v>44027</v>
      </c>
      <c r="D8" s="115" t="e">
        <f t="shared" ca="1" si="0"/>
        <v>#NAME?</v>
      </c>
      <c r="F8" s="115"/>
      <c r="G8" t="s">
        <v>92</v>
      </c>
      <c r="H8" s="127">
        <v>0</v>
      </c>
      <c r="I8" s="1">
        <v>44027</v>
      </c>
      <c r="J8" s="115" t="s">
        <v>2970</v>
      </c>
      <c r="L8" t="str">
        <f t="shared" si="3"/>
        <v/>
      </c>
      <c r="M8" s="356">
        <f t="shared" si="4"/>
        <v>0</v>
      </c>
    </row>
    <row r="9" spans="1:13">
      <c r="A9" s="7" t="s">
        <v>76</v>
      </c>
      <c r="B9" s="118">
        <v>0</v>
      </c>
      <c r="C9" s="113"/>
      <c r="D9" s="115" t="e">
        <f t="shared" ca="1" si="0"/>
        <v>#NAME?</v>
      </c>
      <c r="F9" s="115"/>
      <c r="G9" t="s">
        <v>76</v>
      </c>
      <c r="H9" s="127">
        <v>0</v>
      </c>
      <c r="I9" s="1"/>
      <c r="J9" s="115" t="s">
        <v>2970</v>
      </c>
      <c r="L9" t="str">
        <f t="shared" si="3"/>
        <v/>
      </c>
      <c r="M9" s="356">
        <f t="shared" si="4"/>
        <v>0</v>
      </c>
    </row>
    <row r="10" spans="1:13">
      <c r="A10" s="7" t="s">
        <v>94</v>
      </c>
      <c r="B10" s="118">
        <v>900</v>
      </c>
      <c r="C10" s="113">
        <v>43915</v>
      </c>
      <c r="D10" s="115" t="e">
        <f t="shared" ca="1" si="0"/>
        <v>#NAME?</v>
      </c>
      <c r="F10" s="115"/>
      <c r="G10" t="s">
        <v>94</v>
      </c>
      <c r="H10" s="127">
        <v>900</v>
      </c>
      <c r="I10" s="1">
        <v>43915</v>
      </c>
      <c r="J10" s="115" t="s">
        <v>2970</v>
      </c>
      <c r="L10" t="str">
        <f t="shared" si="3"/>
        <v/>
      </c>
      <c r="M10" s="356">
        <f t="shared" si="4"/>
        <v>0</v>
      </c>
    </row>
    <row r="11" spans="1:13">
      <c r="A11" s="7" t="s">
        <v>77</v>
      </c>
      <c r="B11" s="118">
        <v>0</v>
      </c>
      <c r="C11" s="113">
        <v>44014</v>
      </c>
      <c r="D11" s="115" t="e">
        <f t="shared" ca="1" si="0"/>
        <v>#NAME?</v>
      </c>
      <c r="F11" s="115"/>
      <c r="G11" t="s">
        <v>77</v>
      </c>
      <c r="H11" s="127">
        <v>0</v>
      </c>
      <c r="I11" s="1">
        <v>44014</v>
      </c>
      <c r="J11" s="115" t="s">
        <v>2970</v>
      </c>
      <c r="L11" t="str">
        <f t="shared" si="3"/>
        <v/>
      </c>
      <c r="M11" s="356">
        <f t="shared" si="4"/>
        <v>0</v>
      </c>
    </row>
    <row r="12" spans="1:13">
      <c r="A12" s="7" t="s">
        <v>82</v>
      </c>
      <c r="B12" s="118">
        <v>1173.3333333333333</v>
      </c>
      <c r="C12" s="113">
        <v>49674</v>
      </c>
      <c r="D12" s="115" t="e">
        <f t="shared" ca="1" si="0"/>
        <v>#NAME?</v>
      </c>
      <c r="F12" s="115"/>
      <c r="G12" t="s">
        <v>82</v>
      </c>
      <c r="H12" s="127">
        <v>1173.3333333333333</v>
      </c>
      <c r="I12" s="1">
        <v>49674</v>
      </c>
      <c r="J12" s="115" t="s">
        <v>2970</v>
      </c>
      <c r="L12" t="str">
        <f t="shared" si="3"/>
        <v/>
      </c>
      <c r="M12" s="356">
        <f t="shared" si="4"/>
        <v>0</v>
      </c>
    </row>
    <row r="13" spans="1:13">
      <c r="A13" s="7" t="s">
        <v>93</v>
      </c>
      <c r="B13" s="118">
        <v>34880</v>
      </c>
      <c r="C13" s="113">
        <v>49674</v>
      </c>
      <c r="D13" s="115" t="e">
        <f t="shared" ca="1" si="0"/>
        <v>#NAME?</v>
      </c>
      <c r="F13" s="115"/>
      <c r="G13" t="s">
        <v>93</v>
      </c>
      <c r="H13" s="127">
        <v>34880</v>
      </c>
      <c r="I13" s="1">
        <v>49674</v>
      </c>
      <c r="J13" s="115" t="s">
        <v>2970</v>
      </c>
      <c r="L13" t="str">
        <f t="shared" si="3"/>
        <v/>
      </c>
      <c r="M13" s="356">
        <f t="shared" si="4"/>
        <v>0</v>
      </c>
    </row>
    <row r="14" spans="1:13">
      <c r="A14" s="7" t="s">
        <v>86</v>
      </c>
      <c r="B14" s="118">
        <v>12000</v>
      </c>
      <c r="C14" s="113">
        <v>44055</v>
      </c>
      <c r="D14" s="115" t="e">
        <f t="shared" ca="1" si="0"/>
        <v>#NAME?</v>
      </c>
      <c r="F14" s="115"/>
      <c r="G14" t="s">
        <v>86</v>
      </c>
      <c r="H14" s="127">
        <v>12000</v>
      </c>
      <c r="I14" s="1">
        <v>44055</v>
      </c>
      <c r="J14" s="115" t="s">
        <v>2970</v>
      </c>
      <c r="L14" t="str">
        <f t="shared" si="3"/>
        <v/>
      </c>
      <c r="M14" s="356">
        <f t="shared" si="4"/>
        <v>0</v>
      </c>
    </row>
    <row r="15" spans="1:13">
      <c r="A15" s="7" t="s">
        <v>91</v>
      </c>
      <c r="B15" s="118">
        <v>250</v>
      </c>
      <c r="C15" s="113">
        <v>49674</v>
      </c>
      <c r="D15" s="115" t="e">
        <f t="shared" ca="1" si="0"/>
        <v>#NAME?</v>
      </c>
      <c r="F15" s="115"/>
      <c r="G15" t="s">
        <v>91</v>
      </c>
      <c r="H15" s="127">
        <v>250</v>
      </c>
      <c r="I15" s="1">
        <v>49674</v>
      </c>
      <c r="J15" s="115" t="s">
        <v>2970</v>
      </c>
      <c r="L15" t="str">
        <f t="shared" si="3"/>
        <v/>
      </c>
      <c r="M15" s="356">
        <f t="shared" si="4"/>
        <v>0</v>
      </c>
    </row>
    <row r="16" spans="1:13">
      <c r="A16" s="7" t="s">
        <v>69</v>
      </c>
      <c r="B16" s="118">
        <v>182000</v>
      </c>
      <c r="C16" s="113">
        <v>44158</v>
      </c>
      <c r="D16" s="115" t="e">
        <f t="shared" ca="1" si="0"/>
        <v>#NAME?</v>
      </c>
      <c r="F16" s="115"/>
      <c r="G16" t="s">
        <v>69</v>
      </c>
      <c r="H16" s="127">
        <v>182000</v>
      </c>
      <c r="I16" s="1">
        <v>44158</v>
      </c>
      <c r="J16" s="115">
        <v>44158</v>
      </c>
      <c r="L16" t="str">
        <f t="shared" si="3"/>
        <v/>
      </c>
      <c r="M16" s="356">
        <f t="shared" si="4"/>
        <v>0</v>
      </c>
    </row>
    <row r="17" spans="1:13">
      <c r="A17" s="7" t="s">
        <v>66</v>
      </c>
      <c r="B17" s="118">
        <v>1180960</v>
      </c>
      <c r="C17" s="113">
        <v>49674</v>
      </c>
      <c r="D17" s="115" t="e">
        <f t="shared" ca="1" si="0"/>
        <v>#NAME?</v>
      </c>
      <c r="F17" s="115"/>
      <c r="G17" t="s">
        <v>66</v>
      </c>
      <c r="H17" s="127">
        <v>1181184</v>
      </c>
      <c r="I17" s="1">
        <v>49674</v>
      </c>
      <c r="J17" s="115" t="s">
        <v>2970</v>
      </c>
      <c r="L17" t="str">
        <f t="shared" si="3"/>
        <v/>
      </c>
      <c r="M17" s="356">
        <f t="shared" si="4"/>
        <v>-224</v>
      </c>
    </row>
    <row r="18" spans="1:13">
      <c r="A18" s="7" t="s">
        <v>68</v>
      </c>
      <c r="B18" s="118">
        <v>1244800</v>
      </c>
      <c r="C18" s="113">
        <v>49674</v>
      </c>
      <c r="D18" s="115" t="e">
        <f t="shared" ca="1" si="0"/>
        <v>#NAME?</v>
      </c>
      <c r="F18" s="115"/>
      <c r="G18" t="s">
        <v>68</v>
      </c>
      <c r="H18" s="127">
        <v>1264000</v>
      </c>
      <c r="I18" s="1">
        <v>49674</v>
      </c>
      <c r="J18" s="115" t="s">
        <v>2970</v>
      </c>
      <c r="L18" t="str">
        <f t="shared" si="3"/>
        <v/>
      </c>
      <c r="M18" s="356">
        <f t="shared" si="4"/>
        <v>-19200</v>
      </c>
    </row>
    <row r="19" spans="1:13">
      <c r="A19" s="7" t="s">
        <v>2846</v>
      </c>
      <c r="B19" s="118">
        <v>0</v>
      </c>
      <c r="C19" s="113">
        <v>44050</v>
      </c>
      <c r="D19" s="115" t="e">
        <f t="shared" ca="1" si="0"/>
        <v>#NAME?</v>
      </c>
      <c r="F19" s="115"/>
      <c r="G19" t="s">
        <v>2846</v>
      </c>
      <c r="H19" s="127">
        <v>0</v>
      </c>
      <c r="I19" s="1">
        <v>44050</v>
      </c>
      <c r="J19" s="115" t="s">
        <v>2970</v>
      </c>
      <c r="L19" t="str">
        <f t="shared" si="3"/>
        <v/>
      </c>
      <c r="M19" s="356">
        <f t="shared" si="4"/>
        <v>0</v>
      </c>
    </row>
    <row r="20" spans="1:13">
      <c r="A20" s="7" t="s">
        <v>72</v>
      </c>
      <c r="B20" s="118">
        <v>100</v>
      </c>
      <c r="C20" s="113">
        <v>49674</v>
      </c>
      <c r="D20" s="115" t="e">
        <f t="shared" ca="1" si="0"/>
        <v>#NAME?</v>
      </c>
      <c r="F20" s="115"/>
      <c r="G20" t="s">
        <v>72</v>
      </c>
      <c r="H20" s="127">
        <v>100</v>
      </c>
      <c r="I20" s="1">
        <v>49674</v>
      </c>
      <c r="J20" s="115" t="s">
        <v>2970</v>
      </c>
      <c r="L20" t="str">
        <f t="shared" si="3"/>
        <v/>
      </c>
      <c r="M20" s="356">
        <f t="shared" si="4"/>
        <v>0</v>
      </c>
    </row>
    <row r="21" spans="1:13">
      <c r="A21" s="7" t="s">
        <v>70</v>
      </c>
      <c r="B21" s="118">
        <v>3500000</v>
      </c>
      <c r="C21" s="113">
        <v>44401</v>
      </c>
      <c r="D21" s="115" t="e">
        <f t="shared" ca="1" si="0"/>
        <v>#NAME?</v>
      </c>
      <c r="F21" s="115"/>
      <c r="G21" t="s">
        <v>70</v>
      </c>
      <c r="H21" s="127">
        <v>3500000</v>
      </c>
      <c r="I21" s="1">
        <v>44401</v>
      </c>
      <c r="J21" s="115">
        <v>44401</v>
      </c>
      <c r="L21" t="str">
        <f t="shared" si="3"/>
        <v/>
      </c>
      <c r="M21" s="356">
        <f t="shared" si="4"/>
        <v>0</v>
      </c>
    </row>
    <row r="22" spans="1:13">
      <c r="A22" s="7" t="s">
        <v>2971</v>
      </c>
      <c r="B22" s="118">
        <v>0</v>
      </c>
      <c r="C22" s="113">
        <v>43964</v>
      </c>
      <c r="D22" s="115" t="e">
        <f t="shared" ca="1" si="0"/>
        <v>#NAME?</v>
      </c>
      <c r="F22" s="115"/>
      <c r="G22" t="s">
        <v>2971</v>
      </c>
      <c r="H22" s="127">
        <v>0</v>
      </c>
      <c r="I22" s="1">
        <v>43964</v>
      </c>
      <c r="J22" s="115" t="s">
        <v>2970</v>
      </c>
      <c r="L22" t="str">
        <f t="shared" si="3"/>
        <v/>
      </c>
      <c r="M22" s="356">
        <f t="shared" si="4"/>
        <v>0</v>
      </c>
    </row>
    <row r="23" spans="1:13">
      <c r="A23" s="7" t="s">
        <v>95</v>
      </c>
      <c r="B23" s="118">
        <v>0</v>
      </c>
      <c r="C23" s="113">
        <v>44011</v>
      </c>
      <c r="D23" s="115" t="e">
        <f t="shared" ca="1" si="0"/>
        <v>#NAME?</v>
      </c>
      <c r="F23" s="115"/>
      <c r="G23" t="s">
        <v>95</v>
      </c>
      <c r="H23" s="127">
        <v>0</v>
      </c>
      <c r="I23" s="1">
        <v>44011</v>
      </c>
      <c r="J23" s="115" t="s">
        <v>2970</v>
      </c>
      <c r="L23" t="str">
        <f t="shared" si="3"/>
        <v/>
      </c>
      <c r="M23" s="356">
        <f t="shared" si="4"/>
        <v>0</v>
      </c>
    </row>
    <row r="24" spans="1:13">
      <c r="A24" s="7" t="s">
        <v>84</v>
      </c>
      <c r="B24" s="118">
        <v>2976</v>
      </c>
      <c r="C24" s="113">
        <v>44012</v>
      </c>
      <c r="D24" s="115" t="e">
        <f t="shared" ca="1" si="0"/>
        <v>#NAME?</v>
      </c>
      <c r="F24" s="115"/>
      <c r="G24" t="s">
        <v>84</v>
      </c>
      <c r="H24" s="127">
        <v>2976</v>
      </c>
      <c r="I24" s="140">
        <v>44012</v>
      </c>
      <c r="J24" s="115" t="s">
        <v>2970</v>
      </c>
      <c r="L24" t="str">
        <f t="shared" si="3"/>
        <v/>
      </c>
      <c r="M24" s="356">
        <f t="shared" si="4"/>
        <v>0</v>
      </c>
    </row>
    <row r="25" spans="1:13">
      <c r="A25" s="7" t="s">
        <v>90</v>
      </c>
      <c r="B25" s="118">
        <v>250</v>
      </c>
      <c r="C25" s="113">
        <v>49674</v>
      </c>
      <c r="D25" s="115" t="e">
        <f t="shared" ca="1" si="0"/>
        <v>#NAME?</v>
      </c>
      <c r="F25" s="115"/>
      <c r="G25" t="s">
        <v>90</v>
      </c>
      <c r="H25" s="122">
        <v>250</v>
      </c>
      <c r="I25" s="1">
        <v>49674</v>
      </c>
      <c r="J25" s="115" t="s">
        <v>2970</v>
      </c>
      <c r="L25" t="str">
        <f t="shared" si="3"/>
        <v/>
      </c>
      <c r="M25" s="356">
        <f t="shared" si="4"/>
        <v>0</v>
      </c>
    </row>
    <row r="26" spans="1:13">
      <c r="A26" s="7" t="s">
        <v>2669</v>
      </c>
      <c r="B26" s="118">
        <v>398495</v>
      </c>
      <c r="C26" s="113">
        <v>49674</v>
      </c>
      <c r="D26" s="115" t="e">
        <f t="shared" ca="1" si="0"/>
        <v>#NAME?</v>
      </c>
      <c r="F26" s="115"/>
      <c r="G26" t="s">
        <v>2669</v>
      </c>
      <c r="H26" s="122">
        <v>399995</v>
      </c>
      <c r="I26" s="1">
        <v>49674</v>
      </c>
      <c r="J26" s="115" t="s">
        <v>2970</v>
      </c>
      <c r="L26" t="str">
        <f t="shared" si="3"/>
        <v/>
      </c>
      <c r="M26" s="356">
        <f t="shared" si="4"/>
        <v>-1500</v>
      </c>
    </row>
    <row r="27" spans="1:13">
      <c r="A27" s="7" t="s">
        <v>89</v>
      </c>
      <c r="B27" s="118">
        <v>3</v>
      </c>
      <c r="C27" s="113">
        <v>43997</v>
      </c>
      <c r="D27" s="115" t="e">
        <f t="shared" ca="1" si="0"/>
        <v>#NAME?</v>
      </c>
      <c r="F27" s="115"/>
      <c r="G27" t="s">
        <v>89</v>
      </c>
      <c r="H27" s="122">
        <v>3</v>
      </c>
      <c r="I27" s="1">
        <v>43997</v>
      </c>
      <c r="J27" s="115" t="s">
        <v>2970</v>
      </c>
      <c r="L27" t="str">
        <f t="shared" si="3"/>
        <v/>
      </c>
      <c r="M27" s="356">
        <f t="shared" si="4"/>
        <v>0</v>
      </c>
    </row>
    <row r="28" spans="1:13">
      <c r="A28" s="7" t="s">
        <v>97</v>
      </c>
      <c r="B28" s="118">
        <v>10400</v>
      </c>
      <c r="C28" s="113">
        <v>43910</v>
      </c>
      <c r="D28" s="115" t="e">
        <f t="shared" ca="1" si="0"/>
        <v>#NAME?</v>
      </c>
      <c r="F28" s="115"/>
      <c r="G28" t="s">
        <v>97</v>
      </c>
      <c r="H28" s="122">
        <v>10400</v>
      </c>
      <c r="I28" s="1">
        <v>43910</v>
      </c>
      <c r="J28" s="115" t="s">
        <v>2970</v>
      </c>
      <c r="L28" t="str">
        <f t="shared" si="3"/>
        <v/>
      </c>
      <c r="M28" s="356">
        <f t="shared" si="4"/>
        <v>0</v>
      </c>
    </row>
    <row r="29" spans="1:13">
      <c r="A29" s="7" t="s">
        <v>74</v>
      </c>
      <c r="B29" s="118">
        <v>1100</v>
      </c>
      <c r="C29" s="113">
        <v>44099</v>
      </c>
      <c r="D29" s="115" t="e">
        <f t="shared" ca="1" si="0"/>
        <v>#NAME?</v>
      </c>
      <c r="F29" s="115"/>
      <c r="G29" s="7" t="s">
        <v>74</v>
      </c>
      <c r="H29" s="122">
        <v>1100</v>
      </c>
      <c r="I29" s="1">
        <v>44099</v>
      </c>
      <c r="J29" s="115">
        <v>44099</v>
      </c>
      <c r="L29" t="str">
        <f t="shared" si="3"/>
        <v/>
      </c>
      <c r="M29" s="356">
        <f t="shared" si="4"/>
        <v>0</v>
      </c>
    </row>
    <row r="30" spans="1:13">
      <c r="A30" s="7" t="s">
        <v>75</v>
      </c>
      <c r="B30" s="118">
        <v>0</v>
      </c>
      <c r="C30" s="113">
        <v>49674</v>
      </c>
      <c r="D30" s="115" t="e">
        <f t="shared" ca="1" si="0"/>
        <v>#NAME?</v>
      </c>
      <c r="G30" t="s">
        <v>75</v>
      </c>
      <c r="H30" s="122">
        <v>0</v>
      </c>
      <c r="I30" s="1">
        <v>49674</v>
      </c>
      <c r="J30" s="115" t="s">
        <v>2970</v>
      </c>
      <c r="L30" t="str">
        <f t="shared" si="3"/>
        <v/>
      </c>
      <c r="M30" s="356">
        <f t="shared" si="4"/>
        <v>0</v>
      </c>
    </row>
    <row r="31" spans="1:13">
      <c r="A31" s="7" t="s">
        <v>2972</v>
      </c>
      <c r="B31" s="118">
        <v>30</v>
      </c>
      <c r="C31" s="113">
        <v>49674</v>
      </c>
      <c r="G31" t="s">
        <v>2972</v>
      </c>
      <c r="H31">
        <v>30</v>
      </c>
      <c r="I31" s="1">
        <v>49674</v>
      </c>
      <c r="J31" s="115"/>
      <c r="L31" t="str">
        <f t="shared" si="3"/>
        <v/>
      </c>
      <c r="M31" s="356">
        <f t="shared" si="4"/>
        <v>0</v>
      </c>
    </row>
    <row r="32" spans="1:13">
      <c r="A32" s="7" t="s">
        <v>2973</v>
      </c>
      <c r="B32" s="77">
        <v>6666631.333333333</v>
      </c>
      <c r="C32" s="77">
        <v>49674</v>
      </c>
      <c r="G32" t="s">
        <v>2973</v>
      </c>
      <c r="H32">
        <v>6687555.333333333</v>
      </c>
      <c r="I32" s="1">
        <v>49674</v>
      </c>
      <c r="J32" s="115"/>
      <c r="L32" t="str">
        <f t="shared" si="3"/>
        <v/>
      </c>
      <c r="M32" s="356">
        <f t="shared" si="4"/>
        <v>-20924</v>
      </c>
    </row>
    <row r="33" spans="3:3">
      <c r="C33"/>
    </row>
  </sheetData>
  <pageMargins left="0.7" right="0.7" top="0.75" bottom="0.75" header="0.3" footer="0.3"/>
  <pageSetup orientation="portrait" horizontalDpi="1200" verticalDpi="1200"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59C1A-97B9-4E8B-869C-8D9EC7F4A11F}">
  <sheetPr codeName="Sheet1"/>
  <dimension ref="A1:BG341"/>
  <sheetViews>
    <sheetView tabSelected="1" topLeftCell="C1" zoomScale="70" zoomScaleNormal="70" workbookViewId="0">
      <pane ySplit="1" topLeftCell="A236" activePane="bottomLeft" state="frozen"/>
      <selection activeCell="B1" sqref="B1"/>
      <selection pane="bottomLeft" activeCell="X239" sqref="X239"/>
    </sheetView>
  </sheetViews>
  <sheetFormatPr baseColWidth="10" defaultColWidth="9.1640625" defaultRowHeight="30" customHeight="1" outlineLevelCol="1"/>
  <cols>
    <col min="1" max="1" width="11.6640625" style="5" customWidth="1"/>
    <col min="2" max="2" width="19.83203125" style="4" bestFit="1" customWidth="1"/>
    <col min="3" max="3" width="19.1640625" style="5" customWidth="1"/>
    <col min="4" max="4" width="41.5" style="5" customWidth="1"/>
    <col min="5" max="5" width="16.33203125" style="5" customWidth="1"/>
    <col min="6" max="6" width="7.6640625" style="16" customWidth="1" outlineLevel="1"/>
    <col min="7" max="7" width="17.5" style="16" customWidth="1" outlineLevel="1"/>
    <col min="8" max="8" width="11.5" style="17" customWidth="1" outlineLevel="1"/>
    <col min="9" max="9" width="9.83203125" style="18" customWidth="1" outlineLevel="1"/>
    <col min="10" max="10" width="15.33203125" style="18" customWidth="1" outlineLevel="1"/>
    <col min="11" max="11" width="6.6640625" style="18" customWidth="1" outlineLevel="1"/>
    <col min="12" max="12" width="12.33203125" style="19" customWidth="1" outlineLevel="1"/>
    <col min="13" max="13" width="7.5" style="19" customWidth="1" outlineLevel="1"/>
    <col min="14" max="14" width="13" style="20" customWidth="1"/>
    <col min="15" max="15" width="12.33203125" style="20" customWidth="1"/>
    <col min="16" max="16" width="11.33203125" style="6" customWidth="1"/>
    <col min="17" max="17" width="13.83203125" style="6" customWidth="1"/>
    <col min="18" max="18" width="14.83203125" style="5" customWidth="1"/>
    <col min="19" max="19" width="8.33203125" style="4" customWidth="1"/>
    <col min="20" max="20" width="8.6640625" style="5" customWidth="1"/>
    <col min="21" max="21" width="16.83203125" style="5" customWidth="1"/>
    <col min="22" max="22" width="12.5" style="4" customWidth="1"/>
    <col min="23" max="23" width="9.33203125" style="4" customWidth="1"/>
    <col min="24" max="24" width="11.1640625" style="396" bestFit="1" customWidth="1"/>
    <col min="25" max="25" width="10.83203125" style="4" customWidth="1"/>
    <col min="26" max="26" width="10.5" style="4" bestFit="1" customWidth="1"/>
    <col min="27" max="28" width="9.1640625" style="4" customWidth="1"/>
    <col min="29" max="29" width="11.5" style="4" bestFit="1" customWidth="1"/>
    <col min="30" max="32" width="9.1640625" style="4" customWidth="1"/>
    <col min="33" max="33" width="19.5" style="4" bestFit="1" customWidth="1"/>
    <col min="34" max="34" width="28.1640625" style="110" customWidth="1"/>
    <col min="35" max="35" width="9.1640625" style="4"/>
    <col min="36" max="36" width="10.83203125" style="4" bestFit="1" customWidth="1"/>
    <col min="37" max="37" width="13" style="4" bestFit="1" customWidth="1"/>
    <col min="38" max="44" width="9.1640625" style="4"/>
    <col min="45" max="46" width="12.33203125" style="4" bestFit="1" customWidth="1"/>
    <col min="47" max="47" width="10.6640625" style="4" bestFit="1" customWidth="1"/>
    <col min="48" max="48" width="10.5" style="4" bestFit="1" customWidth="1"/>
    <col min="49" max="49" width="26.33203125" style="4" bestFit="1" customWidth="1"/>
    <col min="50" max="50" width="10.5" style="4" bestFit="1" customWidth="1"/>
    <col min="51" max="51" width="9.1640625" style="4"/>
    <col min="52" max="52" width="9.6640625" style="4" bestFit="1" customWidth="1"/>
    <col min="53" max="16384" width="9.1640625" style="4"/>
  </cols>
  <sheetData>
    <row r="1" spans="1:59" s="68" customFormat="1" ht="15" customHeight="1">
      <c r="A1" s="68" t="s">
        <v>2974</v>
      </c>
      <c r="B1" s="68" t="s">
        <v>2975</v>
      </c>
      <c r="C1" s="68" t="s">
        <v>2976</v>
      </c>
      <c r="D1" s="85" t="s">
        <v>2977</v>
      </c>
      <c r="E1" s="68" t="s">
        <v>2978</v>
      </c>
      <c r="F1" s="86" t="s">
        <v>2979</v>
      </c>
      <c r="G1" s="86" t="s">
        <v>2980</v>
      </c>
      <c r="H1" s="87" t="s">
        <v>2981</v>
      </c>
      <c r="I1" s="88" t="s">
        <v>2982</v>
      </c>
      <c r="J1" s="88" t="s">
        <v>2983</v>
      </c>
      <c r="K1" s="88" t="s">
        <v>2984</v>
      </c>
      <c r="L1" s="89" t="s">
        <v>2985</v>
      </c>
      <c r="M1" s="89" t="s">
        <v>2986</v>
      </c>
      <c r="N1" s="89" t="s">
        <v>2987</v>
      </c>
      <c r="O1" s="90" t="s">
        <v>2988</v>
      </c>
      <c r="P1" s="91" t="s">
        <v>2989</v>
      </c>
      <c r="Q1" s="91" t="s">
        <v>2990</v>
      </c>
      <c r="R1" s="85" t="s">
        <v>2991</v>
      </c>
      <c r="S1" s="92" t="s">
        <v>2992</v>
      </c>
      <c r="T1" s="85" t="s">
        <v>2993</v>
      </c>
      <c r="U1" s="85" t="s">
        <v>2994</v>
      </c>
      <c r="V1" s="92" t="s">
        <v>2995</v>
      </c>
      <c r="W1" s="89" t="s">
        <v>2996</v>
      </c>
      <c r="X1" s="93" t="s">
        <v>2997</v>
      </c>
      <c r="Y1" s="93" t="s">
        <v>2998</v>
      </c>
      <c r="Z1" s="93" t="s">
        <v>2999</v>
      </c>
      <c r="AA1" s="94" t="s">
        <v>3000</v>
      </c>
      <c r="AB1" s="94" t="s">
        <v>3001</v>
      </c>
      <c r="AC1" s="94" t="s">
        <v>3002</v>
      </c>
      <c r="AD1" s="95" t="s">
        <v>3003</v>
      </c>
      <c r="AE1" s="95" t="s">
        <v>3004</v>
      </c>
      <c r="AF1" s="95" t="s">
        <v>3005</v>
      </c>
      <c r="AG1" s="85" t="s">
        <v>3006</v>
      </c>
      <c r="AH1" s="85" t="s">
        <v>2715</v>
      </c>
      <c r="AI1" s="85" t="s">
        <v>2717</v>
      </c>
      <c r="AJ1" s="89" t="s">
        <v>3007</v>
      </c>
      <c r="AK1" s="89" t="s">
        <v>3008</v>
      </c>
      <c r="AL1" s="92" t="s">
        <v>3009</v>
      </c>
      <c r="AM1" s="103" t="s">
        <v>3010</v>
      </c>
      <c r="AN1" s="103" t="s">
        <v>3011</v>
      </c>
      <c r="AO1" s="104" t="s">
        <v>3012</v>
      </c>
      <c r="AP1" s="68" t="s">
        <v>3013</v>
      </c>
      <c r="AQ1" s="68" t="s">
        <v>3014</v>
      </c>
      <c r="AR1" s="68" t="s">
        <v>3015</v>
      </c>
      <c r="AS1" s="68" t="s">
        <v>3016</v>
      </c>
      <c r="AT1" s="68" t="s">
        <v>3017</v>
      </c>
      <c r="AU1" s="68" t="s">
        <v>3018</v>
      </c>
      <c r="AV1" s="68" t="s">
        <v>3019</v>
      </c>
      <c r="AW1" s="68" t="s">
        <v>3020</v>
      </c>
      <c r="AX1" s="198" t="s">
        <v>3021</v>
      </c>
      <c r="AY1" s="198" t="s">
        <v>3022</v>
      </c>
      <c r="AZ1" s="68" t="s">
        <v>3023</v>
      </c>
      <c r="BA1" s="68" t="s">
        <v>2706</v>
      </c>
      <c r="BB1" s="198" t="s">
        <v>3024</v>
      </c>
      <c r="BC1" s="293" t="s">
        <v>3025</v>
      </c>
      <c r="BD1" s="293" t="s">
        <v>3026</v>
      </c>
      <c r="BE1" s="68" t="s">
        <v>3027</v>
      </c>
      <c r="BF1" s="68" t="s">
        <v>3028</v>
      </c>
      <c r="BG1" s="68" t="s">
        <v>3029</v>
      </c>
    </row>
    <row r="2" spans="1:59" s="96" customFormat="1" ht="15" customHeight="1">
      <c r="A2" s="227">
        <v>43895</v>
      </c>
      <c r="B2" s="228" t="s">
        <v>3376</v>
      </c>
      <c r="C2" s="229" t="s">
        <v>3368</v>
      </c>
      <c r="D2" s="230" t="s">
        <v>3377</v>
      </c>
      <c r="E2" s="229" t="s">
        <v>3378</v>
      </c>
      <c r="F2" s="231" t="s">
        <v>2846</v>
      </c>
      <c r="G2" s="231" t="s">
        <v>2846</v>
      </c>
      <c r="H2" s="231">
        <v>5500</v>
      </c>
      <c r="I2" s="229" t="s">
        <v>1269</v>
      </c>
      <c r="J2" s="229" t="s">
        <v>2846</v>
      </c>
      <c r="K2" s="229" t="s">
        <v>2846</v>
      </c>
      <c r="L2" s="232">
        <v>1</v>
      </c>
      <c r="M2" s="232" t="s">
        <v>2953</v>
      </c>
      <c r="N2" s="231">
        <f>H2</f>
        <v>5500</v>
      </c>
      <c r="O2" s="231" t="s">
        <v>2846</v>
      </c>
      <c r="P2" s="233">
        <v>1.39</v>
      </c>
      <c r="Q2" s="233">
        <f>P2*L2*H2</f>
        <v>7644.9999999999991</v>
      </c>
      <c r="R2" s="227">
        <v>43924</v>
      </c>
      <c r="S2" s="235" t="s">
        <v>3379</v>
      </c>
      <c r="T2" s="229" t="s">
        <v>3036</v>
      </c>
      <c r="U2" s="230" t="s">
        <v>3380</v>
      </c>
      <c r="V2" s="229"/>
      <c r="W2" s="232" t="str">
        <f t="shared" ref="W2:W33" si="0">IF(AG2=0,"Yes","No")</f>
        <v>Yes</v>
      </c>
      <c r="X2" s="456">
        <v>5500</v>
      </c>
      <c r="Y2" s="230">
        <v>1025986</v>
      </c>
      <c r="Z2" s="236">
        <v>43937</v>
      </c>
      <c r="AA2" s="237"/>
      <c r="AB2" s="228"/>
      <c r="AC2" s="228"/>
      <c r="AD2" s="237"/>
      <c r="AE2" s="228"/>
      <c r="AF2" s="228"/>
      <c r="AG2" s="238">
        <v>0</v>
      </c>
      <c r="AH2" s="239"/>
      <c r="AI2" s="229"/>
      <c r="AJ2" s="237"/>
      <c r="AK2" s="241" t="e">
        <f t="shared" ref="AK2:AK33" ca="1" si="1">_xlfn.SINGLE(IF(R2="TBD",49674,R2))</f>
        <v>#NAME?</v>
      </c>
      <c r="AL2" s="235"/>
      <c r="AM2" s="229"/>
      <c r="AN2" s="229"/>
      <c r="AO2" s="228"/>
      <c r="AP2" s="228" t="s">
        <v>3381</v>
      </c>
      <c r="AQ2" s="228" t="s">
        <v>3382</v>
      </c>
      <c r="AR2" s="228" t="s">
        <v>3039</v>
      </c>
      <c r="AS2" s="243">
        <f t="shared" ref="AS2:AS33" si="2">+Q2</f>
        <v>7644.9999999999991</v>
      </c>
      <c r="AT2" s="228">
        <f t="shared" ref="AT2:AT33" si="3">+AS2*0.101</f>
        <v>772.14499999999998</v>
      </c>
      <c r="AU2" s="242">
        <v>248.98</v>
      </c>
      <c r="AV2" s="242">
        <v>0</v>
      </c>
      <c r="AW2" s="242">
        <f t="shared" ref="AW2:AW33" si="4">SUBTOTAL(9,AS2:AV2)</f>
        <v>8666.1249999999982</v>
      </c>
      <c r="AX2" s="237">
        <f t="shared" ref="AX2:AX13" si="5">+N2</f>
        <v>5500</v>
      </c>
      <c r="AY2" s="242" t="s">
        <v>2739</v>
      </c>
      <c r="AZ2" s="242">
        <f t="shared" ref="AZ2:AZ9" si="6">+AW2/AX2</f>
        <v>1.5756590909090906</v>
      </c>
      <c r="BA2" s="242" t="s">
        <v>2744</v>
      </c>
      <c r="BB2" s="242" t="s">
        <v>2733</v>
      </c>
      <c r="BC2" s="242">
        <v>50</v>
      </c>
      <c r="BD2" s="242">
        <f t="shared" ref="BD2:BD33" si="7">+AZ2*BC2</f>
        <v>78.78295454545453</v>
      </c>
      <c r="BE2" s="228"/>
      <c r="BF2" s="228" t="s">
        <v>36</v>
      </c>
      <c r="BG2" s="227" t="s">
        <v>3040</v>
      </c>
    </row>
    <row r="3" spans="1:59" s="96" customFormat="1" ht="15" customHeight="1">
      <c r="A3" s="227">
        <v>43900</v>
      </c>
      <c r="B3" s="228" t="s">
        <v>3056</v>
      </c>
      <c r="C3" s="229" t="s">
        <v>1584</v>
      </c>
      <c r="D3" s="230" t="s">
        <v>3410</v>
      </c>
      <c r="E3" s="229" t="s">
        <v>3411</v>
      </c>
      <c r="F3" s="231">
        <v>128</v>
      </c>
      <c r="G3" s="231">
        <f>F3*N3</f>
        <v>16384</v>
      </c>
      <c r="H3" s="231">
        <v>4</v>
      </c>
      <c r="I3" s="229" t="s">
        <v>2959</v>
      </c>
      <c r="J3" s="229" t="s">
        <v>2846</v>
      </c>
      <c r="K3" s="229" t="s">
        <v>2846</v>
      </c>
      <c r="L3" s="232">
        <v>32</v>
      </c>
      <c r="M3" s="232" t="s">
        <v>2953</v>
      </c>
      <c r="N3" s="231">
        <f>H3*L3</f>
        <v>128</v>
      </c>
      <c r="O3" s="231" t="s">
        <v>2846</v>
      </c>
      <c r="P3" s="233">
        <v>39.1</v>
      </c>
      <c r="Q3" s="234">
        <f>P3*L3*H3</f>
        <v>5004.8</v>
      </c>
      <c r="R3" s="227" t="s">
        <v>2970</v>
      </c>
      <c r="S3" s="235" t="s">
        <v>3412</v>
      </c>
      <c r="T3" s="229" t="s">
        <v>3036</v>
      </c>
      <c r="U3" s="230" t="s">
        <v>3413</v>
      </c>
      <c r="V3" s="229"/>
      <c r="W3" s="232" t="str">
        <f t="shared" si="0"/>
        <v>Yes</v>
      </c>
      <c r="X3" s="456">
        <v>116</v>
      </c>
      <c r="Y3" s="230" t="s">
        <v>3414</v>
      </c>
      <c r="Z3" s="236">
        <v>43922</v>
      </c>
      <c r="AA3" s="237">
        <v>12</v>
      </c>
      <c r="AB3" s="236" t="s">
        <v>3415</v>
      </c>
      <c r="AC3" s="236">
        <v>43952</v>
      </c>
      <c r="AD3" s="237"/>
      <c r="AE3" s="236"/>
      <c r="AF3" s="236"/>
      <c r="AG3" s="238">
        <f>(Q3/P3)-X3-AA3-AD3</f>
        <v>0</v>
      </c>
      <c r="AH3" s="247" t="s">
        <v>82</v>
      </c>
      <c r="AI3" s="229" t="s">
        <v>2736</v>
      </c>
      <c r="AJ3" s="237">
        <f>+AG3*F3/12</f>
        <v>0</v>
      </c>
      <c r="AK3" s="241" t="e">
        <f t="shared" ca="1" si="1"/>
        <v>#NAME?</v>
      </c>
      <c r="AL3" s="235" t="s">
        <v>3416</v>
      </c>
      <c r="AM3" s="229"/>
      <c r="AN3" s="229"/>
      <c r="AO3" s="228"/>
      <c r="AP3" s="228" t="s">
        <v>3417</v>
      </c>
      <c r="AQ3" s="228" t="s">
        <v>3418</v>
      </c>
      <c r="AR3" s="228" t="s">
        <v>3063</v>
      </c>
      <c r="AS3" s="242">
        <f t="shared" si="2"/>
        <v>5004.8</v>
      </c>
      <c r="AT3" s="242">
        <f t="shared" si="3"/>
        <v>505.48480000000006</v>
      </c>
      <c r="AU3" s="242">
        <v>0</v>
      </c>
      <c r="AV3" s="242">
        <v>0</v>
      </c>
      <c r="AW3" s="242">
        <f t="shared" si="4"/>
        <v>5510.2848000000004</v>
      </c>
      <c r="AX3" s="237">
        <f t="shared" si="5"/>
        <v>128</v>
      </c>
      <c r="AY3" s="242" t="s">
        <v>2739</v>
      </c>
      <c r="AZ3" s="242">
        <f t="shared" si="6"/>
        <v>43.049100000000003</v>
      </c>
      <c r="BA3" s="242" t="s">
        <v>2824</v>
      </c>
      <c r="BB3" s="242" t="s">
        <v>2739</v>
      </c>
      <c r="BC3" s="242">
        <v>10</v>
      </c>
      <c r="BD3" s="242">
        <f t="shared" si="7"/>
        <v>430.49100000000004</v>
      </c>
      <c r="BE3" s="228"/>
      <c r="BF3" s="228" t="s">
        <v>3137</v>
      </c>
      <c r="BG3" s="227" t="s">
        <v>3040</v>
      </c>
    </row>
    <row r="4" spans="1:59" s="96" customFormat="1" ht="15" customHeight="1">
      <c r="A4" s="227">
        <v>43900</v>
      </c>
      <c r="B4" s="228" t="s">
        <v>3129</v>
      </c>
      <c r="C4" s="229" t="s">
        <v>93</v>
      </c>
      <c r="D4" s="230" t="s">
        <v>3150</v>
      </c>
      <c r="E4" s="229" t="s">
        <v>3151</v>
      </c>
      <c r="F4" s="231">
        <v>12</v>
      </c>
      <c r="G4" s="231">
        <f>F4*N4</f>
        <v>18000</v>
      </c>
      <c r="H4" s="231">
        <f>N4/L4</f>
        <v>12</v>
      </c>
      <c r="I4" s="229" t="s">
        <v>3132</v>
      </c>
      <c r="J4" s="229" t="s">
        <v>2846</v>
      </c>
      <c r="K4" s="229" t="s">
        <v>2846</v>
      </c>
      <c r="L4" s="232">
        <v>125</v>
      </c>
      <c r="M4" s="232" t="s">
        <v>2953</v>
      </c>
      <c r="N4" s="231">
        <v>1500</v>
      </c>
      <c r="O4" s="231" t="s">
        <v>2846</v>
      </c>
      <c r="P4" s="233">
        <v>80.349999999999994</v>
      </c>
      <c r="Q4" s="234">
        <f>L4*P4</f>
        <v>10043.75</v>
      </c>
      <c r="R4" s="227">
        <v>43906</v>
      </c>
      <c r="S4" s="235" t="s">
        <v>3035</v>
      </c>
      <c r="T4" s="229" t="s">
        <v>3036</v>
      </c>
      <c r="U4" s="230" t="s">
        <v>3133</v>
      </c>
      <c r="V4" s="229"/>
      <c r="W4" s="232" t="str">
        <f t="shared" si="0"/>
        <v>Yes</v>
      </c>
      <c r="X4" s="456">
        <v>125</v>
      </c>
      <c r="Y4" s="230" t="s">
        <v>3134</v>
      </c>
      <c r="Z4" s="236">
        <v>43937</v>
      </c>
      <c r="AA4" s="237"/>
      <c r="AB4" s="228"/>
      <c r="AC4" s="228"/>
      <c r="AD4" s="237"/>
      <c r="AE4" s="228"/>
      <c r="AF4" s="228"/>
      <c r="AG4" s="238">
        <v>0</v>
      </c>
      <c r="AH4" s="239"/>
      <c r="AI4" s="240"/>
      <c r="AJ4" s="237"/>
      <c r="AK4" s="241" t="e">
        <f t="shared" ca="1" si="1"/>
        <v>#NAME?</v>
      </c>
      <c r="AL4" s="235"/>
      <c r="AM4" s="229"/>
      <c r="AN4" s="229"/>
      <c r="AO4" s="228"/>
      <c r="AP4" s="228" t="s">
        <v>3152</v>
      </c>
      <c r="AQ4" s="228" t="s">
        <v>3136</v>
      </c>
      <c r="AR4" s="228" t="s">
        <v>3063</v>
      </c>
      <c r="AS4" s="242">
        <f t="shared" si="2"/>
        <v>10043.75</v>
      </c>
      <c r="AT4" s="242">
        <f t="shared" si="3"/>
        <v>1014.41875</v>
      </c>
      <c r="AU4" s="242">
        <v>0</v>
      </c>
      <c r="AV4" s="242">
        <v>0</v>
      </c>
      <c r="AW4" s="242">
        <f t="shared" si="4"/>
        <v>11058.168750000001</v>
      </c>
      <c r="AX4" s="237">
        <f t="shared" si="5"/>
        <v>1500</v>
      </c>
      <c r="AY4" s="242" t="s">
        <v>2736</v>
      </c>
      <c r="AZ4" s="242">
        <f t="shared" si="6"/>
        <v>7.3721125000000001</v>
      </c>
      <c r="BA4" s="242" t="s">
        <v>2734</v>
      </c>
      <c r="BB4" s="242" t="s">
        <v>2953</v>
      </c>
      <c r="BC4" s="242">
        <v>12</v>
      </c>
      <c r="BD4" s="242">
        <f t="shared" si="7"/>
        <v>88.465350000000001</v>
      </c>
      <c r="BE4" s="228"/>
      <c r="BF4" s="228" t="s">
        <v>3137</v>
      </c>
      <c r="BG4" s="227" t="s">
        <v>3040</v>
      </c>
    </row>
    <row r="5" spans="1:59" s="96" customFormat="1" ht="15" customHeight="1">
      <c r="A5" s="227">
        <v>43900</v>
      </c>
      <c r="B5" s="228" t="s">
        <v>3056</v>
      </c>
      <c r="C5" s="229" t="s">
        <v>3436</v>
      </c>
      <c r="D5" s="230" t="s">
        <v>3437</v>
      </c>
      <c r="E5" s="229" t="s">
        <v>3438</v>
      </c>
      <c r="F5" s="231" t="s">
        <v>2846</v>
      </c>
      <c r="G5" s="231" t="s">
        <v>2846</v>
      </c>
      <c r="H5" s="231">
        <v>200</v>
      </c>
      <c r="I5" s="229" t="s">
        <v>2739</v>
      </c>
      <c r="J5" s="229" t="s">
        <v>2846</v>
      </c>
      <c r="K5" s="229" t="s">
        <v>2846</v>
      </c>
      <c r="L5" s="232">
        <v>1</v>
      </c>
      <c r="M5" s="232" t="s">
        <v>64</v>
      </c>
      <c r="N5" s="231">
        <v>200</v>
      </c>
      <c r="O5" s="231" t="s">
        <v>2846</v>
      </c>
      <c r="P5" s="233">
        <v>5.8</v>
      </c>
      <c r="Q5" s="234">
        <f>N5*P5</f>
        <v>1160</v>
      </c>
      <c r="R5" s="227" t="s">
        <v>2970</v>
      </c>
      <c r="S5" s="235" t="s">
        <v>3035</v>
      </c>
      <c r="T5" s="229" t="s">
        <v>3036</v>
      </c>
      <c r="U5" s="230" t="s">
        <v>3433</v>
      </c>
      <c r="V5" s="229"/>
      <c r="W5" s="232" t="str">
        <f t="shared" si="0"/>
        <v>Yes</v>
      </c>
      <c r="X5" s="456">
        <v>200</v>
      </c>
      <c r="Y5" s="230" t="s">
        <v>3439</v>
      </c>
      <c r="Z5" s="236">
        <v>43915</v>
      </c>
      <c r="AA5" s="237"/>
      <c r="AB5" s="236"/>
      <c r="AC5" s="236"/>
      <c r="AD5" s="237"/>
      <c r="AE5" s="236"/>
      <c r="AF5" s="236"/>
      <c r="AG5" s="238">
        <v>0</v>
      </c>
      <c r="AH5" s="248"/>
      <c r="AI5" s="229"/>
      <c r="AJ5" s="237"/>
      <c r="AK5" s="241" t="e">
        <f t="shared" ca="1" si="1"/>
        <v>#NAME?</v>
      </c>
      <c r="AL5" s="235"/>
      <c r="AM5" s="229"/>
      <c r="AN5" s="229"/>
      <c r="AO5" s="228"/>
      <c r="AP5" s="228" t="s">
        <v>3440</v>
      </c>
      <c r="AQ5" s="228" t="s">
        <v>3435</v>
      </c>
      <c r="AR5" s="228" t="s">
        <v>3063</v>
      </c>
      <c r="AS5" s="242">
        <f t="shared" si="2"/>
        <v>1160</v>
      </c>
      <c r="AT5" s="242">
        <f t="shared" si="3"/>
        <v>117.16000000000001</v>
      </c>
      <c r="AU5" s="242">
        <v>0</v>
      </c>
      <c r="AV5" s="242">
        <v>0</v>
      </c>
      <c r="AW5" s="242">
        <f t="shared" si="4"/>
        <v>1277.1600000000001</v>
      </c>
      <c r="AX5" s="237">
        <f t="shared" si="5"/>
        <v>200</v>
      </c>
      <c r="AY5" s="242" t="s">
        <v>2739</v>
      </c>
      <c r="AZ5" s="242">
        <f t="shared" si="6"/>
        <v>6.3858000000000006</v>
      </c>
      <c r="BA5" s="242" t="s">
        <v>2804</v>
      </c>
      <c r="BB5" s="242" t="s">
        <v>2739</v>
      </c>
      <c r="BC5" s="242">
        <v>1</v>
      </c>
      <c r="BD5" s="242">
        <f t="shared" si="7"/>
        <v>6.3858000000000006</v>
      </c>
      <c r="BE5" s="228"/>
      <c r="BF5" s="228" t="s">
        <v>36</v>
      </c>
      <c r="BG5" s="227" t="s">
        <v>3040</v>
      </c>
    </row>
    <row r="6" spans="1:59" s="96" customFormat="1" ht="15" customHeight="1">
      <c r="A6" s="227">
        <v>43900</v>
      </c>
      <c r="B6" s="228" t="s">
        <v>3056</v>
      </c>
      <c r="C6" s="229" t="s">
        <v>3430</v>
      </c>
      <c r="D6" s="230" t="s">
        <v>3431</v>
      </c>
      <c r="E6" s="229" t="s">
        <v>3432</v>
      </c>
      <c r="F6" s="231" t="s">
        <v>2846</v>
      </c>
      <c r="G6" s="231" t="s">
        <v>2846</v>
      </c>
      <c r="H6" s="231">
        <v>200</v>
      </c>
      <c r="I6" s="229" t="s">
        <v>2739</v>
      </c>
      <c r="J6" s="229" t="s">
        <v>2846</v>
      </c>
      <c r="K6" s="229" t="s">
        <v>2846</v>
      </c>
      <c r="L6" s="232">
        <v>1</v>
      </c>
      <c r="M6" s="232" t="s">
        <v>64</v>
      </c>
      <c r="N6" s="231">
        <v>200</v>
      </c>
      <c r="O6" s="231" t="s">
        <v>2846</v>
      </c>
      <c r="P6" s="233">
        <v>6.04</v>
      </c>
      <c r="Q6" s="234">
        <f>N6*P6</f>
        <v>1208</v>
      </c>
      <c r="R6" s="227" t="s">
        <v>2970</v>
      </c>
      <c r="S6" s="235" t="s">
        <v>3035</v>
      </c>
      <c r="T6" s="229" t="s">
        <v>3036</v>
      </c>
      <c r="U6" s="230" t="s">
        <v>3433</v>
      </c>
      <c r="V6" s="229"/>
      <c r="W6" s="232" t="str">
        <f t="shared" si="0"/>
        <v>Yes</v>
      </c>
      <c r="X6" s="456">
        <v>200</v>
      </c>
      <c r="Y6" s="230" t="s">
        <v>3426</v>
      </c>
      <c r="Z6" s="236">
        <v>43915</v>
      </c>
      <c r="AA6" s="237"/>
      <c r="AB6" s="236"/>
      <c r="AC6" s="236"/>
      <c r="AD6" s="237"/>
      <c r="AE6" s="236"/>
      <c r="AF6" s="236"/>
      <c r="AG6" s="238">
        <v>0</v>
      </c>
      <c r="AH6" s="248"/>
      <c r="AI6" s="229"/>
      <c r="AJ6" s="237"/>
      <c r="AK6" s="241" t="e">
        <f t="shared" ca="1" si="1"/>
        <v>#NAME?</v>
      </c>
      <c r="AL6" s="235"/>
      <c r="AM6" s="229"/>
      <c r="AN6" s="229"/>
      <c r="AO6" s="228"/>
      <c r="AP6" s="228" t="s">
        <v>3434</v>
      </c>
      <c r="AQ6" s="228" t="s">
        <v>3435</v>
      </c>
      <c r="AR6" s="228" t="s">
        <v>3063</v>
      </c>
      <c r="AS6" s="242">
        <f t="shared" si="2"/>
        <v>1208</v>
      </c>
      <c r="AT6" s="242">
        <f t="shared" si="3"/>
        <v>122.00800000000001</v>
      </c>
      <c r="AU6" s="242">
        <v>0</v>
      </c>
      <c r="AV6" s="242">
        <v>0</v>
      </c>
      <c r="AW6" s="242">
        <f t="shared" si="4"/>
        <v>1330.008</v>
      </c>
      <c r="AX6" s="237">
        <f t="shared" si="5"/>
        <v>200</v>
      </c>
      <c r="AY6" s="242" t="s">
        <v>2739</v>
      </c>
      <c r="AZ6" s="242">
        <f t="shared" si="6"/>
        <v>6.6500400000000006</v>
      </c>
      <c r="BA6" s="242" t="s">
        <v>2806</v>
      </c>
      <c r="BB6" s="242" t="s">
        <v>2739</v>
      </c>
      <c r="BC6" s="242">
        <v>1</v>
      </c>
      <c r="BD6" s="242">
        <f t="shared" si="7"/>
        <v>6.6500400000000006</v>
      </c>
      <c r="BE6" s="228"/>
      <c r="BF6" s="228" t="s">
        <v>36</v>
      </c>
      <c r="BG6" s="227" t="s">
        <v>3040</v>
      </c>
    </row>
    <row r="7" spans="1:59" s="96" customFormat="1" ht="15" customHeight="1">
      <c r="A7" s="227">
        <v>43900</v>
      </c>
      <c r="B7" s="228" t="s">
        <v>3056</v>
      </c>
      <c r="C7" s="229" t="s">
        <v>1584</v>
      </c>
      <c r="D7" s="230" t="s">
        <v>3423</v>
      </c>
      <c r="E7" s="229" t="s">
        <v>3424</v>
      </c>
      <c r="F7" s="231">
        <v>16</v>
      </c>
      <c r="G7" s="231">
        <f>F7*N7</f>
        <v>7216</v>
      </c>
      <c r="H7" s="231">
        <v>12</v>
      </c>
      <c r="I7" s="229" t="s">
        <v>3132</v>
      </c>
      <c r="J7" s="229" t="s">
        <v>2846</v>
      </c>
      <c r="K7" s="229" t="s">
        <v>2846</v>
      </c>
      <c r="L7" s="232">
        <f>451/12</f>
        <v>37.583333333333336</v>
      </c>
      <c r="M7" s="232" t="s">
        <v>2953</v>
      </c>
      <c r="N7" s="231">
        <f>H7*L7</f>
        <v>451</v>
      </c>
      <c r="O7" s="231" t="s">
        <v>2846</v>
      </c>
      <c r="P7" s="233">
        <v>6.15</v>
      </c>
      <c r="Q7" s="234">
        <f>P7*N7</f>
        <v>2773.65</v>
      </c>
      <c r="R7" s="227" t="s">
        <v>2970</v>
      </c>
      <c r="S7" s="235" t="s">
        <v>3412</v>
      </c>
      <c r="T7" s="229" t="s">
        <v>3036</v>
      </c>
      <c r="U7" s="230" t="s">
        <v>3425</v>
      </c>
      <c r="V7" s="229"/>
      <c r="W7" s="232" t="str">
        <f t="shared" si="0"/>
        <v>Yes</v>
      </c>
      <c r="X7" s="456">
        <v>432</v>
      </c>
      <c r="Y7" s="230" t="s">
        <v>3426</v>
      </c>
      <c r="Z7" s="236">
        <v>43963</v>
      </c>
      <c r="AA7" s="237"/>
      <c r="AB7" s="228"/>
      <c r="AC7" s="228"/>
      <c r="AD7" s="237"/>
      <c r="AE7" s="228"/>
      <c r="AF7" s="228"/>
      <c r="AG7" s="238">
        <v>0</v>
      </c>
      <c r="AH7" s="247" t="s">
        <v>82</v>
      </c>
      <c r="AI7" s="229" t="s">
        <v>2736</v>
      </c>
      <c r="AJ7" s="237">
        <f>+AG7*L7</f>
        <v>0</v>
      </c>
      <c r="AK7" s="241" t="e">
        <f t="shared" ca="1" si="1"/>
        <v>#NAME?</v>
      </c>
      <c r="AL7" s="235" t="s">
        <v>3427</v>
      </c>
      <c r="AM7" s="229" t="s">
        <v>3084</v>
      </c>
      <c r="AN7" s="229" t="s">
        <v>3084</v>
      </c>
      <c r="AO7" s="228"/>
      <c r="AP7" s="228" t="s">
        <v>3428</v>
      </c>
      <c r="AQ7" s="228" t="s">
        <v>3429</v>
      </c>
      <c r="AR7" s="228" t="s">
        <v>3063</v>
      </c>
      <c r="AS7" s="242">
        <f t="shared" si="2"/>
        <v>2773.65</v>
      </c>
      <c r="AT7" s="242">
        <f t="shared" si="3"/>
        <v>280.13865000000004</v>
      </c>
      <c r="AU7" s="242">
        <v>0</v>
      </c>
      <c r="AV7" s="242">
        <v>0</v>
      </c>
      <c r="AW7" s="242">
        <f t="shared" si="4"/>
        <v>3053.78865</v>
      </c>
      <c r="AX7" s="237">
        <f t="shared" si="5"/>
        <v>451</v>
      </c>
      <c r="AY7" s="242" t="s">
        <v>2736</v>
      </c>
      <c r="AZ7" s="242">
        <f t="shared" si="6"/>
        <v>6.7711499999999996</v>
      </c>
      <c r="BA7" s="279" t="s">
        <v>2786</v>
      </c>
      <c r="BB7" s="242" t="s">
        <v>2739</v>
      </c>
      <c r="BC7" s="242">
        <v>1</v>
      </c>
      <c r="BD7" s="242">
        <f t="shared" si="7"/>
        <v>6.7711499999999996</v>
      </c>
      <c r="BE7" s="228"/>
      <c r="BF7" s="228" t="s">
        <v>3137</v>
      </c>
      <c r="BG7" s="227" t="s">
        <v>3040</v>
      </c>
    </row>
    <row r="8" spans="1:59" s="96" customFormat="1" ht="15" customHeight="1">
      <c r="A8" s="227">
        <v>43900</v>
      </c>
      <c r="B8" s="228" t="s">
        <v>3129</v>
      </c>
      <c r="C8" s="229" t="s">
        <v>93</v>
      </c>
      <c r="D8" s="230" t="s">
        <v>3130</v>
      </c>
      <c r="E8" s="229" t="s">
        <v>3131</v>
      </c>
      <c r="F8" s="231">
        <v>16</v>
      </c>
      <c r="G8" s="231">
        <f>F8*N8</f>
        <v>96000</v>
      </c>
      <c r="H8" s="231">
        <f>N8/L8</f>
        <v>12</v>
      </c>
      <c r="I8" s="229" t="s">
        <v>3132</v>
      </c>
      <c r="J8" s="229" t="s">
        <v>2846</v>
      </c>
      <c r="K8" s="229" t="s">
        <v>2846</v>
      </c>
      <c r="L8" s="232">
        <v>500</v>
      </c>
      <c r="M8" s="232" t="s">
        <v>2953</v>
      </c>
      <c r="N8" s="231">
        <v>6000</v>
      </c>
      <c r="O8" s="231">
        <f>L8</f>
        <v>500</v>
      </c>
      <c r="P8" s="233">
        <v>41.25</v>
      </c>
      <c r="Q8" s="234">
        <f>L8*P8</f>
        <v>20625</v>
      </c>
      <c r="R8" s="227">
        <v>43906</v>
      </c>
      <c r="S8" s="235" t="s">
        <v>3035</v>
      </c>
      <c r="T8" s="229" t="s">
        <v>3036</v>
      </c>
      <c r="U8" s="230" t="s">
        <v>3133</v>
      </c>
      <c r="V8" s="229"/>
      <c r="W8" s="232" t="str">
        <f t="shared" si="0"/>
        <v>Yes</v>
      </c>
      <c r="X8" s="456">
        <v>500</v>
      </c>
      <c r="Y8" s="230" t="s">
        <v>3134</v>
      </c>
      <c r="Z8" s="236">
        <v>43937</v>
      </c>
      <c r="AA8" s="237"/>
      <c r="AB8" s="228"/>
      <c r="AC8" s="228"/>
      <c r="AD8" s="237"/>
      <c r="AE8" s="228"/>
      <c r="AF8" s="228"/>
      <c r="AG8" s="238">
        <v>0</v>
      </c>
      <c r="AH8" s="239"/>
      <c r="AI8" s="240"/>
      <c r="AJ8" s="237"/>
      <c r="AK8" s="241" t="e">
        <f t="shared" ca="1" si="1"/>
        <v>#NAME?</v>
      </c>
      <c r="AL8" s="235"/>
      <c r="AM8" s="229"/>
      <c r="AN8" s="229"/>
      <c r="AO8" s="228"/>
      <c r="AP8" s="228" t="s">
        <v>3135</v>
      </c>
      <c r="AQ8" s="228" t="s">
        <v>3136</v>
      </c>
      <c r="AR8" s="228" t="s">
        <v>3063</v>
      </c>
      <c r="AS8" s="243">
        <f t="shared" si="2"/>
        <v>20625</v>
      </c>
      <c r="AT8" s="228">
        <f t="shared" si="3"/>
        <v>2083.125</v>
      </c>
      <c r="AU8" s="242">
        <v>0</v>
      </c>
      <c r="AV8" s="242">
        <v>0</v>
      </c>
      <c r="AW8" s="242">
        <f t="shared" si="4"/>
        <v>22708.125</v>
      </c>
      <c r="AX8" s="237">
        <f t="shared" si="5"/>
        <v>6000</v>
      </c>
      <c r="AY8" s="228" t="s">
        <v>2736</v>
      </c>
      <c r="AZ8" s="242">
        <f t="shared" si="6"/>
        <v>3.7846875</v>
      </c>
      <c r="BA8" s="242" t="s">
        <v>2734</v>
      </c>
      <c r="BB8" s="228" t="s">
        <v>2953</v>
      </c>
      <c r="BC8" s="242">
        <v>12</v>
      </c>
      <c r="BD8" s="242">
        <f t="shared" si="7"/>
        <v>45.416249999999998</v>
      </c>
      <c r="BE8" s="228"/>
      <c r="BF8" s="228" t="s">
        <v>3137</v>
      </c>
      <c r="BG8" s="227" t="s">
        <v>3040</v>
      </c>
    </row>
    <row r="9" spans="1:59" s="96" customFormat="1" ht="15" customHeight="1">
      <c r="A9" s="227">
        <v>43900</v>
      </c>
      <c r="B9" s="228" t="s">
        <v>3138</v>
      </c>
      <c r="C9" s="229" t="s">
        <v>3031</v>
      </c>
      <c r="D9" s="230" t="s">
        <v>3143</v>
      </c>
      <c r="E9" s="229" t="s">
        <v>3153</v>
      </c>
      <c r="F9" s="231" t="s">
        <v>2846</v>
      </c>
      <c r="G9" s="231" t="s">
        <v>2846</v>
      </c>
      <c r="H9" s="231">
        <v>100</v>
      </c>
      <c r="I9" s="229" t="s">
        <v>3034</v>
      </c>
      <c r="J9" s="229">
        <v>750</v>
      </c>
      <c r="K9" s="229" t="s">
        <v>2733</v>
      </c>
      <c r="L9" s="232">
        <v>1</v>
      </c>
      <c r="M9" s="232" t="s">
        <v>64</v>
      </c>
      <c r="N9" s="231">
        <v>75000</v>
      </c>
      <c r="O9" s="231">
        <f>J9*L9</f>
        <v>750</v>
      </c>
      <c r="P9" s="233">
        <v>5.22</v>
      </c>
      <c r="Q9" s="234">
        <f>J9*P9</f>
        <v>3915</v>
      </c>
      <c r="R9" s="227">
        <v>43906</v>
      </c>
      <c r="S9" s="235" t="s">
        <v>3035</v>
      </c>
      <c r="T9" s="229" t="s">
        <v>3036</v>
      </c>
      <c r="U9" s="230">
        <v>2585105</v>
      </c>
      <c r="V9" s="229"/>
      <c r="W9" s="232" t="str">
        <f t="shared" si="0"/>
        <v>Yes</v>
      </c>
      <c r="X9" s="456">
        <v>750</v>
      </c>
      <c r="Y9" s="230">
        <v>4811271</v>
      </c>
      <c r="Z9" s="236">
        <v>43922</v>
      </c>
      <c r="AA9" s="237"/>
      <c r="AB9" s="236"/>
      <c r="AC9" s="236"/>
      <c r="AD9" s="237"/>
      <c r="AE9" s="236"/>
      <c r="AF9" s="236"/>
      <c r="AG9" s="238">
        <f>(J9*L9)-X9-AA9-AD9</f>
        <v>0</v>
      </c>
      <c r="AH9" s="239"/>
      <c r="AI9" s="240"/>
      <c r="AJ9" s="237">
        <v>0</v>
      </c>
      <c r="AK9" s="241" t="e">
        <f t="shared" ca="1" si="1"/>
        <v>#NAME?</v>
      </c>
      <c r="AL9" s="235"/>
      <c r="AM9" s="229"/>
      <c r="AN9" s="229"/>
      <c r="AO9" s="228"/>
      <c r="AP9" s="228" t="s">
        <v>3154</v>
      </c>
      <c r="AQ9" s="228" t="s">
        <v>3146</v>
      </c>
      <c r="AR9" s="228" t="s">
        <v>3039</v>
      </c>
      <c r="AS9" s="242">
        <f t="shared" si="2"/>
        <v>3915</v>
      </c>
      <c r="AT9" s="242">
        <f t="shared" si="3"/>
        <v>395.41500000000002</v>
      </c>
      <c r="AU9" s="242">
        <v>0</v>
      </c>
      <c r="AV9" s="242">
        <v>0</v>
      </c>
      <c r="AW9" s="242">
        <f t="shared" si="4"/>
        <v>4310.415</v>
      </c>
      <c r="AX9" s="237">
        <f t="shared" si="5"/>
        <v>75000</v>
      </c>
      <c r="AY9" s="237" t="s">
        <v>2762</v>
      </c>
      <c r="AZ9" s="242">
        <f t="shared" si="6"/>
        <v>5.7472200000000001E-2</v>
      </c>
      <c r="BA9" s="242" t="s">
        <v>2765</v>
      </c>
      <c r="BB9" s="237" t="s">
        <v>2733</v>
      </c>
      <c r="BC9" s="242">
        <v>100</v>
      </c>
      <c r="BD9" s="242">
        <f t="shared" si="7"/>
        <v>5.7472200000000004</v>
      </c>
      <c r="BE9" s="228"/>
      <c r="BF9" s="228" t="s">
        <v>36</v>
      </c>
      <c r="BG9" s="227" t="s">
        <v>3040</v>
      </c>
    </row>
    <row r="10" spans="1:59" s="96" customFormat="1" ht="15" customHeight="1">
      <c r="A10" s="227">
        <v>43900</v>
      </c>
      <c r="B10" s="228" t="s">
        <v>3056</v>
      </c>
      <c r="C10" s="229" t="s">
        <v>1584</v>
      </c>
      <c r="D10" s="230" t="s">
        <v>3419</v>
      </c>
      <c r="E10" s="229" t="s">
        <v>3420</v>
      </c>
      <c r="F10" s="231">
        <v>2</v>
      </c>
      <c r="G10" s="231">
        <f>F10*N10</f>
        <v>3814</v>
      </c>
      <c r="H10" s="231">
        <v>1907</v>
      </c>
      <c r="I10" s="229" t="s">
        <v>3132</v>
      </c>
      <c r="J10" s="229" t="s">
        <v>2846</v>
      </c>
      <c r="K10" s="229" t="s">
        <v>2846</v>
      </c>
      <c r="L10" s="232">
        <v>1</v>
      </c>
      <c r="M10" s="232" t="s">
        <v>64</v>
      </c>
      <c r="N10" s="231">
        <f>H10*L10</f>
        <v>1907</v>
      </c>
      <c r="O10" s="231" t="s">
        <v>2846</v>
      </c>
      <c r="P10" s="233">
        <v>1.75</v>
      </c>
      <c r="Q10" s="234">
        <f>N10*P10</f>
        <v>3337.25</v>
      </c>
      <c r="R10" s="227" t="s">
        <v>2970</v>
      </c>
      <c r="S10" s="235" t="s">
        <v>3412</v>
      </c>
      <c r="T10" s="229" t="s">
        <v>3036</v>
      </c>
      <c r="U10" s="230" t="s">
        <v>3413</v>
      </c>
      <c r="V10" s="229"/>
      <c r="W10" s="232" t="str">
        <f t="shared" si="0"/>
        <v>Yes</v>
      </c>
      <c r="X10" s="456">
        <v>1907</v>
      </c>
      <c r="Y10" s="230" t="s">
        <v>3414</v>
      </c>
      <c r="Z10" s="236">
        <v>43922</v>
      </c>
      <c r="AA10" s="237"/>
      <c r="AB10" s="236"/>
      <c r="AC10" s="236"/>
      <c r="AD10" s="237"/>
      <c r="AE10" s="236"/>
      <c r="AF10" s="236"/>
      <c r="AG10" s="238">
        <f>(Q10/P10)-X10-AA10-AD10</f>
        <v>0</v>
      </c>
      <c r="AH10" s="248"/>
      <c r="AI10" s="229"/>
      <c r="AJ10" s="237"/>
      <c r="AK10" s="241" t="e">
        <f t="shared" ca="1" si="1"/>
        <v>#NAME?</v>
      </c>
      <c r="AL10" s="235"/>
      <c r="AM10" s="229"/>
      <c r="AN10" s="229"/>
      <c r="AO10" s="228"/>
      <c r="AP10" s="228" t="s">
        <v>3421</v>
      </c>
      <c r="AQ10" s="228" t="s">
        <v>3422</v>
      </c>
      <c r="AR10" s="228" t="s">
        <v>3063</v>
      </c>
      <c r="AS10" s="242">
        <f t="shared" si="2"/>
        <v>3337.25</v>
      </c>
      <c r="AT10" s="242">
        <f t="shared" si="3"/>
        <v>337.06225000000001</v>
      </c>
      <c r="AU10" s="242">
        <v>0</v>
      </c>
      <c r="AV10" s="242">
        <v>0</v>
      </c>
      <c r="AW10" s="242">
        <f t="shared" si="4"/>
        <v>3674.3122499999999</v>
      </c>
      <c r="AX10" s="237">
        <f t="shared" si="5"/>
        <v>1907</v>
      </c>
      <c r="AY10" s="242" t="s">
        <v>2736</v>
      </c>
      <c r="AZ10" s="242"/>
      <c r="BA10" s="279" t="s">
        <v>3333</v>
      </c>
      <c r="BB10" s="242"/>
      <c r="BC10" s="242"/>
      <c r="BD10" s="242">
        <f t="shared" si="7"/>
        <v>0</v>
      </c>
      <c r="BE10" s="228"/>
      <c r="BF10" s="228" t="s">
        <v>3137</v>
      </c>
      <c r="BG10" s="227" t="s">
        <v>3040</v>
      </c>
    </row>
    <row r="11" spans="1:59" s="96" customFormat="1" ht="15" customHeight="1">
      <c r="A11" s="227">
        <v>43900</v>
      </c>
      <c r="B11" s="228" t="s">
        <v>3138</v>
      </c>
      <c r="C11" s="229" t="s">
        <v>3031</v>
      </c>
      <c r="D11" s="230" t="s">
        <v>3139</v>
      </c>
      <c r="E11" s="229" t="s">
        <v>3140</v>
      </c>
      <c r="F11" s="231" t="s">
        <v>2846</v>
      </c>
      <c r="G11" s="231" t="s">
        <v>2846</v>
      </c>
      <c r="H11" s="231">
        <v>100</v>
      </c>
      <c r="I11" s="229" t="s">
        <v>3034</v>
      </c>
      <c r="J11" s="229">
        <v>2000</v>
      </c>
      <c r="K11" s="229" t="s">
        <v>2733</v>
      </c>
      <c r="L11" s="232">
        <v>1</v>
      </c>
      <c r="M11" s="232" t="s">
        <v>64</v>
      </c>
      <c r="N11" s="231">
        <v>200000</v>
      </c>
      <c r="O11" s="231">
        <f t="shared" ref="O11:O17" si="8">J11*L11</f>
        <v>2000</v>
      </c>
      <c r="P11" s="233">
        <v>5.22</v>
      </c>
      <c r="Q11" s="234">
        <f>J11*P11</f>
        <v>10440</v>
      </c>
      <c r="R11" s="227">
        <v>43906</v>
      </c>
      <c r="S11" s="235" t="s">
        <v>3035</v>
      </c>
      <c r="T11" s="229" t="s">
        <v>3036</v>
      </c>
      <c r="U11" s="230">
        <v>2585105</v>
      </c>
      <c r="V11" s="229"/>
      <c r="W11" s="232" t="str">
        <f t="shared" si="0"/>
        <v>Yes</v>
      </c>
      <c r="X11" s="456">
        <v>2000</v>
      </c>
      <c r="Y11" s="230">
        <v>4805455</v>
      </c>
      <c r="Z11" s="236">
        <v>43913</v>
      </c>
      <c r="AA11" s="237"/>
      <c r="AB11" s="236"/>
      <c r="AC11" s="236"/>
      <c r="AD11" s="237"/>
      <c r="AE11" s="236"/>
      <c r="AF11" s="236"/>
      <c r="AG11" s="238">
        <f>(J11*L11)-X11-AA11-AD11</f>
        <v>0</v>
      </c>
      <c r="AH11" s="239"/>
      <c r="AI11" s="240"/>
      <c r="AJ11" s="237">
        <v>0</v>
      </c>
      <c r="AK11" s="241" t="e">
        <f t="shared" ca="1" si="1"/>
        <v>#NAME?</v>
      </c>
      <c r="AL11" s="235"/>
      <c r="AM11" s="229"/>
      <c r="AN11" s="229"/>
      <c r="AO11" s="228"/>
      <c r="AP11" s="228" t="s">
        <v>3141</v>
      </c>
      <c r="AQ11" s="228" t="s">
        <v>3142</v>
      </c>
      <c r="AR11" s="228" t="s">
        <v>3039</v>
      </c>
      <c r="AS11" s="242">
        <f t="shared" si="2"/>
        <v>10440</v>
      </c>
      <c r="AT11" s="242">
        <f t="shared" si="3"/>
        <v>1054.44</v>
      </c>
      <c r="AU11" s="242">
        <v>0</v>
      </c>
      <c r="AV11" s="242">
        <v>0</v>
      </c>
      <c r="AW11" s="242">
        <f t="shared" si="4"/>
        <v>11494.44</v>
      </c>
      <c r="AX11" s="237">
        <f t="shared" si="5"/>
        <v>200000</v>
      </c>
      <c r="AY11" s="237" t="s">
        <v>2762</v>
      </c>
      <c r="AZ11" s="242">
        <f t="shared" ref="AZ11:AZ42" si="9">+AW11/AX11</f>
        <v>5.7472200000000001E-2</v>
      </c>
      <c r="BA11" s="242" t="s">
        <v>2765</v>
      </c>
      <c r="BB11" s="237" t="s">
        <v>2733</v>
      </c>
      <c r="BC11" s="242">
        <v>100</v>
      </c>
      <c r="BD11" s="242">
        <f t="shared" si="7"/>
        <v>5.7472200000000004</v>
      </c>
      <c r="BE11" s="228"/>
      <c r="BF11" s="228" t="s">
        <v>36</v>
      </c>
      <c r="BG11" s="227" t="s">
        <v>3040</v>
      </c>
    </row>
    <row r="12" spans="1:59" s="96" customFormat="1" ht="15" customHeight="1">
      <c r="A12" s="227">
        <v>43900</v>
      </c>
      <c r="B12" s="228" t="s">
        <v>3138</v>
      </c>
      <c r="C12" s="229" t="s">
        <v>3031</v>
      </c>
      <c r="D12" s="230" t="s">
        <v>3143</v>
      </c>
      <c r="E12" s="229" t="s">
        <v>3144</v>
      </c>
      <c r="F12" s="231" t="s">
        <v>2846</v>
      </c>
      <c r="G12" s="231" t="s">
        <v>2846</v>
      </c>
      <c r="H12" s="231">
        <v>100</v>
      </c>
      <c r="I12" s="229" t="s">
        <v>3034</v>
      </c>
      <c r="J12" s="229">
        <v>2000</v>
      </c>
      <c r="K12" s="229" t="s">
        <v>2733</v>
      </c>
      <c r="L12" s="232">
        <v>1</v>
      </c>
      <c r="M12" s="232" t="s">
        <v>64</v>
      </c>
      <c r="N12" s="231">
        <v>200000</v>
      </c>
      <c r="O12" s="231">
        <f t="shared" si="8"/>
        <v>2000</v>
      </c>
      <c r="P12" s="233">
        <v>5.22</v>
      </c>
      <c r="Q12" s="234">
        <f>J12*P12</f>
        <v>10440</v>
      </c>
      <c r="R12" s="227">
        <v>43906</v>
      </c>
      <c r="S12" s="235" t="s">
        <v>3035</v>
      </c>
      <c r="T12" s="229" t="s">
        <v>3036</v>
      </c>
      <c r="U12" s="230">
        <v>2585105</v>
      </c>
      <c r="V12" s="229"/>
      <c r="W12" s="232" t="str">
        <f t="shared" si="0"/>
        <v>Yes</v>
      </c>
      <c r="X12" s="456">
        <v>2000</v>
      </c>
      <c r="Y12" s="230">
        <v>4811271</v>
      </c>
      <c r="Z12" s="236">
        <v>43922</v>
      </c>
      <c r="AA12" s="237"/>
      <c r="AB12" s="236"/>
      <c r="AC12" s="236"/>
      <c r="AD12" s="237"/>
      <c r="AE12" s="236"/>
      <c r="AF12" s="236"/>
      <c r="AG12" s="238">
        <f>(J12*L12)-X12-AA12-AD12</f>
        <v>0</v>
      </c>
      <c r="AH12" s="239"/>
      <c r="AI12" s="240"/>
      <c r="AJ12" s="237">
        <v>0</v>
      </c>
      <c r="AK12" s="241" t="e">
        <f t="shared" ca="1" si="1"/>
        <v>#NAME?</v>
      </c>
      <c r="AL12" s="235"/>
      <c r="AM12" s="229"/>
      <c r="AN12" s="229"/>
      <c r="AO12" s="228"/>
      <c r="AP12" s="228" t="s">
        <v>3145</v>
      </c>
      <c r="AQ12" s="228" t="s">
        <v>3146</v>
      </c>
      <c r="AR12" s="228" t="s">
        <v>3039</v>
      </c>
      <c r="AS12" s="242">
        <f t="shared" si="2"/>
        <v>10440</v>
      </c>
      <c r="AT12" s="242">
        <f t="shared" si="3"/>
        <v>1054.44</v>
      </c>
      <c r="AU12" s="242">
        <v>0</v>
      </c>
      <c r="AV12" s="242">
        <v>0</v>
      </c>
      <c r="AW12" s="242">
        <f t="shared" si="4"/>
        <v>11494.44</v>
      </c>
      <c r="AX12" s="237">
        <f t="shared" si="5"/>
        <v>200000</v>
      </c>
      <c r="AY12" s="237" t="s">
        <v>2762</v>
      </c>
      <c r="AZ12" s="242">
        <f t="shared" si="9"/>
        <v>5.7472200000000001E-2</v>
      </c>
      <c r="BA12" s="242" t="s">
        <v>2765</v>
      </c>
      <c r="BB12" s="237" t="s">
        <v>2733</v>
      </c>
      <c r="BC12" s="242">
        <v>100</v>
      </c>
      <c r="BD12" s="242">
        <f t="shared" si="7"/>
        <v>5.7472200000000004</v>
      </c>
      <c r="BE12" s="228"/>
      <c r="BF12" s="228" t="s">
        <v>36</v>
      </c>
      <c r="BG12" s="227" t="s">
        <v>3040</v>
      </c>
    </row>
    <row r="13" spans="1:59" s="228" customFormat="1" ht="15" customHeight="1">
      <c r="A13" s="227">
        <v>43900</v>
      </c>
      <c r="B13" s="228" t="s">
        <v>3138</v>
      </c>
      <c r="C13" s="229" t="s">
        <v>3031</v>
      </c>
      <c r="D13" s="230" t="s">
        <v>3143</v>
      </c>
      <c r="E13" s="229" t="s">
        <v>3147</v>
      </c>
      <c r="F13" s="231" t="s">
        <v>2846</v>
      </c>
      <c r="G13" s="231" t="s">
        <v>2846</v>
      </c>
      <c r="H13" s="231">
        <v>100</v>
      </c>
      <c r="I13" s="229" t="s">
        <v>3034</v>
      </c>
      <c r="J13" s="229">
        <v>2000</v>
      </c>
      <c r="K13" s="229" t="s">
        <v>2733</v>
      </c>
      <c r="L13" s="232">
        <v>1</v>
      </c>
      <c r="M13" s="232" t="s">
        <v>64</v>
      </c>
      <c r="N13" s="231">
        <v>200000</v>
      </c>
      <c r="O13" s="231">
        <f t="shared" si="8"/>
        <v>2000</v>
      </c>
      <c r="P13" s="233">
        <v>5.22</v>
      </c>
      <c r="Q13" s="234">
        <f>J13*P13</f>
        <v>10440</v>
      </c>
      <c r="R13" s="227">
        <v>43906</v>
      </c>
      <c r="S13" s="235" t="s">
        <v>3035</v>
      </c>
      <c r="T13" s="229" t="s">
        <v>3036</v>
      </c>
      <c r="U13" s="230">
        <v>2585105</v>
      </c>
      <c r="V13" s="229"/>
      <c r="W13" s="232" t="str">
        <f t="shared" si="0"/>
        <v>Yes</v>
      </c>
      <c r="X13" s="456">
        <v>2000</v>
      </c>
      <c r="Y13" s="230">
        <v>4812091</v>
      </c>
      <c r="Z13" s="236">
        <v>43922</v>
      </c>
      <c r="AA13" s="237"/>
      <c r="AB13" s="236"/>
      <c r="AC13" s="236"/>
      <c r="AD13" s="237"/>
      <c r="AE13" s="236"/>
      <c r="AF13" s="236"/>
      <c r="AG13" s="238">
        <f>(J13*L13)-X13-AA13-AD13</f>
        <v>0</v>
      </c>
      <c r="AH13" s="239"/>
      <c r="AI13" s="240"/>
      <c r="AJ13" s="237">
        <v>0</v>
      </c>
      <c r="AK13" s="241" t="e">
        <f t="shared" ca="1" si="1"/>
        <v>#NAME?</v>
      </c>
      <c r="AL13" s="235"/>
      <c r="AM13" s="229"/>
      <c r="AN13" s="229"/>
      <c r="AP13" s="228" t="s">
        <v>3148</v>
      </c>
      <c r="AQ13" s="228" t="s">
        <v>3149</v>
      </c>
      <c r="AR13" s="228" t="s">
        <v>3039</v>
      </c>
      <c r="AS13" s="242">
        <f t="shared" si="2"/>
        <v>10440</v>
      </c>
      <c r="AT13" s="242">
        <f t="shared" si="3"/>
        <v>1054.44</v>
      </c>
      <c r="AU13" s="242">
        <v>0</v>
      </c>
      <c r="AV13" s="242">
        <v>0</v>
      </c>
      <c r="AW13" s="242">
        <f t="shared" si="4"/>
        <v>11494.44</v>
      </c>
      <c r="AX13" s="237">
        <f t="shared" si="5"/>
        <v>200000</v>
      </c>
      <c r="AY13" s="237" t="s">
        <v>2762</v>
      </c>
      <c r="AZ13" s="242">
        <f t="shared" si="9"/>
        <v>5.7472200000000001E-2</v>
      </c>
      <c r="BA13" s="242" t="s">
        <v>2765</v>
      </c>
      <c r="BB13" s="237" t="s">
        <v>2733</v>
      </c>
      <c r="BC13" s="242">
        <v>100</v>
      </c>
      <c r="BD13" s="242">
        <f t="shared" si="7"/>
        <v>5.7472200000000004</v>
      </c>
      <c r="BF13" s="228" t="s">
        <v>36</v>
      </c>
      <c r="BG13" s="227" t="s">
        <v>3040</v>
      </c>
    </row>
    <row r="14" spans="1:59" s="96" customFormat="1" ht="15" customHeight="1">
      <c r="A14" s="227">
        <v>43901</v>
      </c>
      <c r="B14" s="228" t="s">
        <v>3056</v>
      </c>
      <c r="C14" s="229" t="s">
        <v>94</v>
      </c>
      <c r="D14" s="230" t="s">
        <v>3473</v>
      </c>
      <c r="E14" s="229">
        <v>13254</v>
      </c>
      <c r="F14" s="231" t="s">
        <v>2846</v>
      </c>
      <c r="G14" s="231" t="s">
        <v>2846</v>
      </c>
      <c r="H14" s="231">
        <v>120</v>
      </c>
      <c r="I14" s="229" t="s">
        <v>3157</v>
      </c>
      <c r="J14" s="229">
        <v>25</v>
      </c>
      <c r="K14" s="229" t="s">
        <v>2733</v>
      </c>
      <c r="L14" s="232">
        <v>3</v>
      </c>
      <c r="M14" s="232" t="s">
        <v>2953</v>
      </c>
      <c r="N14" s="231">
        <f>L14*J14*H14</f>
        <v>9000</v>
      </c>
      <c r="O14" s="231">
        <f t="shared" si="8"/>
        <v>75</v>
      </c>
      <c r="P14" s="233">
        <v>66</v>
      </c>
      <c r="Q14" s="234">
        <f>L14*P14</f>
        <v>198</v>
      </c>
      <c r="R14" s="227">
        <v>43915</v>
      </c>
      <c r="S14" s="235" t="s">
        <v>3450</v>
      </c>
      <c r="T14" s="229" t="s">
        <v>3036</v>
      </c>
      <c r="U14" s="230" t="s">
        <v>3451</v>
      </c>
      <c r="V14" s="229"/>
      <c r="W14" s="232" t="str">
        <f t="shared" si="0"/>
        <v>Yes</v>
      </c>
      <c r="X14" s="456">
        <v>3</v>
      </c>
      <c r="Y14" s="230" t="s">
        <v>3474</v>
      </c>
      <c r="Z14" s="236">
        <v>43962</v>
      </c>
      <c r="AA14" s="237"/>
      <c r="AB14" s="228"/>
      <c r="AC14" s="228"/>
      <c r="AD14" s="237"/>
      <c r="AE14" s="228"/>
      <c r="AF14" s="228"/>
      <c r="AG14" s="238">
        <f>(Q14/P14)-X14-AA14-AD14</f>
        <v>0</v>
      </c>
      <c r="AH14" s="248"/>
      <c r="AI14" s="229"/>
      <c r="AJ14" s="237">
        <f>+AG14</f>
        <v>0</v>
      </c>
      <c r="AK14" s="241" t="e">
        <f t="shared" ca="1" si="1"/>
        <v>#NAME?</v>
      </c>
      <c r="AL14" s="235" t="s">
        <v>3475</v>
      </c>
      <c r="AM14" s="229"/>
      <c r="AN14" s="229"/>
      <c r="AO14" s="228"/>
      <c r="AP14" s="228" t="s">
        <v>3476</v>
      </c>
      <c r="AQ14" s="228" t="s">
        <v>3477</v>
      </c>
      <c r="AR14" s="228" t="s">
        <v>3063</v>
      </c>
      <c r="AS14" s="242">
        <f t="shared" si="2"/>
        <v>198</v>
      </c>
      <c r="AT14" s="242">
        <f t="shared" si="3"/>
        <v>19.998000000000001</v>
      </c>
      <c r="AU14" s="242">
        <v>0</v>
      </c>
      <c r="AV14" s="242">
        <v>0</v>
      </c>
      <c r="AW14" s="242">
        <f t="shared" si="4"/>
        <v>217.99799999999999</v>
      </c>
      <c r="AX14" s="237">
        <f>+O14</f>
        <v>75</v>
      </c>
      <c r="AY14" s="242" t="s">
        <v>2733</v>
      </c>
      <c r="AZ14" s="242">
        <f t="shared" si="9"/>
        <v>2.9066399999999999</v>
      </c>
      <c r="BA14" s="242" t="s">
        <v>2730</v>
      </c>
      <c r="BB14" s="242" t="s">
        <v>2953</v>
      </c>
      <c r="BC14" s="242">
        <v>20</v>
      </c>
      <c r="BD14" s="242">
        <f t="shared" si="7"/>
        <v>58.132799999999996</v>
      </c>
      <c r="BE14" s="228"/>
      <c r="BF14" s="228" t="s">
        <v>3162</v>
      </c>
      <c r="BG14" s="227" t="s">
        <v>3040</v>
      </c>
    </row>
    <row r="15" spans="1:59" s="96" customFormat="1" ht="15" customHeight="1">
      <c r="A15" s="227">
        <v>43901</v>
      </c>
      <c r="B15" s="228" t="s">
        <v>3056</v>
      </c>
      <c r="C15" s="229" t="s">
        <v>95</v>
      </c>
      <c r="D15" s="230" t="s">
        <v>3478</v>
      </c>
      <c r="E15" s="229">
        <v>13254</v>
      </c>
      <c r="F15" s="231" t="s">
        <v>2846</v>
      </c>
      <c r="G15" s="231" t="s">
        <v>2846</v>
      </c>
      <c r="H15" s="231">
        <v>120</v>
      </c>
      <c r="I15" s="229" t="s">
        <v>3157</v>
      </c>
      <c r="J15" s="229">
        <v>25</v>
      </c>
      <c r="K15" s="229" t="s">
        <v>2781</v>
      </c>
      <c r="L15" s="232">
        <v>3</v>
      </c>
      <c r="M15" s="232" t="s">
        <v>2953</v>
      </c>
      <c r="N15" s="231">
        <f>H15*J15*L15</f>
        <v>9000</v>
      </c>
      <c r="O15" s="231">
        <f t="shared" si="8"/>
        <v>75</v>
      </c>
      <c r="P15" s="233">
        <v>66</v>
      </c>
      <c r="Q15" s="234">
        <f>SUM(L15*P15)</f>
        <v>198</v>
      </c>
      <c r="R15" s="227" t="s">
        <v>2970</v>
      </c>
      <c r="S15" s="235" t="s">
        <v>3035</v>
      </c>
      <c r="T15" s="229" t="s">
        <v>3036</v>
      </c>
      <c r="U15" s="230" t="s">
        <v>3456</v>
      </c>
      <c r="V15" s="229"/>
      <c r="W15" s="232" t="str">
        <f t="shared" si="0"/>
        <v>Yes</v>
      </c>
      <c r="X15" s="456">
        <v>3</v>
      </c>
      <c r="Y15" s="230" t="s">
        <v>3465</v>
      </c>
      <c r="Z15" s="236">
        <v>43969</v>
      </c>
      <c r="AA15" s="237"/>
      <c r="AB15" s="228"/>
      <c r="AC15" s="228"/>
      <c r="AD15" s="237"/>
      <c r="AE15" s="228"/>
      <c r="AF15" s="228"/>
      <c r="AG15" s="238">
        <f>(Q15/P15)-X15-AA15-AD15</f>
        <v>0</v>
      </c>
      <c r="AH15" s="248"/>
      <c r="AI15" s="229"/>
      <c r="AJ15" s="237">
        <f>+AG15</f>
        <v>0</v>
      </c>
      <c r="AK15" s="241" t="e">
        <f t="shared" ca="1" si="1"/>
        <v>#NAME?</v>
      </c>
      <c r="AL15" s="235" t="s">
        <v>3479</v>
      </c>
      <c r="AM15" s="229"/>
      <c r="AN15" s="229"/>
      <c r="AO15" s="228"/>
      <c r="AP15" s="228" t="s">
        <v>3480</v>
      </c>
      <c r="AQ15" s="228" t="s">
        <v>3461</v>
      </c>
      <c r="AR15" s="228" t="s">
        <v>3063</v>
      </c>
      <c r="AS15" s="242">
        <f t="shared" si="2"/>
        <v>198</v>
      </c>
      <c r="AT15" s="242">
        <f t="shared" si="3"/>
        <v>19.998000000000001</v>
      </c>
      <c r="AU15" s="242">
        <v>0</v>
      </c>
      <c r="AV15" s="242">
        <v>0</v>
      </c>
      <c r="AW15" s="242">
        <f t="shared" si="4"/>
        <v>217.99799999999999</v>
      </c>
      <c r="AX15" s="237">
        <f>+O15</f>
        <v>75</v>
      </c>
      <c r="AY15" s="242" t="s">
        <v>2781</v>
      </c>
      <c r="AZ15" s="242">
        <f t="shared" si="9"/>
        <v>2.9066399999999999</v>
      </c>
      <c r="BA15" s="242" t="s">
        <v>2779</v>
      </c>
      <c r="BB15" s="242" t="s">
        <v>2953</v>
      </c>
      <c r="BC15" s="242">
        <v>12</v>
      </c>
      <c r="BD15" s="242">
        <f t="shared" si="7"/>
        <v>34.87968</v>
      </c>
      <c r="BE15" s="228"/>
      <c r="BF15" s="228" t="s">
        <v>3162</v>
      </c>
      <c r="BG15" s="227" t="s">
        <v>3040</v>
      </c>
    </row>
    <row r="16" spans="1:59" s="96" customFormat="1" ht="15" customHeight="1">
      <c r="A16" s="227">
        <v>43901</v>
      </c>
      <c r="B16" s="228" t="s">
        <v>3056</v>
      </c>
      <c r="C16" s="229" t="s">
        <v>78</v>
      </c>
      <c r="D16" s="230" t="s">
        <v>3481</v>
      </c>
      <c r="E16" s="229" t="s">
        <v>3482</v>
      </c>
      <c r="F16" s="231" t="s">
        <v>2846</v>
      </c>
      <c r="G16" s="231" t="s">
        <v>2846</v>
      </c>
      <c r="H16" s="231">
        <v>150</v>
      </c>
      <c r="I16" s="229" t="s">
        <v>3313</v>
      </c>
      <c r="J16" s="229">
        <v>12</v>
      </c>
      <c r="K16" s="229" t="s">
        <v>3314</v>
      </c>
      <c r="L16" s="232">
        <v>1</v>
      </c>
      <c r="M16" s="232" t="s">
        <v>64</v>
      </c>
      <c r="N16" s="231">
        <f>J16*H16</f>
        <v>1800</v>
      </c>
      <c r="O16" s="231">
        <f t="shared" si="8"/>
        <v>12</v>
      </c>
      <c r="P16" s="233">
        <v>14.95</v>
      </c>
      <c r="Q16" s="234">
        <f>P16*L16*J16</f>
        <v>179.39999999999998</v>
      </c>
      <c r="R16" s="227" t="s">
        <v>2970</v>
      </c>
      <c r="S16" s="235" t="s">
        <v>3035</v>
      </c>
      <c r="T16" s="229" t="s">
        <v>3036</v>
      </c>
      <c r="U16" s="230" t="s">
        <v>3469</v>
      </c>
      <c r="V16" s="229"/>
      <c r="W16" s="232" t="str">
        <f t="shared" si="0"/>
        <v>Yes</v>
      </c>
      <c r="X16" s="456">
        <v>12</v>
      </c>
      <c r="Y16" s="230" t="s">
        <v>3470</v>
      </c>
      <c r="Z16" s="236">
        <v>43915</v>
      </c>
      <c r="AA16" s="237"/>
      <c r="AB16" s="236"/>
      <c r="AC16" s="236"/>
      <c r="AD16" s="237"/>
      <c r="AE16" s="236"/>
      <c r="AF16" s="236"/>
      <c r="AG16" s="238">
        <v>0</v>
      </c>
      <c r="AH16" s="248"/>
      <c r="AI16" s="229"/>
      <c r="AJ16" s="237"/>
      <c r="AK16" s="241" t="e">
        <f t="shared" ca="1" si="1"/>
        <v>#NAME?</v>
      </c>
      <c r="AL16" s="235"/>
      <c r="AM16" s="229"/>
      <c r="AN16" s="229"/>
      <c r="AO16" s="228"/>
      <c r="AP16" s="228" t="s">
        <v>3483</v>
      </c>
      <c r="AQ16" s="228" t="s">
        <v>3472</v>
      </c>
      <c r="AR16" s="228" t="s">
        <v>3063</v>
      </c>
      <c r="AS16" s="242">
        <f t="shared" si="2"/>
        <v>179.39999999999998</v>
      </c>
      <c r="AT16" s="242">
        <f t="shared" si="3"/>
        <v>18.119399999999999</v>
      </c>
      <c r="AU16" s="242">
        <v>0</v>
      </c>
      <c r="AV16" s="242">
        <v>0</v>
      </c>
      <c r="AW16" s="242">
        <f t="shared" si="4"/>
        <v>197.51939999999996</v>
      </c>
      <c r="AX16" s="237">
        <v>12</v>
      </c>
      <c r="AY16" s="237"/>
      <c r="AZ16" s="242">
        <f t="shared" si="9"/>
        <v>16.459949999999996</v>
      </c>
      <c r="BA16" s="242" t="s">
        <v>2721</v>
      </c>
      <c r="BB16" s="237" t="s">
        <v>2739</v>
      </c>
      <c r="BC16" s="242">
        <v>1</v>
      </c>
      <c r="BD16" s="242">
        <f t="shared" si="7"/>
        <v>16.459949999999996</v>
      </c>
      <c r="BE16" s="228"/>
      <c r="BF16" s="228" t="s">
        <v>3137</v>
      </c>
      <c r="BG16" s="227" t="s">
        <v>3040</v>
      </c>
    </row>
    <row r="17" spans="1:59" s="96" customFormat="1" ht="15" customHeight="1">
      <c r="A17" s="227">
        <v>43901</v>
      </c>
      <c r="B17" s="228" t="s">
        <v>3056</v>
      </c>
      <c r="C17" s="229" t="s">
        <v>78</v>
      </c>
      <c r="D17" s="230" t="s">
        <v>3468</v>
      </c>
      <c r="E17" s="229">
        <v>81145</v>
      </c>
      <c r="F17" s="231" t="s">
        <v>2846</v>
      </c>
      <c r="G17" s="231" t="s">
        <v>2846</v>
      </c>
      <c r="H17" s="231">
        <v>35</v>
      </c>
      <c r="I17" s="229" t="s">
        <v>3313</v>
      </c>
      <c r="J17" s="229">
        <v>48</v>
      </c>
      <c r="K17" s="229" t="s">
        <v>3314</v>
      </c>
      <c r="L17" s="232">
        <v>1</v>
      </c>
      <c r="M17" s="232" t="s">
        <v>64</v>
      </c>
      <c r="N17" s="231">
        <f>J17*H17</f>
        <v>1680</v>
      </c>
      <c r="O17" s="231">
        <f t="shared" si="8"/>
        <v>48</v>
      </c>
      <c r="P17" s="233">
        <v>8</v>
      </c>
      <c r="Q17" s="234">
        <f>P17*L17*J17</f>
        <v>384</v>
      </c>
      <c r="R17" s="227" t="s">
        <v>2970</v>
      </c>
      <c r="S17" s="235" t="s">
        <v>3035</v>
      </c>
      <c r="T17" s="229" t="s">
        <v>3036</v>
      </c>
      <c r="U17" s="230" t="s">
        <v>3469</v>
      </c>
      <c r="V17" s="229"/>
      <c r="W17" s="232" t="str">
        <f t="shared" si="0"/>
        <v>Yes</v>
      </c>
      <c r="X17" s="456">
        <v>48</v>
      </c>
      <c r="Y17" s="230" t="s">
        <v>3470</v>
      </c>
      <c r="Z17" s="236">
        <v>43915</v>
      </c>
      <c r="AA17" s="237"/>
      <c r="AB17" s="236"/>
      <c r="AC17" s="236"/>
      <c r="AD17" s="237"/>
      <c r="AE17" s="236"/>
      <c r="AF17" s="236"/>
      <c r="AG17" s="238">
        <v>0</v>
      </c>
      <c r="AH17" s="248"/>
      <c r="AI17" s="229"/>
      <c r="AJ17" s="237"/>
      <c r="AK17" s="241" t="e">
        <f t="shared" ca="1" si="1"/>
        <v>#NAME?</v>
      </c>
      <c r="AL17" s="235"/>
      <c r="AM17" s="229"/>
      <c r="AN17" s="229"/>
      <c r="AO17" s="228"/>
      <c r="AP17" s="228" t="s">
        <v>3471</v>
      </c>
      <c r="AQ17" s="228" t="s">
        <v>3472</v>
      </c>
      <c r="AR17" s="228" t="s">
        <v>3063</v>
      </c>
      <c r="AS17" s="242">
        <f t="shared" si="2"/>
        <v>384</v>
      </c>
      <c r="AT17" s="242">
        <f t="shared" si="3"/>
        <v>38.784000000000006</v>
      </c>
      <c r="AU17" s="242">
        <v>0</v>
      </c>
      <c r="AV17" s="242">
        <v>0</v>
      </c>
      <c r="AW17" s="242">
        <f t="shared" si="4"/>
        <v>422.78399999999999</v>
      </c>
      <c r="AX17" s="237">
        <v>48</v>
      </c>
      <c r="AY17" s="237"/>
      <c r="AZ17" s="242">
        <f t="shared" si="9"/>
        <v>8.8079999999999998</v>
      </c>
      <c r="BA17" s="242" t="s">
        <v>2721</v>
      </c>
      <c r="BB17" s="237" t="s">
        <v>2739</v>
      </c>
      <c r="BC17" s="242">
        <v>1</v>
      </c>
      <c r="BD17" s="242">
        <f t="shared" si="7"/>
        <v>8.8079999999999998</v>
      </c>
      <c r="BE17" s="228"/>
      <c r="BF17" s="228" t="s">
        <v>3137</v>
      </c>
      <c r="BG17" s="227" t="s">
        <v>3040</v>
      </c>
    </row>
    <row r="18" spans="1:59" s="96" customFormat="1" ht="15" customHeight="1">
      <c r="A18" s="227">
        <v>43901</v>
      </c>
      <c r="B18" s="228" t="s">
        <v>3056</v>
      </c>
      <c r="C18" s="229" t="s">
        <v>3270</v>
      </c>
      <c r="D18" s="230" t="s">
        <v>3462</v>
      </c>
      <c r="E18" s="229">
        <v>17713</v>
      </c>
      <c r="F18" s="231" t="s">
        <v>2846</v>
      </c>
      <c r="G18" s="231" t="s">
        <v>2846</v>
      </c>
      <c r="H18" s="231">
        <v>60</v>
      </c>
      <c r="I18" s="229" t="s">
        <v>2792</v>
      </c>
      <c r="J18" s="229" t="s">
        <v>2846</v>
      </c>
      <c r="K18" s="229" t="s">
        <v>2846</v>
      </c>
      <c r="L18" s="232">
        <v>125</v>
      </c>
      <c r="M18" s="232" t="s">
        <v>2953</v>
      </c>
      <c r="N18" s="231">
        <f>L18*H18</f>
        <v>7500</v>
      </c>
      <c r="O18" s="231" t="s">
        <v>2846</v>
      </c>
      <c r="P18" s="233">
        <v>78</v>
      </c>
      <c r="Q18" s="234">
        <f>L18*P18</f>
        <v>9750</v>
      </c>
      <c r="R18" s="227">
        <v>43915</v>
      </c>
      <c r="S18" s="235" t="s">
        <v>3450</v>
      </c>
      <c r="T18" s="229" t="s">
        <v>3036</v>
      </c>
      <c r="U18" s="230" t="s">
        <v>3451</v>
      </c>
      <c r="V18" s="229"/>
      <c r="W18" s="232" t="str">
        <f t="shared" si="0"/>
        <v>Yes</v>
      </c>
      <c r="X18" s="456">
        <v>125</v>
      </c>
      <c r="Y18" s="230" t="s">
        <v>3452</v>
      </c>
      <c r="Z18" s="236">
        <v>43962</v>
      </c>
      <c r="AA18" s="237"/>
      <c r="AB18" s="228"/>
      <c r="AC18" s="228"/>
      <c r="AD18" s="237"/>
      <c r="AE18" s="228"/>
      <c r="AF18" s="228"/>
      <c r="AG18" s="238">
        <f t="shared" ref="AG18:AG23" si="10">(Q18/P18)-X18-AA18-AD18</f>
        <v>0</v>
      </c>
      <c r="AH18" s="248"/>
      <c r="AI18" s="229"/>
      <c r="AJ18" s="237">
        <f>+AG18</f>
        <v>0</v>
      </c>
      <c r="AK18" s="241" t="e">
        <f t="shared" ca="1" si="1"/>
        <v>#NAME?</v>
      </c>
      <c r="AL18" s="235" t="s">
        <v>3463</v>
      </c>
      <c r="AM18" s="229"/>
      <c r="AN18" s="229"/>
      <c r="AO18" s="228"/>
      <c r="AP18" s="228" t="s">
        <v>3464</v>
      </c>
      <c r="AQ18" s="228" t="s">
        <v>3455</v>
      </c>
      <c r="AR18" s="228" t="s">
        <v>3063</v>
      </c>
      <c r="AS18" s="242">
        <f t="shared" si="2"/>
        <v>9750</v>
      </c>
      <c r="AT18" s="242">
        <f t="shared" si="3"/>
        <v>984.75000000000011</v>
      </c>
      <c r="AU18" s="242">
        <v>0</v>
      </c>
      <c r="AV18" s="242">
        <v>0</v>
      </c>
      <c r="AW18" s="242">
        <f t="shared" si="4"/>
        <v>10734.75</v>
      </c>
      <c r="AX18" s="237">
        <f>+N18</f>
        <v>7500</v>
      </c>
      <c r="AY18" s="242"/>
      <c r="AZ18" s="242">
        <f t="shared" si="9"/>
        <v>1.4313</v>
      </c>
      <c r="BA18" s="242" t="s">
        <v>2790</v>
      </c>
      <c r="BB18" s="242" t="s">
        <v>2953</v>
      </c>
      <c r="BC18" s="242">
        <v>60</v>
      </c>
      <c r="BD18" s="242">
        <f t="shared" si="7"/>
        <v>85.878</v>
      </c>
      <c r="BE18" s="228"/>
      <c r="BF18" s="228" t="s">
        <v>3162</v>
      </c>
      <c r="BG18" s="227" t="s">
        <v>3040</v>
      </c>
    </row>
    <row r="19" spans="1:59" s="96" customFormat="1" ht="15" customHeight="1">
      <c r="A19" s="227">
        <v>43901</v>
      </c>
      <c r="B19" s="228" t="s">
        <v>3056</v>
      </c>
      <c r="C19" s="229" t="s">
        <v>3270</v>
      </c>
      <c r="D19" s="230" t="s">
        <v>3462</v>
      </c>
      <c r="E19" s="229">
        <v>17713</v>
      </c>
      <c r="F19" s="231" t="s">
        <v>2846</v>
      </c>
      <c r="G19" s="231" t="s">
        <v>2846</v>
      </c>
      <c r="H19" s="231">
        <v>60</v>
      </c>
      <c r="I19" s="229" t="s">
        <v>2792</v>
      </c>
      <c r="J19" s="229" t="s">
        <v>2846</v>
      </c>
      <c r="K19" s="229" t="s">
        <v>2846</v>
      </c>
      <c r="L19" s="232">
        <v>125</v>
      </c>
      <c r="M19" s="232" t="s">
        <v>2953</v>
      </c>
      <c r="N19" s="231">
        <v>7500</v>
      </c>
      <c r="O19" s="231" t="s">
        <v>2846</v>
      </c>
      <c r="P19" s="233">
        <v>78</v>
      </c>
      <c r="Q19" s="234">
        <f>SUM(L19*P19)</f>
        <v>9750</v>
      </c>
      <c r="R19" s="227" t="s">
        <v>2970</v>
      </c>
      <c r="S19" s="235" t="s">
        <v>3035</v>
      </c>
      <c r="T19" s="229" t="s">
        <v>3036</v>
      </c>
      <c r="U19" s="230" t="s">
        <v>3456</v>
      </c>
      <c r="V19" s="229"/>
      <c r="W19" s="232" t="str">
        <f t="shared" si="0"/>
        <v>Yes</v>
      </c>
      <c r="X19" s="456">
        <v>125</v>
      </c>
      <c r="Y19" s="230" t="s">
        <v>3465</v>
      </c>
      <c r="Z19" s="236">
        <v>43969</v>
      </c>
      <c r="AA19" s="237"/>
      <c r="AB19" s="228"/>
      <c r="AC19" s="228"/>
      <c r="AD19" s="237"/>
      <c r="AE19" s="228"/>
      <c r="AF19" s="228"/>
      <c r="AG19" s="238">
        <f t="shared" si="10"/>
        <v>0</v>
      </c>
      <c r="AH19" s="248"/>
      <c r="AI19" s="229"/>
      <c r="AJ19" s="237">
        <f>+AG19</f>
        <v>0</v>
      </c>
      <c r="AK19" s="241" t="e">
        <f t="shared" ca="1" si="1"/>
        <v>#NAME?</v>
      </c>
      <c r="AL19" s="235" t="s">
        <v>3466</v>
      </c>
      <c r="AM19" s="229"/>
      <c r="AN19" s="229"/>
      <c r="AO19" s="228"/>
      <c r="AP19" s="228" t="s">
        <v>3467</v>
      </c>
      <c r="AQ19" s="228" t="s">
        <v>3461</v>
      </c>
      <c r="AR19" s="228" t="s">
        <v>3063</v>
      </c>
      <c r="AS19" s="242">
        <f t="shared" si="2"/>
        <v>9750</v>
      </c>
      <c r="AT19" s="242">
        <f t="shared" si="3"/>
        <v>984.75000000000011</v>
      </c>
      <c r="AU19" s="242">
        <v>0</v>
      </c>
      <c r="AV19" s="242">
        <v>0</v>
      </c>
      <c r="AW19" s="242">
        <f t="shared" si="4"/>
        <v>10734.75</v>
      </c>
      <c r="AX19" s="237">
        <f>+N19</f>
        <v>7500</v>
      </c>
      <c r="AY19" s="242"/>
      <c r="AZ19" s="242">
        <f t="shared" si="9"/>
        <v>1.4313</v>
      </c>
      <c r="BA19" s="242" t="s">
        <v>2790</v>
      </c>
      <c r="BB19" s="242" t="s">
        <v>2953</v>
      </c>
      <c r="BC19" s="242">
        <v>60</v>
      </c>
      <c r="BD19" s="242">
        <f t="shared" si="7"/>
        <v>85.878</v>
      </c>
      <c r="BE19" s="228"/>
      <c r="BF19" s="228" t="s">
        <v>3162</v>
      </c>
      <c r="BG19" s="227" t="s">
        <v>3040</v>
      </c>
    </row>
    <row r="20" spans="1:59" s="196" customFormat="1" ht="15" customHeight="1">
      <c r="A20" s="21">
        <v>43901</v>
      </c>
      <c r="B20" s="96" t="s">
        <v>3056</v>
      </c>
      <c r="C20" s="22" t="s">
        <v>94</v>
      </c>
      <c r="D20" s="97" t="s">
        <v>3449</v>
      </c>
      <c r="E20" s="22">
        <v>21606</v>
      </c>
      <c r="F20" s="69" t="s">
        <v>2846</v>
      </c>
      <c r="G20" s="69" t="s">
        <v>2846</v>
      </c>
      <c r="H20" s="70">
        <v>125</v>
      </c>
      <c r="I20" s="71" t="s">
        <v>3157</v>
      </c>
      <c r="J20" s="71">
        <v>48</v>
      </c>
      <c r="K20" s="71" t="s">
        <v>2733</v>
      </c>
      <c r="L20" s="285">
        <v>160</v>
      </c>
      <c r="M20" s="285" t="s">
        <v>2953</v>
      </c>
      <c r="N20" s="98">
        <f>L20*H20*J20</f>
        <v>960000</v>
      </c>
      <c r="O20" s="98">
        <f>J20*L20</f>
        <v>7680</v>
      </c>
      <c r="P20" s="286">
        <v>88</v>
      </c>
      <c r="Q20" s="75">
        <f>L20*P20</f>
        <v>14080</v>
      </c>
      <c r="R20" s="21">
        <v>43915</v>
      </c>
      <c r="S20" s="99" t="s">
        <v>3450</v>
      </c>
      <c r="T20" s="22" t="s">
        <v>3036</v>
      </c>
      <c r="U20" s="97" t="s">
        <v>3451</v>
      </c>
      <c r="V20" s="22"/>
      <c r="W20" s="72" t="str">
        <f t="shared" si="0"/>
        <v>No</v>
      </c>
      <c r="X20" s="457">
        <v>154</v>
      </c>
      <c r="Y20" s="97" t="s">
        <v>3452</v>
      </c>
      <c r="Z20" s="100">
        <v>43962</v>
      </c>
      <c r="AA20" s="101"/>
      <c r="AB20" s="96"/>
      <c r="AC20" s="96"/>
      <c r="AD20" s="101"/>
      <c r="AE20" s="96"/>
      <c r="AF20" s="96"/>
      <c r="AG20" s="102">
        <f t="shared" si="10"/>
        <v>6</v>
      </c>
      <c r="AH20" s="174" t="s">
        <v>94</v>
      </c>
      <c r="AI20" s="111" t="s">
        <v>2733</v>
      </c>
      <c r="AJ20" s="101">
        <v>0</v>
      </c>
      <c r="AK20" s="184" t="e">
        <f t="shared" ca="1" si="1"/>
        <v>#NAME?</v>
      </c>
      <c r="AL20" s="99" t="s">
        <v>3453</v>
      </c>
      <c r="AM20" s="22"/>
      <c r="AN20" s="22"/>
      <c r="AO20" s="96"/>
      <c r="AP20" s="96" t="s">
        <v>3454</v>
      </c>
      <c r="AQ20" s="96" t="s">
        <v>3455</v>
      </c>
      <c r="AR20" s="96" t="s">
        <v>3063</v>
      </c>
      <c r="AS20" s="199">
        <f t="shared" si="2"/>
        <v>14080</v>
      </c>
      <c r="AT20" s="199">
        <f t="shared" si="3"/>
        <v>1422.0800000000002</v>
      </c>
      <c r="AU20" s="199">
        <v>0</v>
      </c>
      <c r="AV20" s="199">
        <v>0</v>
      </c>
      <c r="AW20" s="199">
        <f t="shared" si="4"/>
        <v>15502.08</v>
      </c>
      <c r="AX20" s="101">
        <f>+O20</f>
        <v>7680</v>
      </c>
      <c r="AY20" s="199" t="s">
        <v>2733</v>
      </c>
      <c r="AZ20" s="199">
        <f t="shared" si="9"/>
        <v>2.0185</v>
      </c>
      <c r="BA20" s="199" t="s">
        <v>2730</v>
      </c>
      <c r="BB20" s="199" t="s">
        <v>2953</v>
      </c>
      <c r="BC20" s="284">
        <v>20</v>
      </c>
      <c r="BD20" s="284">
        <f t="shared" si="7"/>
        <v>40.369999999999997</v>
      </c>
      <c r="BE20" s="96"/>
      <c r="BF20" s="96" t="s">
        <v>3162</v>
      </c>
      <c r="BG20" s="21" t="s">
        <v>3040</v>
      </c>
    </row>
    <row r="21" spans="1:59" s="196" customFormat="1" ht="15" customHeight="1">
      <c r="A21" s="227">
        <v>43901</v>
      </c>
      <c r="B21" s="228" t="s">
        <v>3056</v>
      </c>
      <c r="C21" s="229" t="s">
        <v>94</v>
      </c>
      <c r="D21" s="230" t="s">
        <v>3449</v>
      </c>
      <c r="E21" s="229">
        <v>21606</v>
      </c>
      <c r="F21" s="231" t="s">
        <v>2846</v>
      </c>
      <c r="G21" s="231" t="s">
        <v>2846</v>
      </c>
      <c r="H21" s="231">
        <v>125</v>
      </c>
      <c r="I21" s="229" t="s">
        <v>3157</v>
      </c>
      <c r="J21" s="229">
        <v>48</v>
      </c>
      <c r="K21" s="229" t="s">
        <v>2733</v>
      </c>
      <c r="L21" s="232">
        <v>160</v>
      </c>
      <c r="M21" s="232" t="s">
        <v>2953</v>
      </c>
      <c r="N21" s="231">
        <f>L21*J21*H21</f>
        <v>960000</v>
      </c>
      <c r="O21" s="231">
        <f>J21*L21</f>
        <v>7680</v>
      </c>
      <c r="P21" s="233">
        <v>88</v>
      </c>
      <c r="Q21" s="234">
        <f>SUM(L21*P21)</f>
        <v>14080</v>
      </c>
      <c r="R21" s="227" t="s">
        <v>2970</v>
      </c>
      <c r="S21" s="235" t="s">
        <v>3035</v>
      </c>
      <c r="T21" s="229" t="s">
        <v>3036</v>
      </c>
      <c r="U21" s="230" t="s">
        <v>3456</v>
      </c>
      <c r="V21" s="229"/>
      <c r="W21" s="232" t="str">
        <f t="shared" si="0"/>
        <v>Yes</v>
      </c>
      <c r="X21" s="456">
        <v>160</v>
      </c>
      <c r="Y21" s="230" t="s">
        <v>3457</v>
      </c>
      <c r="Z21" s="236">
        <v>43969</v>
      </c>
      <c r="AA21" s="237"/>
      <c r="AB21" s="228"/>
      <c r="AC21" s="228"/>
      <c r="AD21" s="237"/>
      <c r="AE21" s="228"/>
      <c r="AF21" s="228"/>
      <c r="AG21" s="238">
        <f t="shared" si="10"/>
        <v>0</v>
      </c>
      <c r="AH21" s="248"/>
      <c r="AI21" s="240"/>
      <c r="AJ21" s="237">
        <f>+AG21</f>
        <v>0</v>
      </c>
      <c r="AK21" s="241" t="e">
        <f t="shared" ca="1" si="1"/>
        <v>#NAME?</v>
      </c>
      <c r="AL21" s="235" t="s">
        <v>3458</v>
      </c>
      <c r="AM21" s="229"/>
      <c r="AN21" s="229"/>
      <c r="AO21" s="228" t="s">
        <v>3459</v>
      </c>
      <c r="AP21" s="228" t="s">
        <v>3460</v>
      </c>
      <c r="AQ21" s="228" t="s">
        <v>3461</v>
      </c>
      <c r="AR21" s="228" t="s">
        <v>3063</v>
      </c>
      <c r="AS21" s="242">
        <f t="shared" si="2"/>
        <v>14080</v>
      </c>
      <c r="AT21" s="242">
        <f t="shared" si="3"/>
        <v>1422.0800000000002</v>
      </c>
      <c r="AU21" s="242">
        <v>0</v>
      </c>
      <c r="AV21" s="242">
        <v>0</v>
      </c>
      <c r="AW21" s="242">
        <f t="shared" si="4"/>
        <v>15502.08</v>
      </c>
      <c r="AX21" s="237">
        <f>+O21</f>
        <v>7680</v>
      </c>
      <c r="AY21" s="242" t="s">
        <v>2733</v>
      </c>
      <c r="AZ21" s="242">
        <f t="shared" si="9"/>
        <v>2.0185</v>
      </c>
      <c r="BA21" s="242" t="s">
        <v>2730</v>
      </c>
      <c r="BB21" s="242" t="s">
        <v>2953</v>
      </c>
      <c r="BC21" s="242">
        <v>20</v>
      </c>
      <c r="BD21" s="242">
        <f t="shared" si="7"/>
        <v>40.369999999999997</v>
      </c>
      <c r="BE21" s="228"/>
      <c r="BF21" s="228" t="s">
        <v>3162</v>
      </c>
      <c r="BG21" s="227" t="s">
        <v>3040</v>
      </c>
    </row>
    <row r="22" spans="1:59" s="196" customFormat="1" ht="15" customHeight="1">
      <c r="A22" s="227">
        <v>43901</v>
      </c>
      <c r="B22" s="228" t="s">
        <v>3056</v>
      </c>
      <c r="C22" s="229" t="s">
        <v>78</v>
      </c>
      <c r="D22" s="230" t="s">
        <v>3441</v>
      </c>
      <c r="E22" s="229" t="s">
        <v>3442</v>
      </c>
      <c r="F22" s="231" t="s">
        <v>2846</v>
      </c>
      <c r="G22" s="231" t="s">
        <v>2846</v>
      </c>
      <c r="H22" s="231">
        <v>160</v>
      </c>
      <c r="I22" s="229" t="s">
        <v>3313</v>
      </c>
      <c r="J22" s="229">
        <v>3600</v>
      </c>
      <c r="K22" s="229" t="s">
        <v>2781</v>
      </c>
      <c r="L22" s="232">
        <v>1</v>
      </c>
      <c r="M22" s="232" t="s">
        <v>64</v>
      </c>
      <c r="N22" s="231">
        <f>L22*J22*H22</f>
        <v>576000</v>
      </c>
      <c r="O22" s="231">
        <f>J22*L22</f>
        <v>3600</v>
      </c>
      <c r="P22" s="233">
        <v>10.5</v>
      </c>
      <c r="Q22" s="233">
        <f>P22*J22</f>
        <v>37800</v>
      </c>
      <c r="R22" s="227" t="s">
        <v>2970</v>
      </c>
      <c r="S22" s="235" t="s">
        <v>3035</v>
      </c>
      <c r="T22" s="229" t="s">
        <v>3036</v>
      </c>
      <c r="U22" s="230" t="s">
        <v>3443</v>
      </c>
      <c r="V22" s="229"/>
      <c r="W22" s="232" t="str">
        <f t="shared" si="0"/>
        <v>Yes</v>
      </c>
      <c r="X22" s="456">
        <v>1440</v>
      </c>
      <c r="Y22" s="230" t="s">
        <v>3444</v>
      </c>
      <c r="Z22" s="236">
        <v>43948</v>
      </c>
      <c r="AA22" s="237">
        <v>2160</v>
      </c>
      <c r="AB22" s="228" t="s">
        <v>3445</v>
      </c>
      <c r="AC22" s="236">
        <v>43962</v>
      </c>
      <c r="AD22" s="237"/>
      <c r="AE22" s="228"/>
      <c r="AF22" s="228"/>
      <c r="AG22" s="238">
        <f t="shared" si="10"/>
        <v>0</v>
      </c>
      <c r="AH22" s="248"/>
      <c r="AI22" s="229"/>
      <c r="AJ22" s="237"/>
      <c r="AK22" s="241" t="e">
        <f t="shared" ca="1" si="1"/>
        <v>#NAME?</v>
      </c>
      <c r="AL22" s="235" t="s">
        <v>3446</v>
      </c>
      <c r="AM22" s="229"/>
      <c r="AN22" s="229"/>
      <c r="AO22" s="228"/>
      <c r="AP22" s="228" t="s">
        <v>3447</v>
      </c>
      <c r="AQ22" s="228" t="s">
        <v>3448</v>
      </c>
      <c r="AR22" s="228" t="s">
        <v>3063</v>
      </c>
      <c r="AS22" s="242">
        <f t="shared" si="2"/>
        <v>37800</v>
      </c>
      <c r="AT22" s="242">
        <f t="shared" si="3"/>
        <v>3817.8</v>
      </c>
      <c r="AU22" s="242">
        <v>0</v>
      </c>
      <c r="AV22" s="242">
        <v>0</v>
      </c>
      <c r="AW22" s="242">
        <f t="shared" si="4"/>
        <v>41617.800000000003</v>
      </c>
      <c r="AX22" s="237">
        <v>3600</v>
      </c>
      <c r="AY22" s="237"/>
      <c r="AZ22" s="242">
        <f t="shared" si="9"/>
        <v>11.560500000000001</v>
      </c>
      <c r="BA22" s="242" t="s">
        <v>2721</v>
      </c>
      <c r="BB22" s="237" t="s">
        <v>2739</v>
      </c>
      <c r="BC22" s="242">
        <v>1</v>
      </c>
      <c r="BD22" s="242">
        <f t="shared" si="7"/>
        <v>11.560500000000001</v>
      </c>
      <c r="BE22" s="228"/>
      <c r="BF22" s="228" t="s">
        <v>3137</v>
      </c>
      <c r="BG22" s="227" t="s">
        <v>3040</v>
      </c>
    </row>
    <row r="23" spans="1:59" s="196" customFormat="1" ht="15" customHeight="1">
      <c r="A23" s="21">
        <v>43901</v>
      </c>
      <c r="B23" s="96" t="s">
        <v>3363</v>
      </c>
      <c r="C23" s="22" t="s">
        <v>1584</v>
      </c>
      <c r="D23" s="97" t="s">
        <v>3364</v>
      </c>
      <c r="E23" s="22" t="s">
        <v>3365</v>
      </c>
      <c r="F23" s="69">
        <v>7040</v>
      </c>
      <c r="G23" s="69">
        <f>F23*N23</f>
        <v>14080</v>
      </c>
      <c r="H23" s="70">
        <v>1</v>
      </c>
      <c r="I23" s="71" t="s">
        <v>2959</v>
      </c>
      <c r="J23" s="71" t="s">
        <v>2846</v>
      </c>
      <c r="K23" s="71" t="s">
        <v>2846</v>
      </c>
      <c r="L23" s="72">
        <v>2</v>
      </c>
      <c r="M23" s="72" t="s">
        <v>2953</v>
      </c>
      <c r="N23" s="73">
        <f>H23*L23</f>
        <v>2</v>
      </c>
      <c r="O23" s="98" t="s">
        <v>2846</v>
      </c>
      <c r="P23" s="74">
        <v>1512.5</v>
      </c>
      <c r="Q23" s="75">
        <f>SUM(N23*P23)</f>
        <v>3025</v>
      </c>
      <c r="R23" s="21">
        <v>43917</v>
      </c>
      <c r="S23" s="99" t="s">
        <v>3035</v>
      </c>
      <c r="T23" s="22" t="s">
        <v>3036</v>
      </c>
      <c r="U23" s="97">
        <v>14953</v>
      </c>
      <c r="V23" s="22"/>
      <c r="W23" s="72" t="str">
        <f t="shared" si="0"/>
        <v>No</v>
      </c>
      <c r="X23" s="456">
        <v>0</v>
      </c>
      <c r="Y23" s="97"/>
      <c r="Z23" s="96"/>
      <c r="AA23" s="101"/>
      <c r="AB23" s="96"/>
      <c r="AC23" s="96"/>
      <c r="AD23" s="101"/>
      <c r="AE23" s="96"/>
      <c r="AF23" s="96"/>
      <c r="AG23" s="102">
        <f t="shared" si="10"/>
        <v>2</v>
      </c>
      <c r="AH23" s="186" t="s">
        <v>82</v>
      </c>
      <c r="AI23" s="22" t="s">
        <v>2736</v>
      </c>
      <c r="AJ23" s="101">
        <f>+AG23*F23/12</f>
        <v>1173.3333333333333</v>
      </c>
      <c r="AK23" s="184" t="e">
        <f t="shared" ca="1" si="1"/>
        <v>#NAME?</v>
      </c>
      <c r="AL23" s="99"/>
      <c r="AM23" s="22"/>
      <c r="AN23" s="22"/>
      <c r="AO23" s="96"/>
      <c r="AP23" s="96" t="s">
        <v>3366</v>
      </c>
      <c r="AQ23" s="96"/>
      <c r="AR23" s="96" t="s">
        <v>3039</v>
      </c>
      <c r="AS23" s="199">
        <f t="shared" si="2"/>
        <v>3025</v>
      </c>
      <c r="AT23" s="199">
        <f t="shared" si="3"/>
        <v>305.52500000000003</v>
      </c>
      <c r="AU23" s="199">
        <v>0</v>
      </c>
      <c r="AV23" s="199">
        <v>0</v>
      </c>
      <c r="AW23" s="199">
        <f t="shared" si="4"/>
        <v>3330.5250000000001</v>
      </c>
      <c r="AX23" s="287">
        <f>+N23</f>
        <v>2</v>
      </c>
      <c r="AY23" s="199" t="s">
        <v>2959</v>
      </c>
      <c r="AZ23" s="199">
        <f t="shared" si="9"/>
        <v>1665.2625</v>
      </c>
      <c r="BA23" s="199" t="s">
        <v>2826</v>
      </c>
      <c r="BB23" s="199" t="s">
        <v>2959</v>
      </c>
      <c r="BC23" s="199">
        <v>1</v>
      </c>
      <c r="BD23" s="199">
        <f t="shared" si="7"/>
        <v>1665.2625</v>
      </c>
      <c r="BE23" s="96"/>
      <c r="BF23" s="96" t="s">
        <v>3137</v>
      </c>
      <c r="BG23" s="21" t="s">
        <v>3040</v>
      </c>
    </row>
    <row r="24" spans="1:59" s="228" customFormat="1" ht="15" customHeight="1">
      <c r="A24" s="227">
        <v>43902</v>
      </c>
      <c r="B24" s="228" t="s">
        <v>3129</v>
      </c>
      <c r="C24" s="229" t="s">
        <v>3069</v>
      </c>
      <c r="D24" s="375" t="s">
        <v>3261</v>
      </c>
      <c r="E24" s="229" t="s">
        <v>3262</v>
      </c>
      <c r="F24" s="231" t="s">
        <v>2846</v>
      </c>
      <c r="G24" s="231" t="s">
        <v>2846</v>
      </c>
      <c r="H24" s="231">
        <v>100</v>
      </c>
      <c r="I24" s="229" t="s">
        <v>3034</v>
      </c>
      <c r="J24" s="229">
        <v>10</v>
      </c>
      <c r="K24" s="229" t="s">
        <v>2733</v>
      </c>
      <c r="L24" s="232">
        <v>74</v>
      </c>
      <c r="M24" s="232" t="s">
        <v>2953</v>
      </c>
      <c r="N24" s="231">
        <f>L24*J24*H24</f>
        <v>74000</v>
      </c>
      <c r="O24" s="231">
        <f>J24*L24</f>
        <v>740</v>
      </c>
      <c r="P24" s="233">
        <v>10</v>
      </c>
      <c r="Q24" s="234">
        <f t="shared" ref="Q24:Q34" si="11">L24*P24</f>
        <v>740</v>
      </c>
      <c r="R24" s="227">
        <v>43909</v>
      </c>
      <c r="S24" s="235" t="s">
        <v>3263</v>
      </c>
      <c r="T24" s="229" t="s">
        <v>3036</v>
      </c>
      <c r="U24" s="230" t="s">
        <v>3264</v>
      </c>
      <c r="V24" s="229"/>
      <c r="W24" s="232" t="str">
        <f t="shared" si="0"/>
        <v>Yes</v>
      </c>
      <c r="X24" s="456">
        <v>6</v>
      </c>
      <c r="Y24" s="230" t="s">
        <v>3265</v>
      </c>
      <c r="Z24" s="236">
        <v>43992</v>
      </c>
      <c r="AA24" s="237">
        <v>68</v>
      </c>
      <c r="AB24" s="228" t="s">
        <v>3266</v>
      </c>
      <c r="AC24" s="236">
        <v>43992</v>
      </c>
      <c r="AD24" s="237"/>
      <c r="AG24" s="238">
        <f>(L24)-X24-AA24-AD24</f>
        <v>0</v>
      </c>
      <c r="AH24" s="239" t="s">
        <v>72</v>
      </c>
      <c r="AI24" s="240" t="s">
        <v>2762</v>
      </c>
      <c r="AJ24" s="237">
        <f>+AG24*H24/2</f>
        <v>0</v>
      </c>
      <c r="AK24" s="241" t="e">
        <f t="shared" ca="1" si="1"/>
        <v>#NAME?</v>
      </c>
      <c r="AL24" s="235" t="s">
        <v>3267</v>
      </c>
      <c r="AM24" s="229"/>
      <c r="AN24" s="229"/>
      <c r="AO24" s="229"/>
      <c r="AP24" s="228" t="s">
        <v>3268</v>
      </c>
      <c r="AR24" s="228" t="s">
        <v>3063</v>
      </c>
      <c r="AS24" s="242">
        <f t="shared" si="2"/>
        <v>740</v>
      </c>
      <c r="AT24" s="242">
        <f t="shared" si="3"/>
        <v>74.740000000000009</v>
      </c>
      <c r="AU24" s="242">
        <v>0</v>
      </c>
      <c r="AV24" s="242">
        <v>0</v>
      </c>
      <c r="AW24" s="242">
        <f t="shared" si="4"/>
        <v>814.74</v>
      </c>
      <c r="AX24" s="237">
        <f>+N24</f>
        <v>74000</v>
      </c>
      <c r="AY24" s="237" t="s">
        <v>2762</v>
      </c>
      <c r="AZ24" s="242">
        <f t="shared" si="9"/>
        <v>1.1010000000000001E-2</v>
      </c>
      <c r="BA24" s="242" t="s">
        <v>2760</v>
      </c>
      <c r="BB24" s="237" t="s">
        <v>2733</v>
      </c>
      <c r="BC24" s="242">
        <v>100</v>
      </c>
      <c r="BD24" s="242">
        <f t="shared" si="7"/>
        <v>1.101</v>
      </c>
      <c r="BF24" s="228" t="s">
        <v>36</v>
      </c>
      <c r="BG24" s="227" t="s">
        <v>3040</v>
      </c>
    </row>
    <row r="25" spans="1:59" s="228" customFormat="1" ht="15" customHeight="1">
      <c r="A25" s="227">
        <v>43902</v>
      </c>
      <c r="B25" s="228" t="s">
        <v>3129</v>
      </c>
      <c r="C25" s="229" t="s">
        <v>93</v>
      </c>
      <c r="D25" s="230" t="s">
        <v>3291</v>
      </c>
      <c r="E25" s="229" t="s">
        <v>3292</v>
      </c>
      <c r="F25" s="231">
        <v>7.5</v>
      </c>
      <c r="G25" s="231">
        <f>F25*N25</f>
        <v>810</v>
      </c>
      <c r="H25" s="231">
        <v>12</v>
      </c>
      <c r="I25" s="229" t="s">
        <v>3132</v>
      </c>
      <c r="J25" s="229" t="s">
        <v>2846</v>
      </c>
      <c r="K25" s="229" t="s">
        <v>2846</v>
      </c>
      <c r="L25" s="232">
        <v>9</v>
      </c>
      <c r="M25" s="232" t="s">
        <v>2953</v>
      </c>
      <c r="N25" s="231">
        <v>108</v>
      </c>
      <c r="O25" s="231" t="s">
        <v>2846</v>
      </c>
      <c r="P25" s="233">
        <v>23.8</v>
      </c>
      <c r="Q25" s="234">
        <f t="shared" si="11"/>
        <v>214.20000000000002</v>
      </c>
      <c r="R25" s="227">
        <v>43910</v>
      </c>
      <c r="S25" s="235" t="s">
        <v>3263</v>
      </c>
      <c r="T25" s="229" t="s">
        <v>3036</v>
      </c>
      <c r="U25" s="230" t="s">
        <v>3264</v>
      </c>
      <c r="V25" s="229"/>
      <c r="W25" s="232" t="str">
        <f t="shared" si="0"/>
        <v>Yes</v>
      </c>
      <c r="X25" s="456">
        <v>9</v>
      </c>
      <c r="Y25" s="230" t="s">
        <v>3266</v>
      </c>
      <c r="Z25" s="236">
        <v>43992</v>
      </c>
      <c r="AA25" s="237"/>
      <c r="AD25" s="237"/>
      <c r="AG25" s="238">
        <v>0</v>
      </c>
      <c r="AH25" s="239" t="s">
        <v>93</v>
      </c>
      <c r="AI25" s="240" t="s">
        <v>2736</v>
      </c>
      <c r="AJ25" s="237">
        <f>+AG25*H25</f>
        <v>0</v>
      </c>
      <c r="AK25" s="241" t="e">
        <f t="shared" ca="1" si="1"/>
        <v>#NAME?</v>
      </c>
      <c r="AL25" s="235" t="s">
        <v>3293</v>
      </c>
      <c r="AM25" s="229"/>
      <c r="AN25" s="229"/>
      <c r="AO25" s="229"/>
      <c r="AP25" s="228" t="s">
        <v>3294</v>
      </c>
      <c r="AR25" s="228" t="s">
        <v>3063</v>
      </c>
      <c r="AS25" s="242">
        <f t="shared" si="2"/>
        <v>214.20000000000002</v>
      </c>
      <c r="AT25" s="242">
        <f t="shared" si="3"/>
        <v>21.634200000000003</v>
      </c>
      <c r="AU25" s="242">
        <v>0</v>
      </c>
      <c r="AV25" s="242">
        <v>0</v>
      </c>
      <c r="AW25" s="242">
        <f t="shared" si="4"/>
        <v>235.83420000000001</v>
      </c>
      <c r="AX25" s="237">
        <f>+N25</f>
        <v>108</v>
      </c>
      <c r="AY25" s="242" t="s">
        <v>2736</v>
      </c>
      <c r="AZ25" s="242">
        <f t="shared" si="9"/>
        <v>2.1836500000000001</v>
      </c>
      <c r="BA25" s="242" t="s">
        <v>2734</v>
      </c>
      <c r="BB25" s="242" t="s">
        <v>2953</v>
      </c>
      <c r="BC25" s="242">
        <v>12</v>
      </c>
      <c r="BD25" s="242">
        <f t="shared" si="7"/>
        <v>26.203800000000001</v>
      </c>
      <c r="BF25" s="228" t="s">
        <v>3137</v>
      </c>
      <c r="BG25" s="227" t="s">
        <v>3040</v>
      </c>
    </row>
    <row r="26" spans="1:59" s="228" customFormat="1" ht="15" customHeight="1">
      <c r="A26" s="21">
        <v>43902</v>
      </c>
      <c r="B26" s="96" t="s">
        <v>3269</v>
      </c>
      <c r="C26" s="22" t="s">
        <v>3031</v>
      </c>
      <c r="D26" s="97" t="s">
        <v>3283</v>
      </c>
      <c r="E26" s="22" t="s">
        <v>3284</v>
      </c>
      <c r="F26" s="69" t="s">
        <v>2846</v>
      </c>
      <c r="G26" s="69" t="s">
        <v>2846</v>
      </c>
      <c r="H26" s="70">
        <v>100</v>
      </c>
      <c r="I26" s="71" t="s">
        <v>3034</v>
      </c>
      <c r="J26" s="71">
        <v>10</v>
      </c>
      <c r="K26" s="71" t="s">
        <v>2733</v>
      </c>
      <c r="L26" s="72">
        <v>60</v>
      </c>
      <c r="M26" s="72" t="s">
        <v>2953</v>
      </c>
      <c r="N26" s="73">
        <f>L26*J26*H26</f>
        <v>60000</v>
      </c>
      <c r="O26" s="98">
        <f>J26*L26</f>
        <v>600</v>
      </c>
      <c r="P26" s="74">
        <v>64.989999999999995</v>
      </c>
      <c r="Q26" s="75">
        <f t="shared" si="11"/>
        <v>3899.3999999999996</v>
      </c>
      <c r="R26" s="21">
        <v>43910</v>
      </c>
      <c r="S26" s="99" t="s">
        <v>3263</v>
      </c>
      <c r="T26" s="22" t="s">
        <v>3036</v>
      </c>
      <c r="U26" s="97">
        <v>58263</v>
      </c>
      <c r="V26" s="22"/>
      <c r="W26" s="72" t="str">
        <f t="shared" si="0"/>
        <v>Yes</v>
      </c>
      <c r="X26" s="457">
        <v>60</v>
      </c>
      <c r="Y26" s="97"/>
      <c r="Z26" s="96"/>
      <c r="AA26" s="101"/>
      <c r="AB26" s="96"/>
      <c r="AC26" s="96"/>
      <c r="AD26" s="101"/>
      <c r="AE26" s="96"/>
      <c r="AF26" s="96"/>
      <c r="AG26" s="102">
        <f>IF(O26="N/A",L26,(L26)-X26-AA26-AD26)</f>
        <v>0</v>
      </c>
      <c r="AH26" s="110" t="s">
        <v>72</v>
      </c>
      <c r="AI26" s="111" t="s">
        <v>2762</v>
      </c>
      <c r="AJ26" s="101">
        <f>+AG26*H26/2</f>
        <v>0</v>
      </c>
      <c r="AK26" s="184" t="e">
        <f t="shared" ca="1" si="1"/>
        <v>#NAME?</v>
      </c>
      <c r="AL26" s="99"/>
      <c r="AM26" s="22"/>
      <c r="AN26" s="22"/>
      <c r="AO26" s="96"/>
      <c r="AP26" s="96" t="s">
        <v>3285</v>
      </c>
      <c r="AQ26" s="96"/>
      <c r="AR26" s="96" t="s">
        <v>3063</v>
      </c>
      <c r="AS26" s="199">
        <f t="shared" si="2"/>
        <v>3899.3999999999996</v>
      </c>
      <c r="AT26" s="199">
        <f t="shared" si="3"/>
        <v>393.83940000000001</v>
      </c>
      <c r="AU26" s="199">
        <v>0</v>
      </c>
      <c r="AV26" s="199">
        <v>0</v>
      </c>
      <c r="AW26" s="199">
        <f t="shared" si="4"/>
        <v>4293.2393999999995</v>
      </c>
      <c r="AX26" s="101">
        <f>+N26</f>
        <v>60000</v>
      </c>
      <c r="AY26" s="101" t="s">
        <v>2762</v>
      </c>
      <c r="AZ26" s="199">
        <f t="shared" si="9"/>
        <v>7.1553989999999998E-2</v>
      </c>
      <c r="BA26" s="199" t="s">
        <v>2765</v>
      </c>
      <c r="BB26" s="101" t="s">
        <v>2733</v>
      </c>
      <c r="BC26" s="284">
        <v>100</v>
      </c>
      <c r="BD26" s="284">
        <f t="shared" si="7"/>
        <v>7.1553990000000001</v>
      </c>
      <c r="BE26" s="96"/>
      <c r="BF26" s="96" t="s">
        <v>36</v>
      </c>
      <c r="BG26" s="21" t="s">
        <v>3040</v>
      </c>
    </row>
    <row r="27" spans="1:59" s="228" customFormat="1" ht="15" customHeight="1">
      <c r="A27" s="227">
        <v>43902</v>
      </c>
      <c r="B27" s="228" t="s">
        <v>3129</v>
      </c>
      <c r="C27" s="229" t="s">
        <v>3031</v>
      </c>
      <c r="D27" s="230" t="s">
        <v>3484</v>
      </c>
      <c r="E27" s="229" t="s">
        <v>3485</v>
      </c>
      <c r="F27" s="231" t="s">
        <v>2846</v>
      </c>
      <c r="G27" s="231" t="s">
        <v>2846</v>
      </c>
      <c r="H27" s="231">
        <v>100</v>
      </c>
      <c r="I27" s="229" t="s">
        <v>3034</v>
      </c>
      <c r="J27" s="229">
        <v>10</v>
      </c>
      <c r="K27" s="229" t="s">
        <v>2733</v>
      </c>
      <c r="L27" s="232">
        <v>81</v>
      </c>
      <c r="M27" s="232" t="s">
        <v>2953</v>
      </c>
      <c r="N27" s="231">
        <f>H27*L27</f>
        <v>8100</v>
      </c>
      <c r="O27" s="231">
        <f>J27*L27</f>
        <v>810</v>
      </c>
      <c r="P27" s="233">
        <v>10</v>
      </c>
      <c r="Q27" s="234">
        <f t="shared" si="11"/>
        <v>810</v>
      </c>
      <c r="R27" s="227" t="s">
        <v>2970</v>
      </c>
      <c r="S27" s="235" t="s">
        <v>3263</v>
      </c>
      <c r="T27" s="229" t="s">
        <v>3036</v>
      </c>
      <c r="U27" s="230" t="s">
        <v>3264</v>
      </c>
      <c r="V27" s="229" t="s">
        <v>3486</v>
      </c>
      <c r="W27" s="232" t="str">
        <f t="shared" si="0"/>
        <v>Yes</v>
      </c>
      <c r="X27" s="456">
        <v>81</v>
      </c>
      <c r="Y27" s="230" t="s">
        <v>3266</v>
      </c>
      <c r="Z27" s="236">
        <v>43992</v>
      </c>
      <c r="AA27" s="237">
        <v>20</v>
      </c>
      <c r="AB27" s="228" t="s">
        <v>3487</v>
      </c>
      <c r="AC27" s="236">
        <v>43992</v>
      </c>
      <c r="AD27" s="237"/>
      <c r="AG27" s="238">
        <v>0</v>
      </c>
      <c r="AH27" s="239" t="s">
        <v>72</v>
      </c>
      <c r="AI27" s="240" t="s">
        <v>2762</v>
      </c>
      <c r="AJ27" s="237">
        <f>+AG27*H27/2</f>
        <v>0</v>
      </c>
      <c r="AK27" s="241" t="e">
        <f t="shared" ca="1" si="1"/>
        <v>#NAME?</v>
      </c>
      <c r="AL27" s="235" t="s">
        <v>3488</v>
      </c>
      <c r="AM27" s="229" t="s">
        <v>3084</v>
      </c>
      <c r="AN27" s="229" t="s">
        <v>2705</v>
      </c>
      <c r="AO27" s="229"/>
      <c r="AP27" s="228" t="s">
        <v>3489</v>
      </c>
      <c r="AR27" s="228" t="s">
        <v>3063</v>
      </c>
      <c r="AS27" s="242">
        <f t="shared" si="2"/>
        <v>810</v>
      </c>
      <c r="AT27" s="242">
        <f t="shared" si="3"/>
        <v>81.81</v>
      </c>
      <c r="AU27" s="242">
        <v>0</v>
      </c>
      <c r="AV27" s="242">
        <v>0</v>
      </c>
      <c r="AW27" s="242">
        <f t="shared" si="4"/>
        <v>891.81</v>
      </c>
      <c r="AX27" s="237">
        <f>+N27</f>
        <v>8100</v>
      </c>
      <c r="AY27" s="237" t="s">
        <v>2762</v>
      </c>
      <c r="AZ27" s="242">
        <f t="shared" si="9"/>
        <v>0.11009999999999999</v>
      </c>
      <c r="BA27" s="242" t="s">
        <v>2765</v>
      </c>
      <c r="BB27" s="237" t="s">
        <v>2733</v>
      </c>
      <c r="BC27" s="242">
        <v>100</v>
      </c>
      <c r="BD27" s="242">
        <f t="shared" si="7"/>
        <v>11.01</v>
      </c>
      <c r="BF27" s="228" t="s">
        <v>36</v>
      </c>
      <c r="BG27" s="227" t="s">
        <v>3040</v>
      </c>
    </row>
    <row r="28" spans="1:59" s="228" customFormat="1" ht="15" customHeight="1">
      <c r="A28" s="227">
        <v>43902</v>
      </c>
      <c r="B28" s="228" t="s">
        <v>3129</v>
      </c>
      <c r="C28" s="229" t="s">
        <v>94</v>
      </c>
      <c r="D28" s="230" t="s">
        <v>3286</v>
      </c>
      <c r="E28" s="229" t="s">
        <v>3287</v>
      </c>
      <c r="F28" s="231" t="s">
        <v>2846</v>
      </c>
      <c r="G28" s="231" t="s">
        <v>2846</v>
      </c>
      <c r="H28" s="231">
        <v>100</v>
      </c>
      <c r="I28" s="229" t="s">
        <v>3157</v>
      </c>
      <c r="J28" s="229">
        <v>30</v>
      </c>
      <c r="K28" s="229" t="s">
        <v>2733</v>
      </c>
      <c r="L28" s="232">
        <v>132</v>
      </c>
      <c r="M28" s="232" t="s">
        <v>2953</v>
      </c>
      <c r="N28" s="231">
        <f>L28*J28*H28</f>
        <v>396000</v>
      </c>
      <c r="O28" s="231">
        <f>J28*L28</f>
        <v>3960</v>
      </c>
      <c r="P28" s="233">
        <v>28.91</v>
      </c>
      <c r="Q28" s="234">
        <f t="shared" si="11"/>
        <v>3816.12</v>
      </c>
      <c r="R28" s="227">
        <v>43910</v>
      </c>
      <c r="S28" s="235" t="s">
        <v>3263</v>
      </c>
      <c r="T28" s="229" t="s">
        <v>3036</v>
      </c>
      <c r="U28" s="230" t="s">
        <v>3264</v>
      </c>
      <c r="V28" s="229"/>
      <c r="W28" s="232" t="str">
        <f t="shared" si="0"/>
        <v>Yes</v>
      </c>
      <c r="X28" s="456">
        <f>24+96</f>
        <v>120</v>
      </c>
      <c r="Y28" s="230" t="s">
        <v>3288</v>
      </c>
      <c r="Z28" s="236">
        <v>43992</v>
      </c>
      <c r="AA28" s="237">
        <f>11+1</f>
        <v>12</v>
      </c>
      <c r="AB28" s="228" t="s">
        <v>3266</v>
      </c>
      <c r="AC28" s="236">
        <v>43992</v>
      </c>
      <c r="AD28" s="237"/>
      <c r="AG28" s="238">
        <f>(L28)-X28-AA28-AD28</f>
        <v>0</v>
      </c>
      <c r="AH28" s="239" t="s">
        <v>94</v>
      </c>
      <c r="AI28" s="240" t="s">
        <v>2733</v>
      </c>
      <c r="AJ28" s="237">
        <f>+AG28*J28</f>
        <v>0</v>
      </c>
      <c r="AK28" s="241" t="e">
        <f t="shared" ca="1" si="1"/>
        <v>#NAME?</v>
      </c>
      <c r="AL28" s="235" t="s">
        <v>3289</v>
      </c>
      <c r="AM28" s="229" t="s">
        <v>3084</v>
      </c>
      <c r="AN28" s="229" t="s">
        <v>2705</v>
      </c>
      <c r="AO28" s="229"/>
      <c r="AP28" s="228" t="s">
        <v>3290</v>
      </c>
      <c r="AR28" s="228" t="s">
        <v>3063</v>
      </c>
      <c r="AS28" s="242">
        <f t="shared" si="2"/>
        <v>3816.12</v>
      </c>
      <c r="AT28" s="242">
        <f t="shared" si="3"/>
        <v>385.42812000000004</v>
      </c>
      <c r="AU28" s="242">
        <v>0</v>
      </c>
      <c r="AV28" s="242">
        <v>0</v>
      </c>
      <c r="AW28" s="242">
        <f t="shared" si="4"/>
        <v>4201.5481199999995</v>
      </c>
      <c r="AX28" s="237">
        <f>+O28</f>
        <v>3960</v>
      </c>
      <c r="AY28" s="242" t="s">
        <v>2733</v>
      </c>
      <c r="AZ28" s="242">
        <f t="shared" si="9"/>
        <v>1.060997</v>
      </c>
      <c r="BA28" s="242" t="s">
        <v>2730</v>
      </c>
      <c r="BB28" s="242" t="s">
        <v>2953</v>
      </c>
      <c r="BC28" s="242">
        <v>20</v>
      </c>
      <c r="BD28" s="242">
        <f t="shared" si="7"/>
        <v>21.219940000000001</v>
      </c>
      <c r="BF28" s="228" t="s">
        <v>3162</v>
      </c>
      <c r="BG28" s="227" t="s">
        <v>3040</v>
      </c>
    </row>
    <row r="29" spans="1:59" s="228" customFormat="1" ht="15" customHeight="1">
      <c r="A29" s="21">
        <v>43902</v>
      </c>
      <c r="B29" s="96" t="s">
        <v>3269</v>
      </c>
      <c r="C29" s="22" t="s">
        <v>3069</v>
      </c>
      <c r="D29" s="97" t="s">
        <v>3280</v>
      </c>
      <c r="E29" s="22" t="s">
        <v>3281</v>
      </c>
      <c r="F29" s="69" t="s">
        <v>2846</v>
      </c>
      <c r="G29" s="69" t="s">
        <v>2846</v>
      </c>
      <c r="H29" s="70">
        <v>100</v>
      </c>
      <c r="I29" s="71" t="s">
        <v>3034</v>
      </c>
      <c r="J29" s="71">
        <v>10</v>
      </c>
      <c r="K29" s="71" t="s">
        <v>2733</v>
      </c>
      <c r="L29" s="72">
        <v>75</v>
      </c>
      <c r="M29" s="72" t="s">
        <v>2953</v>
      </c>
      <c r="N29" s="73">
        <f>L29*J29*H29</f>
        <v>75000</v>
      </c>
      <c r="O29" s="98">
        <f>J29*L29</f>
        <v>750</v>
      </c>
      <c r="P29" s="74">
        <v>64.989999999999995</v>
      </c>
      <c r="Q29" s="75">
        <f t="shared" si="11"/>
        <v>4874.25</v>
      </c>
      <c r="R29" s="21">
        <v>43910</v>
      </c>
      <c r="S29" s="99" t="s">
        <v>3263</v>
      </c>
      <c r="T29" s="22" t="s">
        <v>3036</v>
      </c>
      <c r="U29" s="97">
        <v>58263</v>
      </c>
      <c r="V29" s="22"/>
      <c r="W29" s="72" t="str">
        <f t="shared" si="0"/>
        <v>No</v>
      </c>
      <c r="X29" s="457">
        <v>131</v>
      </c>
      <c r="Y29" s="97"/>
      <c r="Z29" s="96"/>
      <c r="AA29" s="101"/>
      <c r="AB29" s="96"/>
      <c r="AC29" s="96"/>
      <c r="AD29" s="101"/>
      <c r="AE29" s="96"/>
      <c r="AF29" s="96"/>
      <c r="AG29" s="102">
        <f>IF(O29="N/A",L29,(L29)-X29-AA29-AD29)</f>
        <v>-56</v>
      </c>
      <c r="AH29" s="110" t="s">
        <v>72</v>
      </c>
      <c r="AI29" s="111" t="s">
        <v>2762</v>
      </c>
      <c r="AJ29" s="188">
        <v>0</v>
      </c>
      <c r="AK29" s="184" t="e">
        <f t="shared" ca="1" si="1"/>
        <v>#NAME?</v>
      </c>
      <c r="AL29" s="99"/>
      <c r="AM29" s="22"/>
      <c r="AN29" s="22"/>
      <c r="AO29" s="96"/>
      <c r="AP29" s="96" t="s">
        <v>3282</v>
      </c>
      <c r="AQ29" s="96"/>
      <c r="AR29" s="96" t="s">
        <v>3063</v>
      </c>
      <c r="AS29" s="199">
        <f t="shared" si="2"/>
        <v>4874.25</v>
      </c>
      <c r="AT29" s="199">
        <f t="shared" si="3"/>
        <v>492.29925000000003</v>
      </c>
      <c r="AU29" s="199">
        <v>0</v>
      </c>
      <c r="AV29" s="199">
        <v>0</v>
      </c>
      <c r="AW29" s="199">
        <f t="shared" si="4"/>
        <v>5366.54925</v>
      </c>
      <c r="AX29" s="101">
        <f>+N29</f>
        <v>75000</v>
      </c>
      <c r="AY29" s="101" t="s">
        <v>2762</v>
      </c>
      <c r="AZ29" s="199">
        <f t="shared" si="9"/>
        <v>7.1553989999999998E-2</v>
      </c>
      <c r="BA29" s="199" t="s">
        <v>2760</v>
      </c>
      <c r="BB29" s="101" t="s">
        <v>2733</v>
      </c>
      <c r="BC29" s="284">
        <v>100</v>
      </c>
      <c r="BD29" s="284">
        <f t="shared" si="7"/>
        <v>7.1553990000000001</v>
      </c>
      <c r="BE29" s="96"/>
      <c r="BF29" s="96" t="s">
        <v>36</v>
      </c>
      <c r="BG29" s="21" t="s">
        <v>3040</v>
      </c>
    </row>
    <row r="30" spans="1:59" s="228" customFormat="1" ht="15" customHeight="1">
      <c r="A30" s="21">
        <v>43902</v>
      </c>
      <c r="B30" s="96" t="s">
        <v>3269</v>
      </c>
      <c r="C30" s="22" t="s">
        <v>93</v>
      </c>
      <c r="D30" s="97" t="s">
        <v>3278</v>
      </c>
      <c r="E30" s="22" t="s">
        <v>3151</v>
      </c>
      <c r="F30" s="69">
        <v>12</v>
      </c>
      <c r="G30" s="69">
        <f>F30*N30</f>
        <v>57600</v>
      </c>
      <c r="H30" s="70">
        <v>12</v>
      </c>
      <c r="I30" s="71" t="s">
        <v>3132</v>
      </c>
      <c r="J30" s="71" t="s">
        <v>2846</v>
      </c>
      <c r="K30" s="71" t="s">
        <v>2846</v>
      </c>
      <c r="L30" s="72">
        <v>400</v>
      </c>
      <c r="M30" s="72" t="s">
        <v>2953</v>
      </c>
      <c r="N30" s="73">
        <v>4800</v>
      </c>
      <c r="O30" s="98" t="s">
        <v>2846</v>
      </c>
      <c r="P30" s="74">
        <v>77.989999999999995</v>
      </c>
      <c r="Q30" s="75">
        <f t="shared" si="11"/>
        <v>31195.999999999996</v>
      </c>
      <c r="R30" s="21">
        <v>43910</v>
      </c>
      <c r="S30" s="99" t="s">
        <v>3263</v>
      </c>
      <c r="T30" s="22" t="s">
        <v>3036</v>
      </c>
      <c r="U30" s="97">
        <v>58263</v>
      </c>
      <c r="V30" s="22"/>
      <c r="W30" s="72" t="str">
        <f t="shared" si="0"/>
        <v>No</v>
      </c>
      <c r="X30" s="457">
        <v>352</v>
      </c>
      <c r="Y30" s="97"/>
      <c r="Z30" s="96"/>
      <c r="AA30" s="101"/>
      <c r="AB30" s="96"/>
      <c r="AC30" s="96"/>
      <c r="AD30" s="101"/>
      <c r="AE30" s="96"/>
      <c r="AF30" s="96"/>
      <c r="AG30" s="102">
        <f>IF(O30="N/A",L30,(J30*L30)-X30-AA30-AD30)</f>
        <v>400</v>
      </c>
      <c r="AH30" s="110" t="s">
        <v>93</v>
      </c>
      <c r="AI30" s="111" t="s">
        <v>2736</v>
      </c>
      <c r="AJ30" s="101">
        <f>+AG30*H30</f>
        <v>4800</v>
      </c>
      <c r="AK30" s="184" t="e">
        <f t="shared" ca="1" si="1"/>
        <v>#NAME?</v>
      </c>
      <c r="AL30" s="99"/>
      <c r="AM30" s="22"/>
      <c r="AN30" s="22"/>
      <c r="AO30" s="96"/>
      <c r="AP30" s="96" t="s">
        <v>3279</v>
      </c>
      <c r="AQ30" s="96"/>
      <c r="AR30" s="96" t="s">
        <v>3063</v>
      </c>
      <c r="AS30" s="199">
        <f t="shared" si="2"/>
        <v>31195.999999999996</v>
      </c>
      <c r="AT30" s="199">
        <f t="shared" si="3"/>
        <v>3150.7959999999998</v>
      </c>
      <c r="AU30" s="199">
        <v>0</v>
      </c>
      <c r="AV30" s="199">
        <v>0</v>
      </c>
      <c r="AW30" s="199">
        <f t="shared" si="4"/>
        <v>34346.795999999995</v>
      </c>
      <c r="AX30" s="287">
        <f>+N30</f>
        <v>4800</v>
      </c>
      <c r="AY30" s="284" t="s">
        <v>2736</v>
      </c>
      <c r="AZ30" s="284">
        <f t="shared" si="9"/>
        <v>7.1555824999999986</v>
      </c>
      <c r="BA30" s="284" t="s">
        <v>2734</v>
      </c>
      <c r="BB30" s="284" t="s">
        <v>2953</v>
      </c>
      <c r="BC30" s="199">
        <v>12</v>
      </c>
      <c r="BD30" s="199">
        <f t="shared" si="7"/>
        <v>85.866989999999987</v>
      </c>
      <c r="BE30" s="96"/>
      <c r="BF30" s="96" t="s">
        <v>3137</v>
      </c>
      <c r="BG30" s="21" t="s">
        <v>3040</v>
      </c>
    </row>
    <row r="31" spans="1:59" s="228" customFormat="1" ht="15" customHeight="1">
      <c r="A31" s="21">
        <v>43902</v>
      </c>
      <c r="B31" s="96" t="s">
        <v>3269</v>
      </c>
      <c r="C31" s="22" t="s">
        <v>94</v>
      </c>
      <c r="D31" s="22" t="s">
        <v>3275</v>
      </c>
      <c r="E31" s="22" t="s">
        <v>3276</v>
      </c>
      <c r="F31" s="69" t="s">
        <v>2846</v>
      </c>
      <c r="G31" s="69" t="s">
        <v>2846</v>
      </c>
      <c r="H31" s="70">
        <v>95</v>
      </c>
      <c r="I31" s="71" t="s">
        <v>3157</v>
      </c>
      <c r="J31" s="71">
        <v>36</v>
      </c>
      <c r="K31" s="71" t="s">
        <v>2733</v>
      </c>
      <c r="L31" s="72">
        <v>400</v>
      </c>
      <c r="M31" s="72" t="s">
        <v>2953</v>
      </c>
      <c r="N31" s="73">
        <f>L31*J31*H31</f>
        <v>1368000</v>
      </c>
      <c r="O31" s="98">
        <f>J31*L31</f>
        <v>14400</v>
      </c>
      <c r="P31" s="74">
        <v>90.24</v>
      </c>
      <c r="Q31" s="75">
        <f t="shared" si="11"/>
        <v>36096</v>
      </c>
      <c r="R31" s="21">
        <v>43910</v>
      </c>
      <c r="S31" s="99" t="s">
        <v>3263</v>
      </c>
      <c r="T31" s="22" t="s">
        <v>3036</v>
      </c>
      <c r="U31" s="97">
        <v>58263</v>
      </c>
      <c r="V31" s="22"/>
      <c r="W31" s="72" t="str">
        <f t="shared" si="0"/>
        <v>No</v>
      </c>
      <c r="X31" s="457">
        <v>375</v>
      </c>
      <c r="Y31" s="97"/>
      <c r="Z31" s="96"/>
      <c r="AA31" s="101"/>
      <c r="AB31" s="96"/>
      <c r="AC31" s="96"/>
      <c r="AD31" s="101"/>
      <c r="AE31" s="96"/>
      <c r="AF31" s="96"/>
      <c r="AG31" s="102">
        <f>IF(O31="N/A",L31,(J31*L31)-(J31*X31)-(J31*AA31)-(J31*AD31))</f>
        <v>900</v>
      </c>
      <c r="AH31" s="110" t="s">
        <v>94</v>
      </c>
      <c r="AI31" s="111" t="s">
        <v>2733</v>
      </c>
      <c r="AJ31" s="101">
        <f>+AG31</f>
        <v>900</v>
      </c>
      <c r="AK31" s="184" t="e">
        <f t="shared" ca="1" si="1"/>
        <v>#NAME?</v>
      </c>
      <c r="AL31" s="99"/>
      <c r="AM31" s="22"/>
      <c r="AN31" s="22"/>
      <c r="AO31" s="96"/>
      <c r="AP31" s="96" t="s">
        <v>3277</v>
      </c>
      <c r="AQ31" s="96"/>
      <c r="AR31" s="96" t="s">
        <v>3063</v>
      </c>
      <c r="AS31" s="199">
        <f t="shared" si="2"/>
        <v>36096</v>
      </c>
      <c r="AT31" s="199">
        <f t="shared" si="3"/>
        <v>3645.6960000000004</v>
      </c>
      <c r="AU31" s="199">
        <v>0</v>
      </c>
      <c r="AV31" s="199">
        <v>0</v>
      </c>
      <c r="AW31" s="199">
        <f t="shared" si="4"/>
        <v>39741.696000000004</v>
      </c>
      <c r="AX31" s="101">
        <f>+O31</f>
        <v>14400</v>
      </c>
      <c r="AY31" s="199" t="s">
        <v>2733</v>
      </c>
      <c r="AZ31" s="199">
        <f t="shared" si="9"/>
        <v>2.7598400000000001</v>
      </c>
      <c r="BA31" s="199" t="s">
        <v>2730</v>
      </c>
      <c r="BB31" s="199" t="s">
        <v>2953</v>
      </c>
      <c r="BC31" s="199">
        <v>20</v>
      </c>
      <c r="BD31" s="199">
        <f t="shared" si="7"/>
        <v>55.196800000000003</v>
      </c>
      <c r="BE31" s="96"/>
      <c r="BF31" s="96" t="s">
        <v>3162</v>
      </c>
      <c r="BG31" s="21" t="s">
        <v>3040</v>
      </c>
    </row>
    <row r="32" spans="1:59" s="228" customFormat="1" ht="15" customHeight="1">
      <c r="A32" s="21">
        <v>43902</v>
      </c>
      <c r="B32" s="96" t="s">
        <v>3269</v>
      </c>
      <c r="C32" s="22" t="s">
        <v>3270</v>
      </c>
      <c r="D32" s="97" t="s">
        <v>3271</v>
      </c>
      <c r="E32" s="22" t="s">
        <v>3272</v>
      </c>
      <c r="F32" s="69" t="s">
        <v>2846</v>
      </c>
      <c r="G32" s="69" t="s">
        <v>2846</v>
      </c>
      <c r="H32" s="70">
        <v>80</v>
      </c>
      <c r="I32" s="71" t="s">
        <v>2792</v>
      </c>
      <c r="J32" s="71" t="s">
        <v>2846</v>
      </c>
      <c r="K32" s="71" t="s">
        <v>2846</v>
      </c>
      <c r="L32" s="72">
        <v>600</v>
      </c>
      <c r="M32" s="72" t="s">
        <v>2953</v>
      </c>
      <c r="N32" s="73">
        <f>L32*H32</f>
        <v>48000</v>
      </c>
      <c r="O32" s="98" t="s">
        <v>2846</v>
      </c>
      <c r="P32" s="74">
        <v>72.290000000000006</v>
      </c>
      <c r="Q32" s="75">
        <f t="shared" si="11"/>
        <v>43374.000000000007</v>
      </c>
      <c r="R32" s="21">
        <v>43910</v>
      </c>
      <c r="S32" s="99" t="s">
        <v>3263</v>
      </c>
      <c r="T32" s="22" t="s">
        <v>3036</v>
      </c>
      <c r="U32" s="97">
        <v>58263</v>
      </c>
      <c r="V32" s="22"/>
      <c r="W32" s="72" t="str">
        <f t="shared" si="0"/>
        <v>No</v>
      </c>
      <c r="X32" s="457">
        <v>470</v>
      </c>
      <c r="Y32" s="97"/>
      <c r="Z32" s="96"/>
      <c r="AA32" s="101"/>
      <c r="AB32" s="96"/>
      <c r="AC32" s="96"/>
      <c r="AD32" s="101"/>
      <c r="AE32" s="96"/>
      <c r="AF32" s="96"/>
      <c r="AG32" s="102">
        <f>L32-X32-AA32-AD32</f>
        <v>130</v>
      </c>
      <c r="AH32" s="110" t="s">
        <v>97</v>
      </c>
      <c r="AI32" s="240" t="s">
        <v>3273</v>
      </c>
      <c r="AJ32" s="101">
        <f>+AG32*H32</f>
        <v>10400</v>
      </c>
      <c r="AK32" s="184" t="e">
        <f t="shared" ca="1" si="1"/>
        <v>#NAME?</v>
      </c>
      <c r="AL32" s="99"/>
      <c r="AM32" s="22"/>
      <c r="AN32" s="22"/>
      <c r="AO32" s="96"/>
      <c r="AP32" s="96" t="s">
        <v>3274</v>
      </c>
      <c r="AQ32" s="96"/>
      <c r="AR32" s="96" t="s">
        <v>3063</v>
      </c>
      <c r="AS32" s="199">
        <f t="shared" si="2"/>
        <v>43374.000000000007</v>
      </c>
      <c r="AT32" s="199">
        <f t="shared" si="3"/>
        <v>4380.7740000000013</v>
      </c>
      <c r="AU32" s="199">
        <v>0</v>
      </c>
      <c r="AV32" s="199">
        <v>0</v>
      </c>
      <c r="AW32" s="199">
        <f t="shared" si="4"/>
        <v>47754.774000000005</v>
      </c>
      <c r="AX32" s="101">
        <f t="shared" ref="AX32:AX67" si="12">+N32</f>
        <v>48000</v>
      </c>
      <c r="AY32" s="199"/>
      <c r="AZ32" s="199">
        <f t="shared" si="9"/>
        <v>0.9948911250000001</v>
      </c>
      <c r="BA32" s="199" t="s">
        <v>2790</v>
      </c>
      <c r="BB32" s="199" t="s">
        <v>2953</v>
      </c>
      <c r="BC32" s="199">
        <v>60</v>
      </c>
      <c r="BD32" s="199">
        <f t="shared" si="7"/>
        <v>59.693467500000004</v>
      </c>
      <c r="BE32" s="96"/>
      <c r="BF32" s="96" t="s">
        <v>3162</v>
      </c>
      <c r="BG32" s="21" t="s">
        <v>3040</v>
      </c>
    </row>
    <row r="33" spans="1:59" s="228" customFormat="1" ht="15" customHeight="1">
      <c r="A33" s="21">
        <v>43902</v>
      </c>
      <c r="B33" s="96" t="s">
        <v>3129</v>
      </c>
      <c r="C33" s="22" t="s">
        <v>3045</v>
      </c>
      <c r="D33" s="97" t="s">
        <v>3295</v>
      </c>
      <c r="E33" s="22" t="s">
        <v>3296</v>
      </c>
      <c r="F33" s="69" t="s">
        <v>2846</v>
      </c>
      <c r="G33" s="69" t="s">
        <v>2846</v>
      </c>
      <c r="H33" s="70">
        <v>100</v>
      </c>
      <c r="I33" s="71" t="s">
        <v>3034</v>
      </c>
      <c r="J33" s="71">
        <v>1</v>
      </c>
      <c r="K33" s="71" t="s">
        <v>2733</v>
      </c>
      <c r="L33" s="72">
        <v>2</v>
      </c>
      <c r="M33" s="72" t="s">
        <v>2953</v>
      </c>
      <c r="N33" s="73">
        <f>H33*L33</f>
        <v>200</v>
      </c>
      <c r="O33" s="98">
        <f t="shared" ref="O33:O62" si="13">J33*L33</f>
        <v>2</v>
      </c>
      <c r="P33" s="74">
        <v>10</v>
      </c>
      <c r="Q33" s="75">
        <f t="shared" si="11"/>
        <v>20</v>
      </c>
      <c r="R33" s="21">
        <v>43910</v>
      </c>
      <c r="S33" s="99" t="s">
        <v>3263</v>
      </c>
      <c r="T33" s="22" t="s">
        <v>3036</v>
      </c>
      <c r="U33" s="97" t="s">
        <v>3297</v>
      </c>
      <c r="V33" s="22" t="s">
        <v>3298</v>
      </c>
      <c r="W33" s="72" t="str">
        <f t="shared" si="0"/>
        <v>No</v>
      </c>
      <c r="X33" s="456">
        <v>0</v>
      </c>
      <c r="Y33" s="97"/>
      <c r="Z33" s="96"/>
      <c r="AA33" s="101"/>
      <c r="AB33" s="96"/>
      <c r="AC33" s="96"/>
      <c r="AD33" s="101"/>
      <c r="AE33" s="96"/>
      <c r="AF33" s="96"/>
      <c r="AG33" s="102">
        <f>IF(O33="N/A",L33,(J33*L33)-X33-AA33-AD33)</f>
        <v>2</v>
      </c>
      <c r="AH33" s="110" t="s">
        <v>72</v>
      </c>
      <c r="AI33" s="111" t="s">
        <v>2762</v>
      </c>
      <c r="AJ33" s="101">
        <f>+AG33*H33/2</f>
        <v>100</v>
      </c>
      <c r="AK33" s="184" t="e">
        <f t="shared" ca="1" si="1"/>
        <v>#NAME?</v>
      </c>
      <c r="AL33" s="99"/>
      <c r="AM33" s="22"/>
      <c r="AN33" s="22"/>
      <c r="AO33" s="96"/>
      <c r="AP33" s="96" t="s">
        <v>3299</v>
      </c>
      <c r="AQ33" s="96"/>
      <c r="AR33" s="96" t="s">
        <v>3063</v>
      </c>
      <c r="AS33" s="199">
        <f t="shared" si="2"/>
        <v>20</v>
      </c>
      <c r="AT33" s="199">
        <f t="shared" si="3"/>
        <v>2.02</v>
      </c>
      <c r="AU33" s="199">
        <v>0</v>
      </c>
      <c r="AV33" s="199">
        <v>0</v>
      </c>
      <c r="AW33" s="199">
        <f t="shared" si="4"/>
        <v>22.02</v>
      </c>
      <c r="AX33" s="101">
        <f t="shared" si="12"/>
        <v>200</v>
      </c>
      <c r="AY33" s="101" t="s">
        <v>2762</v>
      </c>
      <c r="AZ33" s="199">
        <f t="shared" si="9"/>
        <v>0.1101</v>
      </c>
      <c r="BA33" s="199" t="s">
        <v>2773</v>
      </c>
      <c r="BB33" s="101" t="s">
        <v>2733</v>
      </c>
      <c r="BC33" s="199">
        <v>100</v>
      </c>
      <c r="BD33" s="199">
        <f t="shared" si="7"/>
        <v>11.01</v>
      </c>
      <c r="BE33" s="96"/>
      <c r="BF33" s="96" t="s">
        <v>36</v>
      </c>
      <c r="BG33" s="21" t="s">
        <v>3040</v>
      </c>
    </row>
    <row r="34" spans="1:59" s="228" customFormat="1" ht="15" customHeight="1">
      <c r="A34" s="227">
        <v>43903</v>
      </c>
      <c r="B34" s="228" t="s">
        <v>3056</v>
      </c>
      <c r="C34" s="229" t="s">
        <v>3069</v>
      </c>
      <c r="D34" s="230" t="s">
        <v>3170</v>
      </c>
      <c r="E34" s="229" t="s">
        <v>3171</v>
      </c>
      <c r="F34" s="231" t="s">
        <v>2846</v>
      </c>
      <c r="G34" s="231" t="s">
        <v>2846</v>
      </c>
      <c r="H34" s="231">
        <v>50</v>
      </c>
      <c r="I34" s="229" t="s">
        <v>3034</v>
      </c>
      <c r="J34" s="229">
        <v>1</v>
      </c>
      <c r="K34" s="229" t="s">
        <v>2733</v>
      </c>
      <c r="L34" s="232">
        <v>1</v>
      </c>
      <c r="M34" s="232" t="s">
        <v>64</v>
      </c>
      <c r="N34" s="231">
        <f>H34*J34*L34</f>
        <v>50</v>
      </c>
      <c r="O34" s="231">
        <f t="shared" si="13"/>
        <v>1</v>
      </c>
      <c r="P34" s="233">
        <v>15</v>
      </c>
      <c r="Q34" s="234">
        <f t="shared" si="11"/>
        <v>15</v>
      </c>
      <c r="R34" s="227">
        <v>43903</v>
      </c>
      <c r="S34" s="235" t="s">
        <v>3035</v>
      </c>
      <c r="T34" s="229" t="s">
        <v>3036</v>
      </c>
      <c r="U34" s="230" t="s">
        <v>3120</v>
      </c>
      <c r="V34" s="229"/>
      <c r="W34" s="232" t="str">
        <f t="shared" ref="W34:W55" si="14">IF(AG34=0,"Yes","No")</f>
        <v>Yes</v>
      </c>
      <c r="X34" s="456">
        <v>1</v>
      </c>
      <c r="Y34" s="230" t="s">
        <v>3121</v>
      </c>
      <c r="Z34" s="236">
        <v>43963</v>
      </c>
      <c r="AA34" s="237"/>
      <c r="AD34" s="237"/>
      <c r="AG34" s="238">
        <f>(J34*L34)-X34-AA34-AD34</f>
        <v>0</v>
      </c>
      <c r="AH34" s="239"/>
      <c r="AI34" s="240"/>
      <c r="AJ34" s="237"/>
      <c r="AK34" s="241" t="e">
        <f t="shared" ref="AK34:AK65" ca="1" si="15">_xlfn.SINGLE(IF(R34="TBD",49674,R34))</f>
        <v>#NAME?</v>
      </c>
      <c r="AL34" s="235"/>
      <c r="AM34" s="229"/>
      <c r="AN34" s="229"/>
      <c r="AP34" s="228" t="s">
        <v>3172</v>
      </c>
      <c r="AQ34" s="228" t="s">
        <v>3123</v>
      </c>
      <c r="AR34" s="228" t="s">
        <v>3063</v>
      </c>
      <c r="AS34" s="242">
        <f t="shared" ref="AS34:AS65" si="16">+Q34</f>
        <v>15</v>
      </c>
      <c r="AT34" s="242">
        <f t="shared" ref="AT34:AT65" si="17">+AS34*0.101</f>
        <v>1.5150000000000001</v>
      </c>
      <c r="AU34" s="242">
        <v>0</v>
      </c>
      <c r="AV34" s="242">
        <v>0</v>
      </c>
      <c r="AW34" s="242">
        <f t="shared" ref="AW34:AW65" si="18">SUBTOTAL(9,AS34:AV34)</f>
        <v>16.515000000000001</v>
      </c>
      <c r="AX34" s="237">
        <f t="shared" si="12"/>
        <v>50</v>
      </c>
      <c r="AY34" s="237" t="s">
        <v>2762</v>
      </c>
      <c r="AZ34" s="242">
        <f t="shared" si="9"/>
        <v>0.33030000000000004</v>
      </c>
      <c r="BA34" s="242" t="s">
        <v>2760</v>
      </c>
      <c r="BB34" s="237" t="s">
        <v>2733</v>
      </c>
      <c r="BC34" s="242">
        <v>100</v>
      </c>
      <c r="BD34" s="242">
        <f t="shared" ref="BD34:BD65" si="19">+AZ34*BC34</f>
        <v>33.03</v>
      </c>
      <c r="BF34" s="228" t="s">
        <v>36</v>
      </c>
      <c r="BG34" s="227" t="s">
        <v>3040</v>
      </c>
    </row>
    <row r="35" spans="1:59" s="228" customFormat="1" ht="15" customHeight="1">
      <c r="A35" s="227">
        <v>43903</v>
      </c>
      <c r="B35" s="228" t="s">
        <v>3056</v>
      </c>
      <c r="C35" s="229" t="s">
        <v>3045</v>
      </c>
      <c r="D35" s="230" t="s">
        <v>3173</v>
      </c>
      <c r="E35" s="229" t="s">
        <v>3174</v>
      </c>
      <c r="F35" s="231" t="s">
        <v>2846</v>
      </c>
      <c r="G35" s="231" t="s">
        <v>2846</v>
      </c>
      <c r="H35" s="231">
        <v>100</v>
      </c>
      <c r="I35" s="229" t="s">
        <v>3034</v>
      </c>
      <c r="J35" s="229">
        <v>1</v>
      </c>
      <c r="K35" s="229" t="s">
        <v>2733</v>
      </c>
      <c r="L35" s="232">
        <v>1</v>
      </c>
      <c r="M35" s="232" t="s">
        <v>64</v>
      </c>
      <c r="N35" s="231">
        <f>H35*J35*L35</f>
        <v>100</v>
      </c>
      <c r="O35" s="231">
        <f t="shared" si="13"/>
        <v>1</v>
      </c>
      <c r="P35" s="233">
        <v>15</v>
      </c>
      <c r="Q35" s="234">
        <f>P35*J35</f>
        <v>15</v>
      </c>
      <c r="R35" s="227">
        <v>43903</v>
      </c>
      <c r="S35" s="235" t="s">
        <v>3035</v>
      </c>
      <c r="T35" s="229" t="s">
        <v>3036</v>
      </c>
      <c r="U35" s="230" t="s">
        <v>3120</v>
      </c>
      <c r="V35" s="229"/>
      <c r="W35" s="232" t="str">
        <f t="shared" si="14"/>
        <v>Yes</v>
      </c>
      <c r="X35" s="456">
        <v>1</v>
      </c>
      <c r="Y35" s="230" t="s">
        <v>3121</v>
      </c>
      <c r="Z35" s="236">
        <v>43963</v>
      </c>
      <c r="AA35" s="237"/>
      <c r="AD35" s="237"/>
      <c r="AG35" s="238">
        <f>(J35*L35)-X35-AA35-AD35</f>
        <v>0</v>
      </c>
      <c r="AH35" s="239"/>
      <c r="AI35" s="240"/>
      <c r="AJ35" s="237"/>
      <c r="AK35" s="241" t="e">
        <f t="shared" ca="1" si="15"/>
        <v>#NAME?</v>
      </c>
      <c r="AL35" s="235"/>
      <c r="AM35" s="229"/>
      <c r="AN35" s="229"/>
      <c r="AP35" s="228" t="s">
        <v>3175</v>
      </c>
      <c r="AQ35" s="228" t="s">
        <v>3123</v>
      </c>
      <c r="AR35" s="228" t="s">
        <v>3063</v>
      </c>
      <c r="AS35" s="242">
        <f t="shared" si="16"/>
        <v>15</v>
      </c>
      <c r="AT35" s="242">
        <f t="shared" si="17"/>
        <v>1.5150000000000001</v>
      </c>
      <c r="AU35" s="242">
        <v>0</v>
      </c>
      <c r="AV35" s="242">
        <v>0</v>
      </c>
      <c r="AW35" s="242">
        <f t="shared" si="18"/>
        <v>16.515000000000001</v>
      </c>
      <c r="AX35" s="237">
        <f t="shared" si="12"/>
        <v>100</v>
      </c>
      <c r="AY35" s="237" t="s">
        <v>2762</v>
      </c>
      <c r="AZ35" s="242">
        <f t="shared" si="9"/>
        <v>0.16515000000000002</v>
      </c>
      <c r="BA35" s="242" t="s">
        <v>2773</v>
      </c>
      <c r="BB35" s="237" t="s">
        <v>2733</v>
      </c>
      <c r="BC35" s="242">
        <v>100</v>
      </c>
      <c r="BD35" s="242">
        <f t="shared" si="19"/>
        <v>16.515000000000001</v>
      </c>
      <c r="BF35" s="228" t="s">
        <v>36</v>
      </c>
      <c r="BG35" s="227" t="s">
        <v>3040</v>
      </c>
    </row>
    <row r="36" spans="1:59" s="228" customFormat="1" ht="15" customHeight="1">
      <c r="A36" s="227">
        <v>43903</v>
      </c>
      <c r="B36" s="228" t="s">
        <v>3056</v>
      </c>
      <c r="C36" s="229" t="s">
        <v>3041</v>
      </c>
      <c r="D36" s="230" t="s">
        <v>3167</v>
      </c>
      <c r="E36" s="229" t="s">
        <v>3119</v>
      </c>
      <c r="F36" s="231" t="s">
        <v>2846</v>
      </c>
      <c r="G36" s="231" t="s">
        <v>2846</v>
      </c>
      <c r="H36" s="231">
        <v>100</v>
      </c>
      <c r="I36" s="229" t="s">
        <v>3034</v>
      </c>
      <c r="J36" s="229">
        <v>20</v>
      </c>
      <c r="K36" s="229" t="s">
        <v>2733</v>
      </c>
      <c r="L36" s="232">
        <v>1</v>
      </c>
      <c r="M36" s="232" t="s">
        <v>64</v>
      </c>
      <c r="N36" s="231">
        <f>H36*J36*L36</f>
        <v>2000</v>
      </c>
      <c r="O36" s="231">
        <f t="shared" si="13"/>
        <v>20</v>
      </c>
      <c r="P36" s="233">
        <v>15</v>
      </c>
      <c r="Q36" s="234">
        <f>P36*J36</f>
        <v>300</v>
      </c>
      <c r="R36" s="227">
        <v>43903</v>
      </c>
      <c r="S36" s="235" t="s">
        <v>3035</v>
      </c>
      <c r="T36" s="229" t="s">
        <v>3036</v>
      </c>
      <c r="U36" s="230" t="s">
        <v>3120</v>
      </c>
      <c r="V36" s="229"/>
      <c r="W36" s="232" t="str">
        <f t="shared" si="14"/>
        <v>Yes</v>
      </c>
      <c r="X36" s="456">
        <v>2</v>
      </c>
      <c r="Y36" s="230" t="s">
        <v>3121</v>
      </c>
      <c r="Z36" s="236">
        <v>43963</v>
      </c>
      <c r="AA36" s="237"/>
      <c r="AD36" s="237"/>
      <c r="AG36" s="238">
        <v>0</v>
      </c>
      <c r="AH36" s="239" t="s">
        <v>72</v>
      </c>
      <c r="AI36" s="240" t="s">
        <v>2762</v>
      </c>
      <c r="AJ36" s="237">
        <f>+AG36*H36/2</f>
        <v>0</v>
      </c>
      <c r="AK36" s="241" t="e">
        <f t="shared" ca="1" si="15"/>
        <v>#NAME?</v>
      </c>
      <c r="AL36" s="235" t="s">
        <v>3168</v>
      </c>
      <c r="AM36" s="229" t="s">
        <v>3084</v>
      </c>
      <c r="AN36" s="229" t="s">
        <v>3084</v>
      </c>
      <c r="AP36" s="228" t="s">
        <v>3169</v>
      </c>
      <c r="AQ36" s="228" t="s">
        <v>3123</v>
      </c>
      <c r="AR36" s="228" t="s">
        <v>3063</v>
      </c>
      <c r="AS36" s="242">
        <f t="shared" si="16"/>
        <v>300</v>
      </c>
      <c r="AT36" s="242">
        <f t="shared" si="17"/>
        <v>30.3</v>
      </c>
      <c r="AU36" s="242">
        <v>0</v>
      </c>
      <c r="AV36" s="242">
        <v>0</v>
      </c>
      <c r="AW36" s="242">
        <f t="shared" si="18"/>
        <v>330.3</v>
      </c>
      <c r="AX36" s="237">
        <f t="shared" si="12"/>
        <v>2000</v>
      </c>
      <c r="AY36" s="237" t="s">
        <v>2762</v>
      </c>
      <c r="AZ36" s="242">
        <f t="shared" si="9"/>
        <v>0.16515000000000002</v>
      </c>
      <c r="BA36" s="242" t="s">
        <v>2769</v>
      </c>
      <c r="BB36" s="237" t="s">
        <v>2733</v>
      </c>
      <c r="BC36" s="242">
        <v>100</v>
      </c>
      <c r="BD36" s="242">
        <f t="shared" si="19"/>
        <v>16.515000000000001</v>
      </c>
      <c r="BF36" s="228" t="s">
        <v>36</v>
      </c>
      <c r="BG36" s="227" t="s">
        <v>3040</v>
      </c>
    </row>
    <row r="37" spans="1:59" s="228" customFormat="1" ht="15" customHeight="1">
      <c r="A37" s="227">
        <v>43903</v>
      </c>
      <c r="B37" s="228" t="s">
        <v>3056</v>
      </c>
      <c r="C37" s="229" t="s">
        <v>3041</v>
      </c>
      <c r="D37" s="230" t="s">
        <v>3118</v>
      </c>
      <c r="E37" s="229" t="s">
        <v>3124</v>
      </c>
      <c r="F37" s="231" t="s">
        <v>2846</v>
      </c>
      <c r="G37" s="231" t="s">
        <v>2846</v>
      </c>
      <c r="H37" s="231">
        <v>100</v>
      </c>
      <c r="I37" s="229" t="s">
        <v>3034</v>
      </c>
      <c r="J37" s="229">
        <v>5</v>
      </c>
      <c r="K37" s="229" t="s">
        <v>2733</v>
      </c>
      <c r="L37" s="232">
        <v>1</v>
      </c>
      <c r="M37" s="232" t="s">
        <v>64</v>
      </c>
      <c r="N37" s="231">
        <f>H37*J37*L37</f>
        <v>500</v>
      </c>
      <c r="O37" s="231">
        <f t="shared" si="13"/>
        <v>5</v>
      </c>
      <c r="P37" s="233">
        <v>13</v>
      </c>
      <c r="Q37" s="234">
        <f>P37*J37</f>
        <v>65</v>
      </c>
      <c r="R37" s="227">
        <v>43903</v>
      </c>
      <c r="S37" s="235" t="s">
        <v>3035</v>
      </c>
      <c r="T37" s="229" t="s">
        <v>3036</v>
      </c>
      <c r="U37" s="230" t="s">
        <v>3120</v>
      </c>
      <c r="V37" s="229"/>
      <c r="W37" s="232" t="str">
        <f t="shared" si="14"/>
        <v>Yes</v>
      </c>
      <c r="X37" s="456">
        <v>5</v>
      </c>
      <c r="Y37" s="230" t="s">
        <v>3121</v>
      </c>
      <c r="Z37" s="236">
        <v>43963</v>
      </c>
      <c r="AA37" s="237"/>
      <c r="AD37" s="237"/>
      <c r="AG37" s="238">
        <f t="shared" ref="AG37:AG53" si="20">(J37*L37)-X37-AA37-AD37</f>
        <v>0</v>
      </c>
      <c r="AH37" s="239"/>
      <c r="AI37" s="240"/>
      <c r="AJ37" s="237">
        <v>0</v>
      </c>
      <c r="AK37" s="241" t="e">
        <f t="shared" ca="1" si="15"/>
        <v>#NAME?</v>
      </c>
      <c r="AL37" s="235"/>
      <c r="AM37" s="229"/>
      <c r="AN37" s="229"/>
      <c r="AP37" s="228" t="s">
        <v>3125</v>
      </c>
      <c r="AQ37" s="228" t="s">
        <v>3123</v>
      </c>
      <c r="AR37" s="228" t="s">
        <v>3063</v>
      </c>
      <c r="AS37" s="242">
        <f t="shared" si="16"/>
        <v>65</v>
      </c>
      <c r="AT37" s="242">
        <f t="shared" si="17"/>
        <v>6.5650000000000004</v>
      </c>
      <c r="AU37" s="242">
        <v>0</v>
      </c>
      <c r="AV37" s="242">
        <v>0</v>
      </c>
      <c r="AW37" s="242">
        <f t="shared" si="18"/>
        <v>71.564999999999998</v>
      </c>
      <c r="AX37" s="237">
        <f t="shared" si="12"/>
        <v>500</v>
      </c>
      <c r="AY37" s="237" t="s">
        <v>2762</v>
      </c>
      <c r="AZ37" s="242">
        <f t="shared" si="9"/>
        <v>0.14313000000000001</v>
      </c>
      <c r="BA37" s="242" t="s">
        <v>2769</v>
      </c>
      <c r="BB37" s="237" t="s">
        <v>2733</v>
      </c>
      <c r="BC37" s="242">
        <v>100</v>
      </c>
      <c r="BD37" s="242">
        <f t="shared" si="19"/>
        <v>14.313000000000001</v>
      </c>
      <c r="BF37" s="228" t="s">
        <v>36</v>
      </c>
      <c r="BG37" s="227" t="s">
        <v>3040</v>
      </c>
    </row>
    <row r="38" spans="1:59" s="228" customFormat="1" ht="15" customHeight="1">
      <c r="A38" s="227">
        <v>43903</v>
      </c>
      <c r="B38" s="228" t="s">
        <v>3056</v>
      </c>
      <c r="C38" s="229" t="s">
        <v>3031</v>
      </c>
      <c r="D38" s="230" t="s">
        <v>3092</v>
      </c>
      <c r="E38" s="229" t="s">
        <v>3093</v>
      </c>
      <c r="F38" s="231" t="s">
        <v>2846</v>
      </c>
      <c r="G38" s="231" t="s">
        <v>2846</v>
      </c>
      <c r="H38" s="231">
        <v>100</v>
      </c>
      <c r="I38" s="229" t="s">
        <v>3034</v>
      </c>
      <c r="J38" s="229">
        <v>7</v>
      </c>
      <c r="K38" s="229" t="s">
        <v>2733</v>
      </c>
      <c r="L38" s="232">
        <v>1</v>
      </c>
      <c r="M38" s="232" t="s">
        <v>64</v>
      </c>
      <c r="N38" s="231">
        <f t="shared" ref="N38:N44" si="21">L38*J38*H38</f>
        <v>700</v>
      </c>
      <c r="O38" s="231">
        <f t="shared" si="13"/>
        <v>7</v>
      </c>
      <c r="P38" s="233">
        <v>7.6</v>
      </c>
      <c r="Q38" s="234">
        <f t="shared" ref="Q38:Q44" si="22">J38*L38*P38</f>
        <v>53.199999999999996</v>
      </c>
      <c r="R38" s="227">
        <v>43903</v>
      </c>
      <c r="S38" s="235" t="s">
        <v>3035</v>
      </c>
      <c r="T38" s="229" t="s">
        <v>3036</v>
      </c>
      <c r="U38" s="230" t="s">
        <v>3094</v>
      </c>
      <c r="V38" s="229"/>
      <c r="W38" s="232" t="str">
        <f t="shared" si="14"/>
        <v>Yes</v>
      </c>
      <c r="X38" s="456">
        <v>7</v>
      </c>
      <c r="Y38" s="230" t="s">
        <v>3095</v>
      </c>
      <c r="Z38" s="236">
        <v>43915</v>
      </c>
      <c r="AA38" s="237"/>
      <c r="AB38" s="236"/>
      <c r="AC38" s="236"/>
      <c r="AD38" s="237"/>
      <c r="AE38" s="236"/>
      <c r="AF38" s="236"/>
      <c r="AG38" s="238">
        <f t="shared" si="20"/>
        <v>0</v>
      </c>
      <c r="AH38" s="239"/>
      <c r="AI38" s="240"/>
      <c r="AJ38" s="237">
        <v>0</v>
      </c>
      <c r="AK38" s="241" t="e">
        <f t="shared" ca="1" si="15"/>
        <v>#NAME?</v>
      </c>
      <c r="AL38" s="235"/>
      <c r="AM38" s="229"/>
      <c r="AN38" s="229"/>
      <c r="AP38" s="228" t="s">
        <v>3096</v>
      </c>
      <c r="AQ38" s="228" t="s">
        <v>3097</v>
      </c>
      <c r="AR38" s="228" t="s">
        <v>3063</v>
      </c>
      <c r="AS38" s="242">
        <f t="shared" si="16"/>
        <v>53.199999999999996</v>
      </c>
      <c r="AT38" s="242">
        <f t="shared" si="17"/>
        <v>5.3731999999999998</v>
      </c>
      <c r="AU38" s="242">
        <v>0</v>
      </c>
      <c r="AV38" s="242">
        <v>0</v>
      </c>
      <c r="AW38" s="242">
        <f t="shared" si="18"/>
        <v>58.573199999999993</v>
      </c>
      <c r="AX38" s="237">
        <f t="shared" si="12"/>
        <v>700</v>
      </c>
      <c r="AY38" s="237" t="s">
        <v>2762</v>
      </c>
      <c r="AZ38" s="242">
        <f t="shared" si="9"/>
        <v>8.3675999999999987E-2</v>
      </c>
      <c r="BA38" s="242" t="s">
        <v>2767</v>
      </c>
      <c r="BB38" s="237" t="s">
        <v>2733</v>
      </c>
      <c r="BC38" s="242">
        <v>100</v>
      </c>
      <c r="BD38" s="242">
        <f t="shared" si="19"/>
        <v>8.3675999999999995</v>
      </c>
      <c r="BF38" s="228" t="s">
        <v>36</v>
      </c>
      <c r="BG38" s="227" t="s">
        <v>3040</v>
      </c>
    </row>
    <row r="39" spans="1:59" s="228" customFormat="1" ht="15" customHeight="1">
      <c r="A39" s="227">
        <v>43903</v>
      </c>
      <c r="B39" s="228" t="s">
        <v>3056</v>
      </c>
      <c r="C39" s="229" t="s">
        <v>3041</v>
      </c>
      <c r="D39" s="230" t="s">
        <v>3057</v>
      </c>
      <c r="E39" s="229" t="s">
        <v>3058</v>
      </c>
      <c r="F39" s="231" t="s">
        <v>2846</v>
      </c>
      <c r="G39" s="231" t="s">
        <v>2846</v>
      </c>
      <c r="H39" s="231">
        <v>100</v>
      </c>
      <c r="I39" s="229" t="s">
        <v>3034</v>
      </c>
      <c r="J39" s="229">
        <v>10</v>
      </c>
      <c r="K39" s="229" t="s">
        <v>2733</v>
      </c>
      <c r="L39" s="232">
        <v>1</v>
      </c>
      <c r="M39" s="232" t="s">
        <v>64</v>
      </c>
      <c r="N39" s="231">
        <f t="shared" si="21"/>
        <v>1000</v>
      </c>
      <c r="O39" s="231">
        <f t="shared" si="13"/>
        <v>10</v>
      </c>
      <c r="P39" s="233">
        <v>8</v>
      </c>
      <c r="Q39" s="234">
        <f t="shared" si="22"/>
        <v>80</v>
      </c>
      <c r="R39" s="227">
        <v>43906</v>
      </c>
      <c r="S39" s="235" t="s">
        <v>3035</v>
      </c>
      <c r="T39" s="229" t="s">
        <v>3036</v>
      </c>
      <c r="U39" s="230" t="s">
        <v>3059</v>
      </c>
      <c r="V39" s="229"/>
      <c r="W39" s="232" t="str">
        <f t="shared" si="14"/>
        <v>Yes</v>
      </c>
      <c r="X39" s="456">
        <v>10</v>
      </c>
      <c r="Y39" s="230" t="s">
        <v>3060</v>
      </c>
      <c r="Z39" s="236">
        <v>43915</v>
      </c>
      <c r="AA39" s="237"/>
      <c r="AB39" s="236"/>
      <c r="AC39" s="236"/>
      <c r="AD39" s="237"/>
      <c r="AE39" s="236"/>
      <c r="AF39" s="236"/>
      <c r="AG39" s="238">
        <f t="shared" si="20"/>
        <v>0</v>
      </c>
      <c r="AH39" s="239"/>
      <c r="AI39" s="240"/>
      <c r="AJ39" s="237">
        <v>0</v>
      </c>
      <c r="AK39" s="241" t="e">
        <f t="shared" ca="1" si="15"/>
        <v>#NAME?</v>
      </c>
      <c r="AL39" s="235"/>
      <c r="AM39" s="229"/>
      <c r="AN39" s="229"/>
      <c r="AP39" s="228" t="s">
        <v>3064</v>
      </c>
      <c r="AQ39" s="228" t="s">
        <v>3062</v>
      </c>
      <c r="AR39" s="228" t="s">
        <v>3063</v>
      </c>
      <c r="AS39" s="242">
        <f t="shared" si="16"/>
        <v>80</v>
      </c>
      <c r="AT39" s="242">
        <f t="shared" si="17"/>
        <v>8.08</v>
      </c>
      <c r="AU39" s="242">
        <v>0</v>
      </c>
      <c r="AV39" s="242">
        <v>0</v>
      </c>
      <c r="AW39" s="242">
        <f t="shared" si="18"/>
        <v>88.08</v>
      </c>
      <c r="AX39" s="237">
        <f t="shared" si="12"/>
        <v>1000</v>
      </c>
      <c r="AY39" s="237" t="s">
        <v>2762</v>
      </c>
      <c r="AZ39" s="242">
        <f t="shared" si="9"/>
        <v>8.8079999999999992E-2</v>
      </c>
      <c r="BA39" s="242" t="s">
        <v>2769</v>
      </c>
      <c r="BB39" s="237" t="s">
        <v>2733</v>
      </c>
      <c r="BC39" s="242">
        <v>100</v>
      </c>
      <c r="BD39" s="242">
        <f t="shared" si="19"/>
        <v>8.8079999999999998</v>
      </c>
      <c r="BF39" s="228" t="s">
        <v>36</v>
      </c>
      <c r="BG39" s="227" t="s">
        <v>3040</v>
      </c>
    </row>
    <row r="40" spans="1:59" s="228" customFormat="1" ht="15" customHeight="1">
      <c r="A40" s="227">
        <v>43903</v>
      </c>
      <c r="B40" s="228" t="s">
        <v>3056</v>
      </c>
      <c r="C40" s="229" t="s">
        <v>3031</v>
      </c>
      <c r="D40" s="230" t="s">
        <v>3065</v>
      </c>
      <c r="E40" s="229" t="s">
        <v>3066</v>
      </c>
      <c r="F40" s="231" t="s">
        <v>2846</v>
      </c>
      <c r="G40" s="231" t="s">
        <v>2846</v>
      </c>
      <c r="H40" s="231">
        <v>100</v>
      </c>
      <c r="I40" s="229" t="s">
        <v>3034</v>
      </c>
      <c r="J40" s="229">
        <v>10</v>
      </c>
      <c r="K40" s="229" t="s">
        <v>2733</v>
      </c>
      <c r="L40" s="232">
        <v>1</v>
      </c>
      <c r="M40" s="232" t="s">
        <v>64</v>
      </c>
      <c r="N40" s="231">
        <f t="shared" si="21"/>
        <v>1000</v>
      </c>
      <c r="O40" s="231">
        <f t="shared" si="13"/>
        <v>10</v>
      </c>
      <c r="P40" s="233">
        <v>8</v>
      </c>
      <c r="Q40" s="234">
        <f t="shared" si="22"/>
        <v>80</v>
      </c>
      <c r="R40" s="227">
        <v>43906</v>
      </c>
      <c r="S40" s="235" t="s">
        <v>3035</v>
      </c>
      <c r="T40" s="229" t="s">
        <v>3036</v>
      </c>
      <c r="U40" s="230" t="s">
        <v>3059</v>
      </c>
      <c r="V40" s="229"/>
      <c r="W40" s="232" t="str">
        <f t="shared" si="14"/>
        <v>Yes</v>
      </c>
      <c r="X40" s="456">
        <v>10</v>
      </c>
      <c r="Y40" s="230" t="s">
        <v>3060</v>
      </c>
      <c r="Z40" s="236">
        <v>43915</v>
      </c>
      <c r="AA40" s="237"/>
      <c r="AB40" s="236"/>
      <c r="AC40" s="236"/>
      <c r="AD40" s="237"/>
      <c r="AE40" s="236"/>
      <c r="AF40" s="236"/>
      <c r="AG40" s="238">
        <f t="shared" si="20"/>
        <v>0</v>
      </c>
      <c r="AH40" s="239"/>
      <c r="AI40" s="240"/>
      <c r="AJ40" s="237">
        <v>0</v>
      </c>
      <c r="AK40" s="241" t="e">
        <f t="shared" ca="1" si="15"/>
        <v>#NAME?</v>
      </c>
      <c r="AL40" s="235"/>
      <c r="AM40" s="229"/>
      <c r="AN40" s="229"/>
      <c r="AP40" s="228" t="s">
        <v>3068</v>
      </c>
      <c r="AQ40" s="228" t="s">
        <v>3062</v>
      </c>
      <c r="AR40" s="228" t="s">
        <v>3063</v>
      </c>
      <c r="AS40" s="242">
        <f t="shared" si="16"/>
        <v>80</v>
      </c>
      <c r="AT40" s="242">
        <f t="shared" si="17"/>
        <v>8.08</v>
      </c>
      <c r="AU40" s="242">
        <v>0</v>
      </c>
      <c r="AV40" s="242">
        <v>0</v>
      </c>
      <c r="AW40" s="242">
        <f t="shared" si="18"/>
        <v>88.08</v>
      </c>
      <c r="AX40" s="237">
        <f t="shared" si="12"/>
        <v>1000</v>
      </c>
      <c r="AY40" s="237" t="s">
        <v>2762</v>
      </c>
      <c r="AZ40" s="242">
        <f t="shared" si="9"/>
        <v>8.8079999999999992E-2</v>
      </c>
      <c r="BA40" s="242" t="s">
        <v>2765</v>
      </c>
      <c r="BB40" s="237" t="s">
        <v>2733</v>
      </c>
      <c r="BC40" s="242">
        <v>100</v>
      </c>
      <c r="BD40" s="242">
        <f t="shared" si="19"/>
        <v>8.8079999999999998</v>
      </c>
      <c r="BF40" s="228" t="s">
        <v>36</v>
      </c>
      <c r="BG40" s="227" t="s">
        <v>3040</v>
      </c>
    </row>
    <row r="41" spans="1:59" s="228" customFormat="1" ht="15" customHeight="1">
      <c r="A41" s="227">
        <v>43903</v>
      </c>
      <c r="B41" s="228" t="s">
        <v>3056</v>
      </c>
      <c r="C41" s="229" t="s">
        <v>3069</v>
      </c>
      <c r="D41" s="230" t="s">
        <v>3070</v>
      </c>
      <c r="E41" s="229" t="s">
        <v>3071</v>
      </c>
      <c r="F41" s="231" t="s">
        <v>2846</v>
      </c>
      <c r="G41" s="231" t="s">
        <v>2846</v>
      </c>
      <c r="H41" s="231">
        <v>100</v>
      </c>
      <c r="I41" s="229" t="s">
        <v>3034</v>
      </c>
      <c r="J41" s="229">
        <v>10</v>
      </c>
      <c r="K41" s="229" t="s">
        <v>2733</v>
      </c>
      <c r="L41" s="232">
        <v>1</v>
      </c>
      <c r="M41" s="232" t="s">
        <v>64</v>
      </c>
      <c r="N41" s="231">
        <f t="shared" si="21"/>
        <v>1000</v>
      </c>
      <c r="O41" s="231">
        <f t="shared" si="13"/>
        <v>10</v>
      </c>
      <c r="P41" s="233">
        <v>10.5</v>
      </c>
      <c r="Q41" s="234">
        <f t="shared" si="22"/>
        <v>105</v>
      </c>
      <c r="R41" s="227">
        <v>43906</v>
      </c>
      <c r="S41" s="235" t="s">
        <v>3035</v>
      </c>
      <c r="T41" s="229" t="s">
        <v>3036</v>
      </c>
      <c r="U41" s="230" t="s">
        <v>3059</v>
      </c>
      <c r="V41" s="229"/>
      <c r="W41" s="232" t="str">
        <f t="shared" si="14"/>
        <v>Yes</v>
      </c>
      <c r="X41" s="456">
        <v>10</v>
      </c>
      <c r="Y41" s="230" t="s">
        <v>3060</v>
      </c>
      <c r="Z41" s="236">
        <v>43915</v>
      </c>
      <c r="AA41" s="237"/>
      <c r="AB41" s="236"/>
      <c r="AC41" s="236"/>
      <c r="AD41" s="237"/>
      <c r="AE41" s="236"/>
      <c r="AF41" s="236"/>
      <c r="AG41" s="238">
        <f t="shared" si="20"/>
        <v>0</v>
      </c>
      <c r="AH41" s="239"/>
      <c r="AI41" s="240"/>
      <c r="AJ41" s="237">
        <v>0</v>
      </c>
      <c r="AK41" s="241" t="e">
        <f t="shared" ca="1" si="15"/>
        <v>#NAME?</v>
      </c>
      <c r="AL41" s="235"/>
      <c r="AM41" s="229"/>
      <c r="AN41" s="229"/>
      <c r="AP41" s="228" t="s">
        <v>3072</v>
      </c>
      <c r="AQ41" s="228" t="s">
        <v>3062</v>
      </c>
      <c r="AR41" s="228" t="s">
        <v>3063</v>
      </c>
      <c r="AS41" s="242">
        <f t="shared" si="16"/>
        <v>105</v>
      </c>
      <c r="AT41" s="242">
        <f t="shared" si="17"/>
        <v>10.605</v>
      </c>
      <c r="AU41" s="242">
        <v>0</v>
      </c>
      <c r="AV41" s="242">
        <v>0</v>
      </c>
      <c r="AW41" s="242">
        <f t="shared" si="18"/>
        <v>115.605</v>
      </c>
      <c r="AX41" s="237">
        <f t="shared" si="12"/>
        <v>1000</v>
      </c>
      <c r="AY41" s="237" t="s">
        <v>2762</v>
      </c>
      <c r="AZ41" s="242">
        <f t="shared" si="9"/>
        <v>0.115605</v>
      </c>
      <c r="BA41" s="242" t="s">
        <v>2760</v>
      </c>
      <c r="BB41" s="237" t="s">
        <v>2733</v>
      </c>
      <c r="BC41" s="242">
        <v>100</v>
      </c>
      <c r="BD41" s="242">
        <f t="shared" si="19"/>
        <v>11.560499999999999</v>
      </c>
      <c r="BF41" s="228" t="s">
        <v>36</v>
      </c>
      <c r="BG41" s="227" t="s">
        <v>3040</v>
      </c>
    </row>
    <row r="42" spans="1:59" s="228" customFormat="1" ht="15" customHeight="1">
      <c r="A42" s="227">
        <v>43903</v>
      </c>
      <c r="B42" s="228" t="s">
        <v>3056</v>
      </c>
      <c r="C42" s="229" t="s">
        <v>3069</v>
      </c>
      <c r="D42" s="230" t="s">
        <v>3070</v>
      </c>
      <c r="E42" s="229" t="s">
        <v>3071</v>
      </c>
      <c r="F42" s="231" t="s">
        <v>2846</v>
      </c>
      <c r="G42" s="231" t="s">
        <v>2846</v>
      </c>
      <c r="H42" s="231">
        <v>100</v>
      </c>
      <c r="I42" s="229" t="s">
        <v>3034</v>
      </c>
      <c r="J42" s="229">
        <v>10</v>
      </c>
      <c r="K42" s="229" t="s">
        <v>2733</v>
      </c>
      <c r="L42" s="232">
        <v>1</v>
      </c>
      <c r="M42" s="232" t="s">
        <v>64</v>
      </c>
      <c r="N42" s="231">
        <f t="shared" si="21"/>
        <v>1000</v>
      </c>
      <c r="O42" s="231">
        <f t="shared" si="13"/>
        <v>10</v>
      </c>
      <c r="P42" s="233">
        <v>8</v>
      </c>
      <c r="Q42" s="234">
        <f t="shared" si="22"/>
        <v>80</v>
      </c>
      <c r="R42" s="227">
        <v>43906</v>
      </c>
      <c r="S42" s="235" t="s">
        <v>3035</v>
      </c>
      <c r="T42" s="229" t="s">
        <v>3036</v>
      </c>
      <c r="U42" s="230" t="s">
        <v>3059</v>
      </c>
      <c r="V42" s="229"/>
      <c r="W42" s="232" t="str">
        <f t="shared" si="14"/>
        <v>Yes</v>
      </c>
      <c r="X42" s="456">
        <v>10</v>
      </c>
      <c r="Y42" s="230" t="s">
        <v>3060</v>
      </c>
      <c r="Z42" s="236">
        <v>43915</v>
      </c>
      <c r="AA42" s="237"/>
      <c r="AB42" s="236"/>
      <c r="AC42" s="236"/>
      <c r="AD42" s="237"/>
      <c r="AE42" s="236"/>
      <c r="AF42" s="236"/>
      <c r="AG42" s="238">
        <f t="shared" si="20"/>
        <v>0</v>
      </c>
      <c r="AH42" s="239"/>
      <c r="AI42" s="240"/>
      <c r="AJ42" s="237">
        <v>0</v>
      </c>
      <c r="AK42" s="241" t="e">
        <f t="shared" ca="1" si="15"/>
        <v>#NAME?</v>
      </c>
      <c r="AL42" s="235"/>
      <c r="AM42" s="229"/>
      <c r="AN42" s="229"/>
      <c r="AP42" s="228" t="s">
        <v>3073</v>
      </c>
      <c r="AQ42" s="228" t="s">
        <v>3062</v>
      </c>
      <c r="AR42" s="228" t="s">
        <v>3063</v>
      </c>
      <c r="AS42" s="242">
        <f t="shared" si="16"/>
        <v>80</v>
      </c>
      <c r="AT42" s="242">
        <f t="shared" si="17"/>
        <v>8.08</v>
      </c>
      <c r="AU42" s="242">
        <v>0</v>
      </c>
      <c r="AV42" s="242">
        <v>0</v>
      </c>
      <c r="AW42" s="242">
        <f t="shared" si="18"/>
        <v>88.08</v>
      </c>
      <c r="AX42" s="237">
        <f t="shared" si="12"/>
        <v>1000</v>
      </c>
      <c r="AY42" s="237" t="s">
        <v>2762</v>
      </c>
      <c r="AZ42" s="242">
        <f t="shared" si="9"/>
        <v>8.8079999999999992E-2</v>
      </c>
      <c r="BA42" s="242" t="s">
        <v>2760</v>
      </c>
      <c r="BB42" s="237" t="s">
        <v>2733</v>
      </c>
      <c r="BC42" s="242">
        <v>100</v>
      </c>
      <c r="BD42" s="242">
        <f t="shared" si="19"/>
        <v>8.8079999999999998</v>
      </c>
      <c r="BF42" s="228" t="s">
        <v>36</v>
      </c>
      <c r="BG42" s="227" t="s">
        <v>3040</v>
      </c>
    </row>
    <row r="43" spans="1:59" s="228" customFormat="1" ht="15" customHeight="1">
      <c r="A43" s="227">
        <v>43903</v>
      </c>
      <c r="B43" s="228" t="s">
        <v>3056</v>
      </c>
      <c r="C43" s="229" t="s">
        <v>3069</v>
      </c>
      <c r="D43" s="230" t="s">
        <v>3098</v>
      </c>
      <c r="E43" s="229" t="s">
        <v>3099</v>
      </c>
      <c r="F43" s="231" t="s">
        <v>2846</v>
      </c>
      <c r="G43" s="231" t="s">
        <v>2846</v>
      </c>
      <c r="H43" s="231">
        <v>100</v>
      </c>
      <c r="I43" s="229" t="s">
        <v>3034</v>
      </c>
      <c r="J43" s="229">
        <v>10</v>
      </c>
      <c r="K43" s="229" t="s">
        <v>2733</v>
      </c>
      <c r="L43" s="232">
        <v>1</v>
      </c>
      <c r="M43" s="232" t="s">
        <v>64</v>
      </c>
      <c r="N43" s="231">
        <f t="shared" si="21"/>
        <v>1000</v>
      </c>
      <c r="O43" s="231">
        <f t="shared" si="13"/>
        <v>10</v>
      </c>
      <c r="P43" s="233">
        <v>7.6</v>
      </c>
      <c r="Q43" s="234">
        <f t="shared" si="22"/>
        <v>76</v>
      </c>
      <c r="R43" s="227">
        <v>43903</v>
      </c>
      <c r="S43" s="235" t="s">
        <v>3035</v>
      </c>
      <c r="T43" s="229" t="s">
        <v>3036</v>
      </c>
      <c r="U43" s="230" t="s">
        <v>3094</v>
      </c>
      <c r="V43" s="229"/>
      <c r="W43" s="232" t="str">
        <f t="shared" si="14"/>
        <v>Yes</v>
      </c>
      <c r="X43" s="456">
        <v>10</v>
      </c>
      <c r="Y43" s="230" t="s">
        <v>3095</v>
      </c>
      <c r="Z43" s="236">
        <v>43915</v>
      </c>
      <c r="AA43" s="237"/>
      <c r="AB43" s="236"/>
      <c r="AC43" s="236"/>
      <c r="AD43" s="237"/>
      <c r="AE43" s="236"/>
      <c r="AF43" s="236"/>
      <c r="AG43" s="238">
        <f t="shared" si="20"/>
        <v>0</v>
      </c>
      <c r="AH43" s="239"/>
      <c r="AI43" s="240"/>
      <c r="AJ43" s="237">
        <v>0</v>
      </c>
      <c r="AK43" s="241" t="e">
        <f t="shared" ca="1" si="15"/>
        <v>#NAME?</v>
      </c>
      <c r="AL43" s="235"/>
      <c r="AM43" s="229"/>
      <c r="AN43" s="229"/>
      <c r="AP43" s="228" t="s">
        <v>3100</v>
      </c>
      <c r="AQ43" s="228" t="s">
        <v>3097</v>
      </c>
      <c r="AR43" s="228" t="s">
        <v>3063</v>
      </c>
      <c r="AS43" s="242">
        <f t="shared" si="16"/>
        <v>76</v>
      </c>
      <c r="AT43" s="242">
        <f t="shared" si="17"/>
        <v>7.6760000000000002</v>
      </c>
      <c r="AU43" s="242">
        <v>0</v>
      </c>
      <c r="AV43" s="242">
        <v>0</v>
      </c>
      <c r="AW43" s="242">
        <f t="shared" si="18"/>
        <v>83.676000000000002</v>
      </c>
      <c r="AX43" s="237">
        <f t="shared" si="12"/>
        <v>1000</v>
      </c>
      <c r="AY43" s="237" t="s">
        <v>2762</v>
      </c>
      <c r="AZ43" s="242">
        <f t="shared" ref="AZ43:AZ74" si="23">+AW43/AX43</f>
        <v>8.3676E-2</v>
      </c>
      <c r="BA43" s="242" t="s">
        <v>2763</v>
      </c>
      <c r="BB43" s="237" t="s">
        <v>2733</v>
      </c>
      <c r="BC43" s="242">
        <v>100</v>
      </c>
      <c r="BD43" s="242">
        <f t="shared" si="19"/>
        <v>8.3675999999999995</v>
      </c>
      <c r="BF43" s="228" t="s">
        <v>36</v>
      </c>
      <c r="BG43" s="227" t="s">
        <v>3040</v>
      </c>
    </row>
    <row r="44" spans="1:59" s="228" customFormat="1" ht="15" customHeight="1">
      <c r="A44" s="227">
        <v>43903</v>
      </c>
      <c r="B44" s="228" t="s">
        <v>3056</v>
      </c>
      <c r="C44" s="229" t="s">
        <v>3045</v>
      </c>
      <c r="D44" s="230" t="s">
        <v>3074</v>
      </c>
      <c r="E44" s="229" t="s">
        <v>3075</v>
      </c>
      <c r="F44" s="231" t="s">
        <v>2846</v>
      </c>
      <c r="G44" s="231" t="s">
        <v>2846</v>
      </c>
      <c r="H44" s="231">
        <v>100</v>
      </c>
      <c r="I44" s="229" t="s">
        <v>3034</v>
      </c>
      <c r="J44" s="229">
        <v>10</v>
      </c>
      <c r="K44" s="229" t="s">
        <v>2733</v>
      </c>
      <c r="L44" s="232">
        <v>1</v>
      </c>
      <c r="M44" s="232" t="s">
        <v>64</v>
      </c>
      <c r="N44" s="231">
        <f t="shared" si="21"/>
        <v>1000</v>
      </c>
      <c r="O44" s="231">
        <f t="shared" si="13"/>
        <v>10</v>
      </c>
      <c r="P44" s="233">
        <v>8</v>
      </c>
      <c r="Q44" s="234">
        <f t="shared" si="22"/>
        <v>80</v>
      </c>
      <c r="R44" s="227">
        <v>43906</v>
      </c>
      <c r="S44" s="235" t="s">
        <v>3035</v>
      </c>
      <c r="T44" s="229" t="s">
        <v>3036</v>
      </c>
      <c r="U44" s="230" t="s">
        <v>3059</v>
      </c>
      <c r="V44" s="229"/>
      <c r="W44" s="232" t="str">
        <f t="shared" si="14"/>
        <v>Yes</v>
      </c>
      <c r="X44" s="456">
        <v>10</v>
      </c>
      <c r="Y44" s="230"/>
      <c r="AA44" s="237"/>
      <c r="AD44" s="237"/>
      <c r="AG44" s="238">
        <f t="shared" si="20"/>
        <v>0</v>
      </c>
      <c r="AH44" s="239"/>
      <c r="AI44" s="240"/>
      <c r="AJ44" s="237">
        <v>0</v>
      </c>
      <c r="AK44" s="241" t="e">
        <f t="shared" ca="1" si="15"/>
        <v>#NAME?</v>
      </c>
      <c r="AL44" s="235"/>
      <c r="AM44" s="229"/>
      <c r="AN44" s="229"/>
      <c r="AP44" s="228" t="s">
        <v>3077</v>
      </c>
      <c r="AR44" s="228" t="s">
        <v>3063</v>
      </c>
      <c r="AS44" s="242">
        <f t="shared" si="16"/>
        <v>80</v>
      </c>
      <c r="AT44" s="242">
        <f t="shared" si="17"/>
        <v>8.08</v>
      </c>
      <c r="AU44" s="242">
        <v>0</v>
      </c>
      <c r="AV44" s="242">
        <v>0</v>
      </c>
      <c r="AW44" s="242">
        <f t="shared" si="18"/>
        <v>88.08</v>
      </c>
      <c r="AX44" s="237">
        <f t="shared" si="12"/>
        <v>1000</v>
      </c>
      <c r="AY44" s="237" t="s">
        <v>2762</v>
      </c>
      <c r="AZ44" s="242">
        <f t="shared" si="23"/>
        <v>8.8079999999999992E-2</v>
      </c>
      <c r="BA44" s="242" t="s">
        <v>2773</v>
      </c>
      <c r="BB44" s="237" t="s">
        <v>2733</v>
      </c>
      <c r="BC44" s="242">
        <v>100</v>
      </c>
      <c r="BD44" s="242">
        <f t="shared" si="19"/>
        <v>8.8079999999999998</v>
      </c>
      <c r="BF44" s="228" t="s">
        <v>36</v>
      </c>
      <c r="BG44" s="227" t="s">
        <v>3040</v>
      </c>
    </row>
    <row r="45" spans="1:59" s="228" customFormat="1" ht="15" customHeight="1">
      <c r="A45" s="227">
        <v>43903</v>
      </c>
      <c r="B45" s="228" t="s">
        <v>3056</v>
      </c>
      <c r="C45" s="229" t="s">
        <v>3031</v>
      </c>
      <c r="D45" s="230" t="s">
        <v>3126</v>
      </c>
      <c r="E45" s="229" t="s">
        <v>3127</v>
      </c>
      <c r="F45" s="231" t="s">
        <v>2846</v>
      </c>
      <c r="G45" s="231" t="s">
        <v>2846</v>
      </c>
      <c r="H45" s="231">
        <v>100</v>
      </c>
      <c r="I45" s="229" t="s">
        <v>3034</v>
      </c>
      <c r="J45" s="229">
        <v>11</v>
      </c>
      <c r="K45" s="229" t="s">
        <v>2733</v>
      </c>
      <c r="L45" s="232">
        <v>1</v>
      </c>
      <c r="M45" s="232" t="s">
        <v>64</v>
      </c>
      <c r="N45" s="231">
        <f t="shared" ref="N45:N53" si="24">H45*J45*L45</f>
        <v>1100</v>
      </c>
      <c r="O45" s="231">
        <f t="shared" si="13"/>
        <v>11</v>
      </c>
      <c r="P45" s="233">
        <v>13</v>
      </c>
      <c r="Q45" s="234">
        <f>P45*J45</f>
        <v>143</v>
      </c>
      <c r="R45" s="227">
        <v>43903</v>
      </c>
      <c r="S45" s="235" t="s">
        <v>3035</v>
      </c>
      <c r="T45" s="229" t="s">
        <v>3036</v>
      </c>
      <c r="U45" s="230" t="s">
        <v>3120</v>
      </c>
      <c r="V45" s="229"/>
      <c r="W45" s="232" t="str">
        <f t="shared" si="14"/>
        <v>Yes</v>
      </c>
      <c r="X45" s="456">
        <v>11</v>
      </c>
      <c r="Y45" s="230" t="s">
        <v>3121</v>
      </c>
      <c r="Z45" s="236">
        <v>43963</v>
      </c>
      <c r="AA45" s="237"/>
      <c r="AD45" s="237"/>
      <c r="AG45" s="238">
        <f t="shared" si="20"/>
        <v>0</v>
      </c>
      <c r="AH45" s="239"/>
      <c r="AI45" s="240"/>
      <c r="AJ45" s="237">
        <v>0</v>
      </c>
      <c r="AK45" s="241" t="e">
        <f t="shared" ca="1" si="15"/>
        <v>#NAME?</v>
      </c>
      <c r="AL45" s="235"/>
      <c r="AM45" s="229"/>
      <c r="AN45" s="229"/>
      <c r="AP45" s="228" t="s">
        <v>3128</v>
      </c>
      <c r="AQ45" s="228" t="s">
        <v>3123</v>
      </c>
      <c r="AR45" s="228" t="s">
        <v>3063</v>
      </c>
      <c r="AS45" s="242">
        <f t="shared" si="16"/>
        <v>143</v>
      </c>
      <c r="AT45" s="242">
        <f t="shared" si="17"/>
        <v>14.443000000000001</v>
      </c>
      <c r="AU45" s="242">
        <v>0</v>
      </c>
      <c r="AV45" s="242">
        <v>0</v>
      </c>
      <c r="AW45" s="242">
        <f t="shared" si="18"/>
        <v>157.44300000000001</v>
      </c>
      <c r="AX45" s="237">
        <f t="shared" si="12"/>
        <v>1100</v>
      </c>
      <c r="AY45" s="237" t="s">
        <v>2762</v>
      </c>
      <c r="AZ45" s="242">
        <f t="shared" si="23"/>
        <v>0.14313000000000001</v>
      </c>
      <c r="BA45" s="242" t="s">
        <v>2765</v>
      </c>
      <c r="BB45" s="237" t="s">
        <v>2733</v>
      </c>
      <c r="BC45" s="242">
        <v>100</v>
      </c>
      <c r="BD45" s="242">
        <f t="shared" si="19"/>
        <v>14.313000000000001</v>
      </c>
      <c r="BF45" s="228" t="s">
        <v>36</v>
      </c>
      <c r="BG45" s="227" t="s">
        <v>3040</v>
      </c>
    </row>
    <row r="46" spans="1:59" s="228" customFormat="1" ht="15" customHeight="1">
      <c r="A46" s="227">
        <v>43903</v>
      </c>
      <c r="B46" s="228" t="s">
        <v>3056</v>
      </c>
      <c r="C46" s="229" t="s">
        <v>3045</v>
      </c>
      <c r="D46" s="230" t="s">
        <v>3176</v>
      </c>
      <c r="E46" s="229" t="s">
        <v>3174</v>
      </c>
      <c r="F46" s="231" t="s">
        <v>2846</v>
      </c>
      <c r="G46" s="231" t="s">
        <v>2846</v>
      </c>
      <c r="H46" s="231">
        <v>100</v>
      </c>
      <c r="I46" s="229" t="s">
        <v>3034</v>
      </c>
      <c r="J46" s="229">
        <v>14</v>
      </c>
      <c r="K46" s="229" t="s">
        <v>2733</v>
      </c>
      <c r="L46" s="232">
        <v>1</v>
      </c>
      <c r="M46" s="232" t="s">
        <v>64</v>
      </c>
      <c r="N46" s="231">
        <f t="shared" si="24"/>
        <v>1400</v>
      </c>
      <c r="O46" s="231">
        <f t="shared" si="13"/>
        <v>14</v>
      </c>
      <c r="P46" s="233">
        <v>15</v>
      </c>
      <c r="Q46" s="234">
        <f>J46*P46</f>
        <v>210</v>
      </c>
      <c r="R46" s="227">
        <v>43903</v>
      </c>
      <c r="S46" s="235" t="s">
        <v>3035</v>
      </c>
      <c r="T46" s="229" t="s">
        <v>3036</v>
      </c>
      <c r="U46" s="230" t="s">
        <v>3120</v>
      </c>
      <c r="V46" s="229"/>
      <c r="W46" s="232" t="str">
        <f t="shared" si="14"/>
        <v>Yes</v>
      </c>
      <c r="X46" s="456">
        <v>14</v>
      </c>
      <c r="Y46" s="230" t="s">
        <v>3121</v>
      </c>
      <c r="Z46" s="236">
        <v>43963</v>
      </c>
      <c r="AA46" s="237"/>
      <c r="AD46" s="237"/>
      <c r="AG46" s="238">
        <f t="shared" si="20"/>
        <v>0</v>
      </c>
      <c r="AH46" s="239"/>
      <c r="AI46" s="240"/>
      <c r="AJ46" s="237"/>
      <c r="AK46" s="241" t="e">
        <f t="shared" ca="1" si="15"/>
        <v>#NAME?</v>
      </c>
      <c r="AL46" s="235"/>
      <c r="AM46" s="229"/>
      <c r="AN46" s="229"/>
      <c r="AP46" s="228" t="s">
        <v>3180</v>
      </c>
      <c r="AQ46" s="228" t="s">
        <v>3123</v>
      </c>
      <c r="AR46" s="228" t="s">
        <v>3063</v>
      </c>
      <c r="AS46" s="242">
        <f t="shared" si="16"/>
        <v>210</v>
      </c>
      <c r="AT46" s="242">
        <f t="shared" si="17"/>
        <v>21.21</v>
      </c>
      <c r="AU46" s="242">
        <v>0</v>
      </c>
      <c r="AV46" s="242">
        <v>0</v>
      </c>
      <c r="AW46" s="242">
        <f t="shared" si="18"/>
        <v>231.21</v>
      </c>
      <c r="AX46" s="237">
        <f t="shared" si="12"/>
        <v>1400</v>
      </c>
      <c r="AY46" s="237" t="s">
        <v>2762</v>
      </c>
      <c r="AZ46" s="242">
        <f t="shared" si="23"/>
        <v>0.16515000000000002</v>
      </c>
      <c r="BA46" s="242" t="s">
        <v>2773</v>
      </c>
      <c r="BB46" s="237" t="s">
        <v>2733</v>
      </c>
      <c r="BC46" s="242">
        <v>100</v>
      </c>
      <c r="BD46" s="242">
        <f t="shared" si="19"/>
        <v>16.515000000000001</v>
      </c>
      <c r="BF46" s="228" t="s">
        <v>36</v>
      </c>
      <c r="BG46" s="227" t="s">
        <v>3040</v>
      </c>
    </row>
    <row r="47" spans="1:59" s="228" customFormat="1" ht="15" customHeight="1">
      <c r="A47" s="227">
        <v>43903</v>
      </c>
      <c r="B47" s="228" t="s">
        <v>3056</v>
      </c>
      <c r="C47" s="229" t="s">
        <v>3041</v>
      </c>
      <c r="D47" s="230" t="s">
        <v>3118</v>
      </c>
      <c r="E47" s="229" t="s">
        <v>3119</v>
      </c>
      <c r="F47" s="231" t="s">
        <v>2846</v>
      </c>
      <c r="G47" s="231" t="s">
        <v>2846</v>
      </c>
      <c r="H47" s="231">
        <v>100</v>
      </c>
      <c r="I47" s="229" t="s">
        <v>3034</v>
      </c>
      <c r="J47" s="229">
        <v>15</v>
      </c>
      <c r="K47" s="229" t="s">
        <v>2733</v>
      </c>
      <c r="L47" s="232">
        <v>1</v>
      </c>
      <c r="M47" s="232" t="s">
        <v>64</v>
      </c>
      <c r="N47" s="231">
        <f t="shared" si="24"/>
        <v>1500</v>
      </c>
      <c r="O47" s="231">
        <f t="shared" si="13"/>
        <v>15</v>
      </c>
      <c r="P47" s="233">
        <v>15</v>
      </c>
      <c r="Q47" s="234">
        <f>P47*J47</f>
        <v>225</v>
      </c>
      <c r="R47" s="227">
        <v>43903</v>
      </c>
      <c r="S47" s="235" t="s">
        <v>3035</v>
      </c>
      <c r="T47" s="229" t="s">
        <v>3036</v>
      </c>
      <c r="U47" s="230" t="s">
        <v>3120</v>
      </c>
      <c r="V47" s="229"/>
      <c r="W47" s="232" t="str">
        <f t="shared" si="14"/>
        <v>Yes</v>
      </c>
      <c r="X47" s="456">
        <v>15</v>
      </c>
      <c r="Y47" s="230" t="s">
        <v>3121</v>
      </c>
      <c r="Z47" s="236">
        <v>43963</v>
      </c>
      <c r="AA47" s="237"/>
      <c r="AD47" s="237"/>
      <c r="AG47" s="238">
        <f t="shared" si="20"/>
        <v>0</v>
      </c>
      <c r="AH47" s="239"/>
      <c r="AI47" s="240"/>
      <c r="AJ47" s="237">
        <v>0</v>
      </c>
      <c r="AK47" s="241" t="e">
        <f t="shared" ca="1" si="15"/>
        <v>#NAME?</v>
      </c>
      <c r="AL47" s="235"/>
      <c r="AM47" s="229"/>
      <c r="AN47" s="229"/>
      <c r="AP47" s="228" t="s">
        <v>3122</v>
      </c>
      <c r="AQ47" s="228" t="s">
        <v>3123</v>
      </c>
      <c r="AR47" s="228" t="s">
        <v>3063</v>
      </c>
      <c r="AS47" s="242">
        <f t="shared" si="16"/>
        <v>225</v>
      </c>
      <c r="AT47" s="242">
        <f t="shared" si="17"/>
        <v>22.725000000000001</v>
      </c>
      <c r="AU47" s="242">
        <v>0</v>
      </c>
      <c r="AV47" s="242">
        <v>0</v>
      </c>
      <c r="AW47" s="242">
        <f t="shared" si="18"/>
        <v>247.72499999999999</v>
      </c>
      <c r="AX47" s="237">
        <f t="shared" si="12"/>
        <v>1500</v>
      </c>
      <c r="AY47" s="237" t="s">
        <v>2762</v>
      </c>
      <c r="AZ47" s="242">
        <f t="shared" si="23"/>
        <v>0.16514999999999999</v>
      </c>
      <c r="BA47" s="242" t="s">
        <v>2769</v>
      </c>
      <c r="BB47" s="237" t="s">
        <v>2733</v>
      </c>
      <c r="BC47" s="242">
        <v>100</v>
      </c>
      <c r="BD47" s="242">
        <f t="shared" si="19"/>
        <v>16.515000000000001</v>
      </c>
      <c r="BF47" s="228" t="s">
        <v>36</v>
      </c>
      <c r="BG47" s="227" t="s">
        <v>3040</v>
      </c>
    </row>
    <row r="48" spans="1:59" s="228" customFormat="1" ht="15" customHeight="1">
      <c r="A48" s="227">
        <v>43903</v>
      </c>
      <c r="B48" s="228" t="s">
        <v>3056</v>
      </c>
      <c r="C48" s="229" t="s">
        <v>3031</v>
      </c>
      <c r="D48" s="230" t="s">
        <v>3163</v>
      </c>
      <c r="E48" s="229" t="s">
        <v>3164</v>
      </c>
      <c r="F48" s="231" t="s">
        <v>2846</v>
      </c>
      <c r="G48" s="231" t="s">
        <v>2846</v>
      </c>
      <c r="H48" s="231">
        <v>50</v>
      </c>
      <c r="I48" s="229" t="s">
        <v>3034</v>
      </c>
      <c r="J48" s="229">
        <v>15</v>
      </c>
      <c r="K48" s="229" t="s">
        <v>2733</v>
      </c>
      <c r="L48" s="232">
        <v>1</v>
      </c>
      <c r="M48" s="232" t="s">
        <v>64</v>
      </c>
      <c r="N48" s="231">
        <f t="shared" si="24"/>
        <v>750</v>
      </c>
      <c r="O48" s="231">
        <f t="shared" si="13"/>
        <v>15</v>
      </c>
      <c r="P48" s="233">
        <v>15</v>
      </c>
      <c r="Q48" s="234">
        <f>P48*J48</f>
        <v>225</v>
      </c>
      <c r="R48" s="227">
        <v>43903</v>
      </c>
      <c r="S48" s="235" t="s">
        <v>3035</v>
      </c>
      <c r="T48" s="229" t="s">
        <v>3036</v>
      </c>
      <c r="U48" s="230" t="s">
        <v>3120</v>
      </c>
      <c r="V48" s="229"/>
      <c r="W48" s="232" t="str">
        <f t="shared" si="14"/>
        <v>Yes</v>
      </c>
      <c r="X48" s="456">
        <v>15</v>
      </c>
      <c r="Y48" s="230" t="s">
        <v>3121</v>
      </c>
      <c r="Z48" s="236">
        <v>43963</v>
      </c>
      <c r="AA48" s="237"/>
      <c r="AD48" s="237"/>
      <c r="AG48" s="238">
        <f t="shared" si="20"/>
        <v>0</v>
      </c>
      <c r="AH48" s="239"/>
      <c r="AI48" s="240"/>
      <c r="AJ48" s="237">
        <v>0</v>
      </c>
      <c r="AK48" s="241" t="e">
        <f t="shared" ca="1" si="15"/>
        <v>#NAME?</v>
      </c>
      <c r="AL48" s="235"/>
      <c r="AM48" s="229"/>
      <c r="AN48" s="229"/>
      <c r="AP48" s="228" t="s">
        <v>3166</v>
      </c>
      <c r="AQ48" s="228" t="s">
        <v>3123</v>
      </c>
      <c r="AR48" s="228" t="s">
        <v>3063</v>
      </c>
      <c r="AS48" s="242">
        <f t="shared" si="16"/>
        <v>225</v>
      </c>
      <c r="AT48" s="242">
        <f t="shared" si="17"/>
        <v>22.725000000000001</v>
      </c>
      <c r="AU48" s="242">
        <v>0</v>
      </c>
      <c r="AV48" s="242">
        <v>0</v>
      </c>
      <c r="AW48" s="242">
        <f t="shared" si="18"/>
        <v>247.72499999999999</v>
      </c>
      <c r="AX48" s="237">
        <f t="shared" si="12"/>
        <v>750</v>
      </c>
      <c r="AY48" s="237" t="s">
        <v>2762</v>
      </c>
      <c r="AZ48" s="242">
        <f t="shared" si="23"/>
        <v>0.33029999999999998</v>
      </c>
      <c r="BA48" s="242" t="s">
        <v>2765</v>
      </c>
      <c r="BB48" s="237" t="s">
        <v>2733</v>
      </c>
      <c r="BC48" s="242">
        <v>100</v>
      </c>
      <c r="BD48" s="242">
        <f t="shared" si="19"/>
        <v>33.03</v>
      </c>
      <c r="BF48" s="228" t="s">
        <v>36</v>
      </c>
      <c r="BG48" s="227" t="s">
        <v>3040</v>
      </c>
    </row>
    <row r="49" spans="1:59" s="228" customFormat="1" ht="15" customHeight="1">
      <c r="A49" s="227">
        <v>43903</v>
      </c>
      <c r="B49" s="228" t="s">
        <v>3056</v>
      </c>
      <c r="C49" s="229" t="s">
        <v>3045</v>
      </c>
      <c r="D49" s="230" t="s">
        <v>3181</v>
      </c>
      <c r="E49" s="229" t="s">
        <v>3182</v>
      </c>
      <c r="F49" s="231" t="s">
        <v>2846</v>
      </c>
      <c r="G49" s="231" t="s">
        <v>2846</v>
      </c>
      <c r="H49" s="231">
        <v>100</v>
      </c>
      <c r="I49" s="229" t="s">
        <v>3034</v>
      </c>
      <c r="J49" s="229">
        <v>18</v>
      </c>
      <c r="K49" s="229" t="s">
        <v>2733</v>
      </c>
      <c r="L49" s="232">
        <v>1</v>
      </c>
      <c r="M49" s="232" t="s">
        <v>64</v>
      </c>
      <c r="N49" s="231">
        <f t="shared" si="24"/>
        <v>1800</v>
      </c>
      <c r="O49" s="231">
        <f t="shared" si="13"/>
        <v>18</v>
      </c>
      <c r="P49" s="233">
        <v>13</v>
      </c>
      <c r="Q49" s="234">
        <f>P49*J49</f>
        <v>234</v>
      </c>
      <c r="R49" s="227">
        <v>43903</v>
      </c>
      <c r="S49" s="235" t="s">
        <v>3035</v>
      </c>
      <c r="T49" s="229" t="s">
        <v>3036</v>
      </c>
      <c r="U49" s="230" t="s">
        <v>3120</v>
      </c>
      <c r="V49" s="229"/>
      <c r="W49" s="232" t="str">
        <f t="shared" si="14"/>
        <v>Yes</v>
      </c>
      <c r="X49" s="456">
        <v>18</v>
      </c>
      <c r="Y49" s="230" t="s">
        <v>3121</v>
      </c>
      <c r="Z49" s="236">
        <v>43963</v>
      </c>
      <c r="AA49" s="237"/>
      <c r="AD49" s="237"/>
      <c r="AG49" s="238">
        <f t="shared" si="20"/>
        <v>0</v>
      </c>
      <c r="AH49" s="239"/>
      <c r="AI49" s="240"/>
      <c r="AJ49" s="237"/>
      <c r="AK49" s="241" t="e">
        <f t="shared" ca="1" si="15"/>
        <v>#NAME?</v>
      </c>
      <c r="AL49" s="235"/>
      <c r="AM49" s="229"/>
      <c r="AN49" s="229"/>
      <c r="AP49" s="228" t="s">
        <v>3183</v>
      </c>
      <c r="AQ49" s="228" t="s">
        <v>3123</v>
      </c>
      <c r="AR49" s="228" t="s">
        <v>3063</v>
      </c>
      <c r="AS49" s="242">
        <f t="shared" si="16"/>
        <v>234</v>
      </c>
      <c r="AT49" s="242">
        <f t="shared" si="17"/>
        <v>23.634</v>
      </c>
      <c r="AU49" s="242">
        <v>0</v>
      </c>
      <c r="AV49" s="242">
        <v>0</v>
      </c>
      <c r="AW49" s="242">
        <f t="shared" si="18"/>
        <v>257.63400000000001</v>
      </c>
      <c r="AX49" s="237">
        <f t="shared" si="12"/>
        <v>1800</v>
      </c>
      <c r="AY49" s="237" t="s">
        <v>2762</v>
      </c>
      <c r="AZ49" s="242">
        <f t="shared" si="23"/>
        <v>0.14313000000000001</v>
      </c>
      <c r="BA49" s="242" t="s">
        <v>2773</v>
      </c>
      <c r="BB49" s="237" t="s">
        <v>2733</v>
      </c>
      <c r="BC49" s="242">
        <v>100</v>
      </c>
      <c r="BD49" s="242">
        <f t="shared" si="19"/>
        <v>14.313000000000001</v>
      </c>
      <c r="BF49" s="228" t="s">
        <v>36</v>
      </c>
      <c r="BG49" s="227" t="s">
        <v>3040</v>
      </c>
    </row>
    <row r="50" spans="1:59" s="228" customFormat="1" ht="15" customHeight="1">
      <c r="A50" s="227">
        <v>43903</v>
      </c>
      <c r="B50" s="228" t="s">
        <v>3056</v>
      </c>
      <c r="C50" s="229" t="s">
        <v>3031</v>
      </c>
      <c r="D50" s="230" t="s">
        <v>3163</v>
      </c>
      <c r="E50" s="229" t="s">
        <v>3164</v>
      </c>
      <c r="F50" s="231" t="s">
        <v>2846</v>
      </c>
      <c r="G50" s="231" t="s">
        <v>2846</v>
      </c>
      <c r="H50" s="231">
        <v>50</v>
      </c>
      <c r="I50" s="229" t="s">
        <v>3034</v>
      </c>
      <c r="J50" s="229">
        <v>20</v>
      </c>
      <c r="K50" s="229" t="s">
        <v>2733</v>
      </c>
      <c r="L50" s="232">
        <v>1</v>
      </c>
      <c r="M50" s="232" t="s">
        <v>64</v>
      </c>
      <c r="N50" s="231">
        <f t="shared" si="24"/>
        <v>1000</v>
      </c>
      <c r="O50" s="231">
        <f t="shared" si="13"/>
        <v>20</v>
      </c>
      <c r="P50" s="233">
        <v>15</v>
      </c>
      <c r="Q50" s="234">
        <f>P50*J50</f>
        <v>300</v>
      </c>
      <c r="R50" s="227">
        <v>43903</v>
      </c>
      <c r="S50" s="235" t="s">
        <v>3035</v>
      </c>
      <c r="T50" s="229" t="s">
        <v>3036</v>
      </c>
      <c r="U50" s="230" t="s">
        <v>3120</v>
      </c>
      <c r="V50" s="229"/>
      <c r="W50" s="232" t="str">
        <f t="shared" si="14"/>
        <v>Yes</v>
      </c>
      <c r="X50" s="456">
        <v>20</v>
      </c>
      <c r="Y50" s="230" t="s">
        <v>3121</v>
      </c>
      <c r="Z50" s="236">
        <v>43963</v>
      </c>
      <c r="AA50" s="237"/>
      <c r="AD50" s="237"/>
      <c r="AG50" s="238">
        <f t="shared" si="20"/>
        <v>0</v>
      </c>
      <c r="AH50" s="239"/>
      <c r="AI50" s="240"/>
      <c r="AJ50" s="237">
        <v>0</v>
      </c>
      <c r="AK50" s="241" t="e">
        <f t="shared" ca="1" si="15"/>
        <v>#NAME?</v>
      </c>
      <c r="AL50" s="235"/>
      <c r="AM50" s="229"/>
      <c r="AN50" s="229"/>
      <c r="AP50" s="228" t="s">
        <v>3165</v>
      </c>
      <c r="AQ50" s="228" t="s">
        <v>3123</v>
      </c>
      <c r="AR50" s="228" t="s">
        <v>3063</v>
      </c>
      <c r="AS50" s="242">
        <f t="shared" si="16"/>
        <v>300</v>
      </c>
      <c r="AT50" s="242">
        <f t="shared" si="17"/>
        <v>30.3</v>
      </c>
      <c r="AU50" s="242">
        <v>0</v>
      </c>
      <c r="AV50" s="242">
        <v>0</v>
      </c>
      <c r="AW50" s="242">
        <f t="shared" si="18"/>
        <v>330.3</v>
      </c>
      <c r="AX50" s="237">
        <f t="shared" si="12"/>
        <v>1000</v>
      </c>
      <c r="AY50" s="237" t="s">
        <v>2762</v>
      </c>
      <c r="AZ50" s="242">
        <f t="shared" si="23"/>
        <v>0.33030000000000004</v>
      </c>
      <c r="BA50" s="242" t="s">
        <v>2765</v>
      </c>
      <c r="BB50" s="237" t="s">
        <v>2733</v>
      </c>
      <c r="BC50" s="242">
        <v>100</v>
      </c>
      <c r="BD50" s="242">
        <f t="shared" si="19"/>
        <v>33.03</v>
      </c>
      <c r="BF50" s="228" t="s">
        <v>36</v>
      </c>
      <c r="BG50" s="227" t="s">
        <v>3040</v>
      </c>
    </row>
    <row r="51" spans="1:59" s="228" customFormat="1" ht="15" customHeight="1">
      <c r="A51" s="227">
        <v>43903</v>
      </c>
      <c r="B51" s="228" t="s">
        <v>3056</v>
      </c>
      <c r="C51" s="229" t="s">
        <v>3069</v>
      </c>
      <c r="D51" s="230" t="s">
        <v>3199</v>
      </c>
      <c r="E51" s="229" t="s">
        <v>3200</v>
      </c>
      <c r="F51" s="231" t="s">
        <v>2846</v>
      </c>
      <c r="G51" s="231" t="s">
        <v>2846</v>
      </c>
      <c r="H51" s="231">
        <v>100</v>
      </c>
      <c r="I51" s="229" t="s">
        <v>3034</v>
      </c>
      <c r="J51" s="229">
        <v>20</v>
      </c>
      <c r="K51" s="229" t="s">
        <v>2733</v>
      </c>
      <c r="L51" s="232">
        <v>1</v>
      </c>
      <c r="M51" s="232" t="s">
        <v>64</v>
      </c>
      <c r="N51" s="231">
        <f t="shared" si="24"/>
        <v>2000</v>
      </c>
      <c r="O51" s="231">
        <f t="shared" si="13"/>
        <v>20</v>
      </c>
      <c r="P51" s="233">
        <v>12</v>
      </c>
      <c r="Q51" s="234">
        <f>P51*L51*J51</f>
        <v>240</v>
      </c>
      <c r="R51" s="227">
        <v>43906</v>
      </c>
      <c r="S51" s="235" t="s">
        <v>3035</v>
      </c>
      <c r="T51" s="229" t="s">
        <v>3036</v>
      </c>
      <c r="U51" s="230" t="s">
        <v>3201</v>
      </c>
      <c r="V51" s="229"/>
      <c r="W51" s="232" t="str">
        <f t="shared" si="14"/>
        <v>Yes</v>
      </c>
      <c r="X51" s="456">
        <v>20</v>
      </c>
      <c r="Y51" s="230" t="s">
        <v>3202</v>
      </c>
      <c r="Z51" s="236">
        <v>43915</v>
      </c>
      <c r="AA51" s="237"/>
      <c r="AB51" s="236"/>
      <c r="AC51" s="236"/>
      <c r="AD51" s="237"/>
      <c r="AE51" s="236"/>
      <c r="AF51" s="236"/>
      <c r="AG51" s="238">
        <f t="shared" si="20"/>
        <v>0</v>
      </c>
      <c r="AH51" s="239"/>
      <c r="AI51" s="240"/>
      <c r="AJ51" s="237"/>
      <c r="AK51" s="241" t="e">
        <f t="shared" ca="1" si="15"/>
        <v>#NAME?</v>
      </c>
      <c r="AL51" s="235"/>
      <c r="AM51" s="229"/>
      <c r="AN51" s="229"/>
      <c r="AP51" s="228" t="s">
        <v>3203</v>
      </c>
      <c r="AQ51" s="228" t="s">
        <v>3204</v>
      </c>
      <c r="AR51" s="228" t="s">
        <v>3063</v>
      </c>
      <c r="AS51" s="242">
        <f t="shared" si="16"/>
        <v>240</v>
      </c>
      <c r="AT51" s="242">
        <f t="shared" si="17"/>
        <v>24.240000000000002</v>
      </c>
      <c r="AU51" s="242">
        <v>0</v>
      </c>
      <c r="AV51" s="242">
        <v>0</v>
      </c>
      <c r="AW51" s="242">
        <f t="shared" si="18"/>
        <v>264.24</v>
      </c>
      <c r="AX51" s="237">
        <f t="shared" si="12"/>
        <v>2000</v>
      </c>
      <c r="AY51" s="237" t="s">
        <v>2762</v>
      </c>
      <c r="AZ51" s="242">
        <f t="shared" si="23"/>
        <v>0.13212000000000002</v>
      </c>
      <c r="BA51" s="242" t="s">
        <v>2760</v>
      </c>
      <c r="BB51" s="237" t="s">
        <v>2733</v>
      </c>
      <c r="BC51" s="242">
        <v>100</v>
      </c>
      <c r="BD51" s="242">
        <f t="shared" si="19"/>
        <v>13.212000000000002</v>
      </c>
      <c r="BF51" s="228" t="s">
        <v>36</v>
      </c>
      <c r="BG51" s="227" t="s">
        <v>3040</v>
      </c>
    </row>
    <row r="52" spans="1:59" s="228" customFormat="1" ht="15" customHeight="1">
      <c r="A52" s="227">
        <v>43903</v>
      </c>
      <c r="B52" s="228" t="s">
        <v>3056</v>
      </c>
      <c r="C52" s="229" t="s">
        <v>3045</v>
      </c>
      <c r="D52" s="230" t="s">
        <v>3176</v>
      </c>
      <c r="E52" s="229" t="s">
        <v>3177</v>
      </c>
      <c r="F52" s="231" t="s">
        <v>2846</v>
      </c>
      <c r="G52" s="231" t="s">
        <v>2846</v>
      </c>
      <c r="H52" s="231">
        <v>50</v>
      </c>
      <c r="I52" s="229" t="s">
        <v>3034</v>
      </c>
      <c r="J52" s="229">
        <v>20</v>
      </c>
      <c r="K52" s="229" t="s">
        <v>2733</v>
      </c>
      <c r="L52" s="232">
        <v>1</v>
      </c>
      <c r="M52" s="232" t="s">
        <v>64</v>
      </c>
      <c r="N52" s="231">
        <f t="shared" si="24"/>
        <v>1000</v>
      </c>
      <c r="O52" s="231">
        <f t="shared" si="13"/>
        <v>20</v>
      </c>
      <c r="P52" s="233">
        <v>15</v>
      </c>
      <c r="Q52" s="234">
        <f>P52*J52</f>
        <v>300</v>
      </c>
      <c r="R52" s="227">
        <v>43903</v>
      </c>
      <c r="S52" s="235" t="s">
        <v>3035</v>
      </c>
      <c r="T52" s="229" t="s">
        <v>3036</v>
      </c>
      <c r="U52" s="230" t="s">
        <v>3120</v>
      </c>
      <c r="V52" s="229"/>
      <c r="W52" s="232" t="str">
        <f t="shared" si="14"/>
        <v>Yes</v>
      </c>
      <c r="X52" s="456">
        <v>20</v>
      </c>
      <c r="Y52" s="230" t="s">
        <v>3121</v>
      </c>
      <c r="Z52" s="236">
        <v>43963</v>
      </c>
      <c r="AA52" s="237"/>
      <c r="AD52" s="237"/>
      <c r="AG52" s="238">
        <f t="shared" si="20"/>
        <v>0</v>
      </c>
      <c r="AH52" s="239"/>
      <c r="AI52" s="240"/>
      <c r="AJ52" s="237"/>
      <c r="AK52" s="241" t="e">
        <f t="shared" ca="1" si="15"/>
        <v>#NAME?</v>
      </c>
      <c r="AL52" s="235"/>
      <c r="AM52" s="229"/>
      <c r="AN52" s="229"/>
      <c r="AP52" s="228" t="s">
        <v>3178</v>
      </c>
      <c r="AQ52" s="228" t="s">
        <v>3123</v>
      </c>
      <c r="AR52" s="228" t="s">
        <v>3063</v>
      </c>
      <c r="AS52" s="242">
        <f t="shared" si="16"/>
        <v>300</v>
      </c>
      <c r="AT52" s="242">
        <f t="shared" si="17"/>
        <v>30.3</v>
      </c>
      <c r="AU52" s="242">
        <v>0</v>
      </c>
      <c r="AV52" s="242">
        <v>0</v>
      </c>
      <c r="AW52" s="242">
        <f t="shared" si="18"/>
        <v>330.3</v>
      </c>
      <c r="AX52" s="237">
        <f t="shared" si="12"/>
        <v>1000</v>
      </c>
      <c r="AY52" s="237" t="s">
        <v>2762</v>
      </c>
      <c r="AZ52" s="242">
        <f t="shared" si="23"/>
        <v>0.33030000000000004</v>
      </c>
      <c r="BA52" s="242" t="s">
        <v>2773</v>
      </c>
      <c r="BB52" s="237" t="s">
        <v>2733</v>
      </c>
      <c r="BC52" s="242">
        <v>100</v>
      </c>
      <c r="BD52" s="242">
        <f t="shared" si="19"/>
        <v>33.03</v>
      </c>
      <c r="BF52" s="228" t="s">
        <v>36</v>
      </c>
      <c r="BG52" s="227" t="s">
        <v>3040</v>
      </c>
    </row>
    <row r="53" spans="1:59" s="228" customFormat="1" ht="15" customHeight="1">
      <c r="A53" s="227">
        <v>43903</v>
      </c>
      <c r="B53" s="228" t="s">
        <v>3056</v>
      </c>
      <c r="C53" s="229" t="s">
        <v>3045</v>
      </c>
      <c r="D53" s="230" t="s">
        <v>3176</v>
      </c>
      <c r="E53" s="229" t="s">
        <v>3177</v>
      </c>
      <c r="F53" s="231" t="s">
        <v>2846</v>
      </c>
      <c r="G53" s="231" t="s">
        <v>2846</v>
      </c>
      <c r="H53" s="231">
        <v>50</v>
      </c>
      <c r="I53" s="229" t="s">
        <v>3034</v>
      </c>
      <c r="J53" s="229">
        <v>20</v>
      </c>
      <c r="K53" s="229" t="s">
        <v>2733</v>
      </c>
      <c r="L53" s="232">
        <v>1</v>
      </c>
      <c r="M53" s="232" t="s">
        <v>64</v>
      </c>
      <c r="N53" s="231">
        <f t="shared" si="24"/>
        <v>1000</v>
      </c>
      <c r="O53" s="231">
        <f t="shared" si="13"/>
        <v>20</v>
      </c>
      <c r="P53" s="233">
        <v>15</v>
      </c>
      <c r="Q53" s="234">
        <f>P53*J53</f>
        <v>300</v>
      </c>
      <c r="R53" s="227">
        <v>43903</v>
      </c>
      <c r="S53" s="235" t="s">
        <v>3035</v>
      </c>
      <c r="T53" s="229" t="s">
        <v>3036</v>
      </c>
      <c r="U53" s="230" t="s">
        <v>3120</v>
      </c>
      <c r="V53" s="229"/>
      <c r="W53" s="232" t="str">
        <f t="shared" si="14"/>
        <v>Yes</v>
      </c>
      <c r="X53" s="456">
        <v>20</v>
      </c>
      <c r="Y53" s="230" t="s">
        <v>3121</v>
      </c>
      <c r="Z53" s="236">
        <v>43963</v>
      </c>
      <c r="AA53" s="237"/>
      <c r="AD53" s="237"/>
      <c r="AG53" s="238">
        <f t="shared" si="20"/>
        <v>0</v>
      </c>
      <c r="AH53" s="239"/>
      <c r="AI53" s="240"/>
      <c r="AJ53" s="237"/>
      <c r="AK53" s="241" t="e">
        <f t="shared" ca="1" si="15"/>
        <v>#NAME?</v>
      </c>
      <c r="AL53" s="235"/>
      <c r="AM53" s="229"/>
      <c r="AN53" s="229"/>
      <c r="AP53" s="228" t="s">
        <v>3179</v>
      </c>
      <c r="AQ53" s="228" t="s">
        <v>3123</v>
      </c>
      <c r="AR53" s="228" t="s">
        <v>3063</v>
      </c>
      <c r="AS53" s="242">
        <f t="shared" si="16"/>
        <v>300</v>
      </c>
      <c r="AT53" s="242">
        <f t="shared" si="17"/>
        <v>30.3</v>
      </c>
      <c r="AU53" s="242">
        <v>0</v>
      </c>
      <c r="AV53" s="242">
        <v>0</v>
      </c>
      <c r="AW53" s="242">
        <f t="shared" si="18"/>
        <v>330.3</v>
      </c>
      <c r="AX53" s="237">
        <f t="shared" si="12"/>
        <v>1000</v>
      </c>
      <c r="AY53" s="237" t="s">
        <v>2762</v>
      </c>
      <c r="AZ53" s="242">
        <f t="shared" si="23"/>
        <v>0.33030000000000004</v>
      </c>
      <c r="BA53" s="242" t="s">
        <v>2773</v>
      </c>
      <c r="BB53" s="237" t="s">
        <v>2733</v>
      </c>
      <c r="BC53" s="242">
        <v>100</v>
      </c>
      <c r="BD53" s="242">
        <f t="shared" si="19"/>
        <v>33.03</v>
      </c>
      <c r="BF53" s="228" t="s">
        <v>36</v>
      </c>
      <c r="BG53" s="227" t="s">
        <v>3040</v>
      </c>
    </row>
    <row r="54" spans="1:59" s="228" customFormat="1" ht="15" customHeight="1">
      <c r="A54" s="21">
        <v>43903</v>
      </c>
      <c r="B54" s="96" t="s">
        <v>3383</v>
      </c>
      <c r="C54" s="22" t="s">
        <v>3384</v>
      </c>
      <c r="D54" s="97" t="s">
        <v>3385</v>
      </c>
      <c r="E54" s="22" t="s">
        <v>3386</v>
      </c>
      <c r="F54" s="69" t="s">
        <v>2846</v>
      </c>
      <c r="G54" s="69" t="s">
        <v>2846</v>
      </c>
      <c r="H54" s="70">
        <v>20</v>
      </c>
      <c r="I54" s="71" t="s">
        <v>1269</v>
      </c>
      <c r="J54" s="71">
        <v>100</v>
      </c>
      <c r="K54" s="71" t="s">
        <v>2733</v>
      </c>
      <c r="L54" s="72">
        <v>1</v>
      </c>
      <c r="M54" s="72" t="s">
        <v>64</v>
      </c>
      <c r="N54" s="73">
        <f t="shared" ref="N54:N62" si="25">L54*J54*H54</f>
        <v>2000</v>
      </c>
      <c r="O54" s="98">
        <f t="shared" si="13"/>
        <v>100</v>
      </c>
      <c r="P54" s="74">
        <v>11.65</v>
      </c>
      <c r="Q54" s="75">
        <f>P54*J54</f>
        <v>1165</v>
      </c>
      <c r="R54" s="21">
        <v>43935</v>
      </c>
      <c r="S54" s="99" t="s">
        <v>3387</v>
      </c>
      <c r="T54" s="22" t="s">
        <v>3036</v>
      </c>
      <c r="U54" s="97">
        <v>43942923</v>
      </c>
      <c r="V54" s="22"/>
      <c r="W54" s="72" t="str">
        <f t="shared" si="14"/>
        <v>No</v>
      </c>
      <c r="X54" s="457">
        <v>22</v>
      </c>
      <c r="Y54" s="97">
        <v>9464107359</v>
      </c>
      <c r="Z54" s="100">
        <v>43922</v>
      </c>
      <c r="AA54" s="101"/>
      <c r="AB54" s="100"/>
      <c r="AC54" s="100"/>
      <c r="AD54" s="101"/>
      <c r="AE54" s="100"/>
      <c r="AF54" s="100"/>
      <c r="AG54" s="102">
        <f>(Q54/P54)-X54-AA54-AD54</f>
        <v>78</v>
      </c>
      <c r="AH54" s="110" t="s">
        <v>66</v>
      </c>
      <c r="AI54" s="22" t="s">
        <v>2739</v>
      </c>
      <c r="AJ54" s="101">
        <f>+AG54*H54</f>
        <v>1560</v>
      </c>
      <c r="AK54" s="184" t="e">
        <f t="shared" ca="1" si="15"/>
        <v>#NAME?</v>
      </c>
      <c r="AL54" s="99"/>
      <c r="AM54" s="22"/>
      <c r="AN54" s="22"/>
      <c r="AO54" s="96"/>
      <c r="AP54" s="96" t="s">
        <v>3388</v>
      </c>
      <c r="AQ54" s="96" t="s">
        <v>3389</v>
      </c>
      <c r="AR54" s="96" t="s">
        <v>3039</v>
      </c>
      <c r="AS54" s="199">
        <f t="shared" si="16"/>
        <v>1165</v>
      </c>
      <c r="AT54" s="199">
        <f t="shared" si="17"/>
        <v>117.66500000000001</v>
      </c>
      <c r="AU54" s="199">
        <v>0</v>
      </c>
      <c r="AV54" s="199">
        <v>0</v>
      </c>
      <c r="AW54" s="199">
        <f t="shared" si="18"/>
        <v>1282.665</v>
      </c>
      <c r="AX54" s="101">
        <f t="shared" si="12"/>
        <v>2000</v>
      </c>
      <c r="AY54" s="199" t="s">
        <v>2739</v>
      </c>
      <c r="AZ54" s="199">
        <f t="shared" si="23"/>
        <v>0.64133249999999997</v>
      </c>
      <c r="BA54" s="199" t="s">
        <v>2742</v>
      </c>
      <c r="BB54" s="199" t="s">
        <v>2733</v>
      </c>
      <c r="BC54" s="199">
        <v>10</v>
      </c>
      <c r="BD54" s="199">
        <f t="shared" si="19"/>
        <v>6.4133249999999995</v>
      </c>
      <c r="BE54" s="96"/>
      <c r="BF54" s="96" t="s">
        <v>36</v>
      </c>
      <c r="BG54" s="21" t="s">
        <v>3040</v>
      </c>
    </row>
    <row r="55" spans="1:59" s="228" customFormat="1" ht="15" customHeight="1">
      <c r="A55" s="227">
        <v>43903</v>
      </c>
      <c r="B55" s="228" t="s">
        <v>3056</v>
      </c>
      <c r="C55" s="229" t="s">
        <v>3045</v>
      </c>
      <c r="D55" s="230" t="s">
        <v>3089</v>
      </c>
      <c r="E55" s="229" t="s">
        <v>3090</v>
      </c>
      <c r="F55" s="231" t="s">
        <v>2846</v>
      </c>
      <c r="G55" s="231" t="s">
        <v>2846</v>
      </c>
      <c r="H55" s="231">
        <v>100</v>
      </c>
      <c r="I55" s="229" t="s">
        <v>3034</v>
      </c>
      <c r="J55" s="229">
        <v>24</v>
      </c>
      <c r="K55" s="229" t="s">
        <v>2733</v>
      </c>
      <c r="L55" s="232">
        <v>1</v>
      </c>
      <c r="M55" s="232" t="s">
        <v>64</v>
      </c>
      <c r="N55" s="231">
        <f t="shared" si="25"/>
        <v>2400</v>
      </c>
      <c r="O55" s="231">
        <f t="shared" si="13"/>
        <v>24</v>
      </c>
      <c r="P55" s="233">
        <v>7.95</v>
      </c>
      <c r="Q55" s="234">
        <f>J55*L55*P55</f>
        <v>190.8</v>
      </c>
      <c r="R55" s="227">
        <v>43903</v>
      </c>
      <c r="S55" s="235" t="s">
        <v>3035</v>
      </c>
      <c r="T55" s="229" t="s">
        <v>3036</v>
      </c>
      <c r="U55" s="230" t="s">
        <v>3083</v>
      </c>
      <c r="V55" s="229"/>
      <c r="W55" s="232" t="str">
        <f t="shared" si="14"/>
        <v>Yes</v>
      </c>
      <c r="X55" s="456">
        <v>24</v>
      </c>
      <c r="Y55" s="230" t="s">
        <v>3085</v>
      </c>
      <c r="Z55" s="236">
        <v>43963</v>
      </c>
      <c r="AA55" s="237"/>
      <c r="AD55" s="237"/>
      <c r="AG55" s="238">
        <f>(J55*L55)-X55-AA55-AD55</f>
        <v>0</v>
      </c>
      <c r="AH55" s="239"/>
      <c r="AI55" s="240"/>
      <c r="AJ55" s="237">
        <v>0</v>
      </c>
      <c r="AK55" s="241" t="e">
        <f t="shared" ca="1" si="15"/>
        <v>#NAME?</v>
      </c>
      <c r="AL55" s="235"/>
      <c r="AM55" s="229"/>
      <c r="AN55" s="229"/>
      <c r="AP55" s="228" t="s">
        <v>3091</v>
      </c>
      <c r="AQ55" s="228" t="s">
        <v>3088</v>
      </c>
      <c r="AR55" s="228" t="s">
        <v>3063</v>
      </c>
      <c r="AS55" s="242">
        <f t="shared" si="16"/>
        <v>190.8</v>
      </c>
      <c r="AT55" s="242">
        <f t="shared" si="17"/>
        <v>19.270800000000001</v>
      </c>
      <c r="AU55" s="242">
        <v>0</v>
      </c>
      <c r="AV55" s="242">
        <v>0</v>
      </c>
      <c r="AW55" s="242">
        <f t="shared" si="18"/>
        <v>210.07080000000002</v>
      </c>
      <c r="AX55" s="237">
        <f t="shared" si="12"/>
        <v>2400</v>
      </c>
      <c r="AY55" s="237" t="s">
        <v>2762</v>
      </c>
      <c r="AZ55" s="242">
        <f t="shared" si="23"/>
        <v>8.752950000000001E-2</v>
      </c>
      <c r="BA55" s="242" t="s">
        <v>2773</v>
      </c>
      <c r="BB55" s="237" t="s">
        <v>2733</v>
      </c>
      <c r="BC55" s="242">
        <v>100</v>
      </c>
      <c r="BD55" s="242">
        <f t="shared" si="19"/>
        <v>8.7529500000000002</v>
      </c>
      <c r="BF55" s="228" t="s">
        <v>36</v>
      </c>
      <c r="BG55" s="227" t="s">
        <v>3040</v>
      </c>
    </row>
    <row r="56" spans="1:59" s="228" customFormat="1" ht="15" customHeight="1">
      <c r="A56" s="227">
        <v>43903</v>
      </c>
      <c r="B56" s="228" t="s">
        <v>3056</v>
      </c>
      <c r="C56" s="229" t="s">
        <v>3031</v>
      </c>
      <c r="D56" s="230" t="s">
        <v>3081</v>
      </c>
      <c r="E56" s="229" t="s">
        <v>3082</v>
      </c>
      <c r="F56" s="231" t="s">
        <v>2846</v>
      </c>
      <c r="G56" s="231" t="s">
        <v>2846</v>
      </c>
      <c r="H56" s="231">
        <v>100</v>
      </c>
      <c r="I56" s="229" t="s">
        <v>3034</v>
      </c>
      <c r="J56" s="229">
        <v>43</v>
      </c>
      <c r="K56" s="229" t="s">
        <v>2733</v>
      </c>
      <c r="L56" s="232">
        <v>1</v>
      </c>
      <c r="M56" s="232" t="s">
        <v>64</v>
      </c>
      <c r="N56" s="231">
        <f t="shared" si="25"/>
        <v>4300</v>
      </c>
      <c r="O56" s="231">
        <f t="shared" si="13"/>
        <v>43</v>
      </c>
      <c r="P56" s="233">
        <v>7.95</v>
      </c>
      <c r="Q56" s="234">
        <f>J56*L56*P56</f>
        <v>341.85</v>
      </c>
      <c r="R56" s="227">
        <v>43903</v>
      </c>
      <c r="S56" s="235" t="s">
        <v>3035</v>
      </c>
      <c r="T56" s="229" t="s">
        <v>3036</v>
      </c>
      <c r="U56" s="230" t="s">
        <v>3083</v>
      </c>
      <c r="V56" s="229"/>
      <c r="W56" s="232" t="s">
        <v>3084</v>
      </c>
      <c r="X56" s="456">
        <v>33</v>
      </c>
      <c r="Y56" s="230" t="s">
        <v>3085</v>
      </c>
      <c r="Z56" s="236">
        <v>43963</v>
      </c>
      <c r="AA56" s="237"/>
      <c r="AD56" s="237"/>
      <c r="AG56" s="238">
        <v>0</v>
      </c>
      <c r="AH56" s="239" t="s">
        <v>72</v>
      </c>
      <c r="AI56" s="240" t="s">
        <v>2762</v>
      </c>
      <c r="AJ56" s="237">
        <f>+AG56*H56/2</f>
        <v>0</v>
      </c>
      <c r="AK56" s="241" t="e">
        <f t="shared" ca="1" si="15"/>
        <v>#NAME?</v>
      </c>
      <c r="AL56" s="235" t="s">
        <v>3086</v>
      </c>
      <c r="AM56" s="229" t="s">
        <v>3084</v>
      </c>
      <c r="AN56" s="229" t="s">
        <v>3084</v>
      </c>
      <c r="AP56" s="228" t="s">
        <v>3087</v>
      </c>
      <c r="AQ56" s="228" t="s">
        <v>3088</v>
      </c>
      <c r="AR56" s="228" t="s">
        <v>3063</v>
      </c>
      <c r="AS56" s="242">
        <f t="shared" si="16"/>
        <v>341.85</v>
      </c>
      <c r="AT56" s="242">
        <f t="shared" si="17"/>
        <v>34.526850000000003</v>
      </c>
      <c r="AU56" s="242">
        <v>0</v>
      </c>
      <c r="AV56" s="242">
        <v>0</v>
      </c>
      <c r="AW56" s="242">
        <f t="shared" si="18"/>
        <v>376.37685000000005</v>
      </c>
      <c r="AX56" s="237">
        <f t="shared" si="12"/>
        <v>4300</v>
      </c>
      <c r="AY56" s="237" t="s">
        <v>2762</v>
      </c>
      <c r="AZ56" s="242">
        <f t="shared" si="23"/>
        <v>8.752950000000001E-2</v>
      </c>
      <c r="BA56" s="242" t="s">
        <v>2765</v>
      </c>
      <c r="BB56" s="237" t="s">
        <v>2733</v>
      </c>
      <c r="BC56" s="242">
        <v>100</v>
      </c>
      <c r="BD56" s="242">
        <f t="shared" si="19"/>
        <v>8.7529500000000002</v>
      </c>
      <c r="BF56" s="228" t="s">
        <v>36</v>
      </c>
      <c r="BG56" s="227" t="s">
        <v>3040</v>
      </c>
    </row>
    <row r="57" spans="1:59" s="228" customFormat="1" ht="15" customHeight="1">
      <c r="A57" s="227">
        <v>43903</v>
      </c>
      <c r="B57" s="228" t="s">
        <v>3056</v>
      </c>
      <c r="C57" s="229" t="s">
        <v>3069</v>
      </c>
      <c r="D57" s="230" t="s">
        <v>3499</v>
      </c>
      <c r="E57" s="229" t="s">
        <v>3500</v>
      </c>
      <c r="F57" s="231" t="s">
        <v>2846</v>
      </c>
      <c r="G57" s="231" t="s">
        <v>2846</v>
      </c>
      <c r="H57" s="231">
        <v>100</v>
      </c>
      <c r="I57" s="229" t="s">
        <v>3034</v>
      </c>
      <c r="J57" s="229">
        <v>39</v>
      </c>
      <c r="K57" s="229" t="s">
        <v>2733</v>
      </c>
      <c r="L57" s="232">
        <v>1</v>
      </c>
      <c r="M57" s="232" t="s">
        <v>64</v>
      </c>
      <c r="N57" s="231">
        <f t="shared" si="25"/>
        <v>3900</v>
      </c>
      <c r="O57" s="231">
        <f t="shared" si="13"/>
        <v>39</v>
      </c>
      <c r="P57" s="233">
        <v>7.5</v>
      </c>
      <c r="Q57" s="234">
        <f>J57*L57*P57</f>
        <v>292.5</v>
      </c>
      <c r="R57" s="227">
        <v>43906</v>
      </c>
      <c r="S57" s="235" t="s">
        <v>3035</v>
      </c>
      <c r="T57" s="229" t="s">
        <v>3036</v>
      </c>
      <c r="U57" s="230" t="s">
        <v>3492</v>
      </c>
      <c r="V57" s="229"/>
      <c r="W57" s="232" t="str">
        <f>IF(AG57=0,"Yes","No")</f>
        <v>Yes</v>
      </c>
      <c r="X57" s="456">
        <v>39</v>
      </c>
      <c r="Y57" s="230" t="s">
        <v>3493</v>
      </c>
      <c r="Z57" s="236">
        <v>43915</v>
      </c>
      <c r="AA57" s="237"/>
      <c r="AB57" s="236"/>
      <c r="AC57" s="236"/>
      <c r="AD57" s="237"/>
      <c r="AE57" s="236"/>
      <c r="AF57" s="236"/>
      <c r="AG57" s="238">
        <v>0</v>
      </c>
      <c r="AH57" s="248"/>
      <c r="AI57" s="229"/>
      <c r="AJ57" s="237"/>
      <c r="AK57" s="241" t="e">
        <f t="shared" ca="1" si="15"/>
        <v>#NAME?</v>
      </c>
      <c r="AL57" s="235"/>
      <c r="AM57" s="229"/>
      <c r="AN57" s="229"/>
      <c r="AP57" s="228" t="s">
        <v>3501</v>
      </c>
      <c r="AQ57" s="228" t="s">
        <v>3495</v>
      </c>
      <c r="AR57" s="228" t="s">
        <v>3063</v>
      </c>
      <c r="AS57" s="242">
        <f t="shared" si="16"/>
        <v>292.5</v>
      </c>
      <c r="AT57" s="242">
        <f t="shared" si="17"/>
        <v>29.5425</v>
      </c>
      <c r="AU57" s="242">
        <v>0</v>
      </c>
      <c r="AV57" s="242">
        <v>0</v>
      </c>
      <c r="AW57" s="242">
        <f t="shared" si="18"/>
        <v>322.04250000000002</v>
      </c>
      <c r="AX57" s="237">
        <f t="shared" si="12"/>
        <v>3900</v>
      </c>
      <c r="AY57" s="237" t="s">
        <v>2762</v>
      </c>
      <c r="AZ57" s="242">
        <f t="shared" si="23"/>
        <v>8.257500000000001E-2</v>
      </c>
      <c r="BA57" s="242" t="s">
        <v>2760</v>
      </c>
      <c r="BB57" s="237" t="s">
        <v>2733</v>
      </c>
      <c r="BC57" s="242">
        <v>100</v>
      </c>
      <c r="BD57" s="242">
        <f t="shared" si="19"/>
        <v>8.2575000000000003</v>
      </c>
      <c r="BF57" s="228" t="s">
        <v>36</v>
      </c>
      <c r="BG57" s="227" t="s">
        <v>3040</v>
      </c>
    </row>
    <row r="58" spans="1:59" s="228" customFormat="1" ht="15" customHeight="1">
      <c r="A58" s="227">
        <v>43903</v>
      </c>
      <c r="B58" s="228" t="s">
        <v>3056</v>
      </c>
      <c r="C58" s="229" t="s">
        <v>3041</v>
      </c>
      <c r="D58" s="230" t="s">
        <v>3057</v>
      </c>
      <c r="E58" s="229" t="s">
        <v>3058</v>
      </c>
      <c r="F58" s="231" t="s">
        <v>2846</v>
      </c>
      <c r="G58" s="231" t="s">
        <v>2846</v>
      </c>
      <c r="H58" s="231">
        <v>100</v>
      </c>
      <c r="I58" s="229" t="s">
        <v>3034</v>
      </c>
      <c r="J58" s="229">
        <v>40</v>
      </c>
      <c r="K58" s="229" t="s">
        <v>2733</v>
      </c>
      <c r="L58" s="232">
        <v>1</v>
      </c>
      <c r="M58" s="232" t="s">
        <v>64</v>
      </c>
      <c r="N58" s="231">
        <f t="shared" si="25"/>
        <v>4000</v>
      </c>
      <c r="O58" s="231">
        <f t="shared" si="13"/>
        <v>40</v>
      </c>
      <c r="P58" s="233">
        <v>8</v>
      </c>
      <c r="Q58" s="234">
        <f>J58*L58*P58</f>
        <v>320</v>
      </c>
      <c r="R58" s="227">
        <v>43906</v>
      </c>
      <c r="S58" s="235" t="s">
        <v>3035</v>
      </c>
      <c r="T58" s="229" t="s">
        <v>3036</v>
      </c>
      <c r="U58" s="230" t="s">
        <v>3059</v>
      </c>
      <c r="V58" s="229"/>
      <c r="W58" s="232" t="str">
        <f>IF(AG58=0,"Yes","No")</f>
        <v>Yes</v>
      </c>
      <c r="X58" s="456">
        <v>40</v>
      </c>
      <c r="Y58" s="230" t="s">
        <v>3060</v>
      </c>
      <c r="Z58" s="236">
        <v>43915</v>
      </c>
      <c r="AA58" s="237"/>
      <c r="AB58" s="236"/>
      <c r="AC58" s="236"/>
      <c r="AD58" s="237"/>
      <c r="AE58" s="236"/>
      <c r="AF58" s="236"/>
      <c r="AG58" s="238">
        <f>(J58*L58)-X58-AA58-AD58</f>
        <v>0</v>
      </c>
      <c r="AH58" s="239"/>
      <c r="AI58" s="240"/>
      <c r="AJ58" s="237">
        <v>0</v>
      </c>
      <c r="AK58" s="241" t="e">
        <f t="shared" ca="1" si="15"/>
        <v>#NAME?</v>
      </c>
      <c r="AL58" s="235"/>
      <c r="AM58" s="229"/>
      <c r="AN58" s="229"/>
      <c r="AP58" s="228" t="s">
        <v>3061</v>
      </c>
      <c r="AQ58" s="228" t="s">
        <v>3062</v>
      </c>
      <c r="AR58" s="228" t="s">
        <v>3063</v>
      </c>
      <c r="AS58" s="242">
        <f t="shared" si="16"/>
        <v>320</v>
      </c>
      <c r="AT58" s="242">
        <f t="shared" si="17"/>
        <v>32.32</v>
      </c>
      <c r="AU58" s="242">
        <v>0</v>
      </c>
      <c r="AV58" s="242">
        <v>0</v>
      </c>
      <c r="AW58" s="242">
        <f t="shared" si="18"/>
        <v>352.32</v>
      </c>
      <c r="AX58" s="237">
        <f t="shared" si="12"/>
        <v>4000</v>
      </c>
      <c r="AY58" s="237" t="s">
        <v>2762</v>
      </c>
      <c r="AZ58" s="242">
        <f t="shared" si="23"/>
        <v>8.8079999999999992E-2</v>
      </c>
      <c r="BA58" s="242" t="s">
        <v>2769</v>
      </c>
      <c r="BB58" s="237" t="s">
        <v>2733</v>
      </c>
      <c r="BC58" s="242">
        <v>100</v>
      </c>
      <c r="BD58" s="242">
        <f t="shared" si="19"/>
        <v>8.8079999999999998</v>
      </c>
      <c r="BF58" s="228" t="s">
        <v>36</v>
      </c>
      <c r="BG58" s="227" t="s">
        <v>3040</v>
      </c>
    </row>
    <row r="59" spans="1:59" s="228" customFormat="1" ht="15" customHeight="1">
      <c r="A59" s="227">
        <v>43903</v>
      </c>
      <c r="B59" s="228" t="s">
        <v>3552</v>
      </c>
      <c r="C59" s="229" t="s">
        <v>3041</v>
      </c>
      <c r="D59" s="230" t="s">
        <v>3570</v>
      </c>
      <c r="E59" s="229" t="s">
        <v>3571</v>
      </c>
      <c r="F59" s="231" t="s">
        <v>2846</v>
      </c>
      <c r="G59" s="231" t="s">
        <v>2846</v>
      </c>
      <c r="H59" s="231">
        <v>100</v>
      </c>
      <c r="I59" s="229" t="s">
        <v>3034</v>
      </c>
      <c r="J59" s="229">
        <v>40</v>
      </c>
      <c r="K59" s="229" t="s">
        <v>2733</v>
      </c>
      <c r="L59" s="232">
        <v>1</v>
      </c>
      <c r="M59" s="232" t="s">
        <v>64</v>
      </c>
      <c r="N59" s="231">
        <f t="shared" si="25"/>
        <v>4000</v>
      </c>
      <c r="O59" s="231">
        <f t="shared" si="13"/>
        <v>40</v>
      </c>
      <c r="P59" s="233">
        <v>7.09</v>
      </c>
      <c r="Q59" s="233">
        <f>P59*J59</f>
        <v>283.60000000000002</v>
      </c>
      <c r="R59" s="229" t="s">
        <v>2970</v>
      </c>
      <c r="S59" s="235"/>
      <c r="T59" s="229"/>
      <c r="U59" s="230" t="s">
        <v>3555</v>
      </c>
      <c r="V59" s="229"/>
      <c r="W59" s="232" t="e">
        <f ca="1">_xlfn.SINGLE(IF(AG59=0,"Yes","No"))</f>
        <v>#NAME?</v>
      </c>
      <c r="X59" s="456">
        <v>40</v>
      </c>
      <c r="Y59" s="230" t="s">
        <v>3555</v>
      </c>
      <c r="Z59" s="236">
        <v>43915</v>
      </c>
      <c r="AA59" s="237"/>
      <c r="AB59" s="236"/>
      <c r="AC59" s="236"/>
      <c r="AD59" s="237"/>
      <c r="AE59" s="236"/>
      <c r="AF59" s="236"/>
      <c r="AG59" s="238">
        <v>0</v>
      </c>
      <c r="AH59" s="248"/>
      <c r="AI59" s="240"/>
      <c r="AJ59" s="237">
        <f>+AG59*H59/2</f>
        <v>0</v>
      </c>
      <c r="AK59" s="241" t="e">
        <f t="shared" ca="1" si="15"/>
        <v>#NAME?</v>
      </c>
      <c r="AL59" s="235"/>
      <c r="AM59" s="229"/>
      <c r="AN59" s="229"/>
      <c r="AP59" s="228" t="s">
        <v>3572</v>
      </c>
      <c r="AQ59" s="228" t="s">
        <v>3557</v>
      </c>
      <c r="AR59" s="228" t="s">
        <v>3039</v>
      </c>
      <c r="AS59" s="242">
        <f t="shared" si="16"/>
        <v>283.60000000000002</v>
      </c>
      <c r="AT59" s="242">
        <f t="shared" si="17"/>
        <v>28.643600000000003</v>
      </c>
      <c r="AU59" s="242">
        <v>0</v>
      </c>
      <c r="AV59" s="242">
        <v>0</v>
      </c>
      <c r="AW59" s="242">
        <f t="shared" si="18"/>
        <v>312.24360000000001</v>
      </c>
      <c r="AX59" s="237">
        <f t="shared" si="12"/>
        <v>4000</v>
      </c>
      <c r="AY59" s="237" t="s">
        <v>2762</v>
      </c>
      <c r="AZ59" s="242">
        <f t="shared" si="23"/>
        <v>7.8060900000000003E-2</v>
      </c>
      <c r="BA59" s="242" t="s">
        <v>2769</v>
      </c>
      <c r="BB59" s="237" t="s">
        <v>2733</v>
      </c>
      <c r="BC59" s="242">
        <v>100</v>
      </c>
      <c r="BD59" s="242">
        <f t="shared" si="19"/>
        <v>7.8060900000000002</v>
      </c>
      <c r="BF59" s="228" t="s">
        <v>36</v>
      </c>
      <c r="BG59" s="227" t="s">
        <v>3040</v>
      </c>
    </row>
    <row r="60" spans="1:59" s="228" customFormat="1" ht="15" customHeight="1">
      <c r="A60" s="227">
        <v>43903</v>
      </c>
      <c r="B60" s="228" t="s">
        <v>3056</v>
      </c>
      <c r="C60" s="229" t="s">
        <v>3031</v>
      </c>
      <c r="D60" s="230" t="s">
        <v>3065</v>
      </c>
      <c r="E60" s="229" t="s">
        <v>3066</v>
      </c>
      <c r="F60" s="231" t="s">
        <v>2846</v>
      </c>
      <c r="G60" s="231" t="s">
        <v>2846</v>
      </c>
      <c r="H60" s="231">
        <v>100</v>
      </c>
      <c r="I60" s="229" t="s">
        <v>3034</v>
      </c>
      <c r="J60" s="229">
        <v>40</v>
      </c>
      <c r="K60" s="229" t="s">
        <v>2733</v>
      </c>
      <c r="L60" s="232">
        <v>1</v>
      </c>
      <c r="M60" s="232" t="s">
        <v>64</v>
      </c>
      <c r="N60" s="231">
        <f t="shared" si="25"/>
        <v>4000</v>
      </c>
      <c r="O60" s="231">
        <f t="shared" si="13"/>
        <v>40</v>
      </c>
      <c r="P60" s="233">
        <v>8</v>
      </c>
      <c r="Q60" s="234">
        <f>J60*L60*P60</f>
        <v>320</v>
      </c>
      <c r="R60" s="227">
        <v>43906</v>
      </c>
      <c r="S60" s="235" t="s">
        <v>3035</v>
      </c>
      <c r="T60" s="229" t="s">
        <v>3036</v>
      </c>
      <c r="U60" s="230" t="s">
        <v>3059</v>
      </c>
      <c r="V60" s="229"/>
      <c r="W60" s="232" t="str">
        <f>IF(AG60=0,"Yes","No")</f>
        <v>Yes</v>
      </c>
      <c r="X60" s="456">
        <v>40</v>
      </c>
      <c r="Y60" s="230" t="s">
        <v>3060</v>
      </c>
      <c r="Z60" s="236">
        <v>43915</v>
      </c>
      <c r="AA60" s="237"/>
      <c r="AB60" s="236"/>
      <c r="AC60" s="236"/>
      <c r="AD60" s="237"/>
      <c r="AE60" s="236"/>
      <c r="AF60" s="236"/>
      <c r="AG60" s="238">
        <f>(J60*L60)-X60-AA60-AD60</f>
        <v>0</v>
      </c>
      <c r="AH60" s="239"/>
      <c r="AI60" s="240"/>
      <c r="AJ60" s="237">
        <v>0</v>
      </c>
      <c r="AK60" s="241" t="e">
        <f t="shared" ca="1" si="15"/>
        <v>#NAME?</v>
      </c>
      <c r="AL60" s="235"/>
      <c r="AM60" s="229"/>
      <c r="AN60" s="229"/>
      <c r="AP60" s="228" t="s">
        <v>3067</v>
      </c>
      <c r="AQ60" s="228" t="s">
        <v>3062</v>
      </c>
      <c r="AR60" s="228" t="s">
        <v>3063</v>
      </c>
      <c r="AS60" s="242">
        <f t="shared" si="16"/>
        <v>320</v>
      </c>
      <c r="AT60" s="242">
        <f t="shared" si="17"/>
        <v>32.32</v>
      </c>
      <c r="AU60" s="242">
        <v>0</v>
      </c>
      <c r="AV60" s="242">
        <v>0</v>
      </c>
      <c r="AW60" s="242">
        <f t="shared" si="18"/>
        <v>352.32</v>
      </c>
      <c r="AX60" s="237">
        <f t="shared" si="12"/>
        <v>4000</v>
      </c>
      <c r="AY60" s="237" t="s">
        <v>2762</v>
      </c>
      <c r="AZ60" s="242">
        <f t="shared" si="23"/>
        <v>8.8079999999999992E-2</v>
      </c>
      <c r="BA60" s="242" t="s">
        <v>2765</v>
      </c>
      <c r="BB60" s="237" t="s">
        <v>2733</v>
      </c>
      <c r="BC60" s="242">
        <v>100</v>
      </c>
      <c r="BD60" s="242">
        <f t="shared" si="19"/>
        <v>8.8079999999999998</v>
      </c>
      <c r="BF60" s="228" t="s">
        <v>36</v>
      </c>
      <c r="BG60" s="227" t="s">
        <v>3040</v>
      </c>
    </row>
    <row r="61" spans="1:59" s="228" customFormat="1" ht="15" customHeight="1">
      <c r="A61" s="227">
        <v>43903</v>
      </c>
      <c r="B61" s="228" t="s">
        <v>3056</v>
      </c>
      <c r="C61" s="229" t="s">
        <v>3045</v>
      </c>
      <c r="D61" s="230" t="s">
        <v>3074</v>
      </c>
      <c r="E61" s="229" t="s">
        <v>3075</v>
      </c>
      <c r="F61" s="231" t="s">
        <v>2846</v>
      </c>
      <c r="G61" s="231" t="s">
        <v>2846</v>
      </c>
      <c r="H61" s="231">
        <v>100</v>
      </c>
      <c r="I61" s="229" t="s">
        <v>3034</v>
      </c>
      <c r="J61" s="229">
        <v>40</v>
      </c>
      <c r="K61" s="229" t="s">
        <v>2733</v>
      </c>
      <c r="L61" s="232">
        <v>1</v>
      </c>
      <c r="M61" s="232" t="s">
        <v>64</v>
      </c>
      <c r="N61" s="231">
        <f t="shared" si="25"/>
        <v>4000</v>
      </c>
      <c r="O61" s="231">
        <f t="shared" si="13"/>
        <v>40</v>
      </c>
      <c r="P61" s="233">
        <v>8</v>
      </c>
      <c r="Q61" s="234">
        <f>J61*L61*P61</f>
        <v>320</v>
      </c>
      <c r="R61" s="227">
        <v>43906</v>
      </c>
      <c r="S61" s="235" t="s">
        <v>3035</v>
      </c>
      <c r="T61" s="229" t="s">
        <v>3036</v>
      </c>
      <c r="U61" s="230" t="s">
        <v>3059</v>
      </c>
      <c r="V61" s="229"/>
      <c r="W61" s="232" t="str">
        <f>IF(AG61=0,"Yes","No")</f>
        <v>Yes</v>
      </c>
      <c r="X61" s="456">
        <v>40</v>
      </c>
      <c r="Y61" s="230" t="s">
        <v>3060</v>
      </c>
      <c r="Z61" s="236">
        <v>43915</v>
      </c>
      <c r="AA61" s="237"/>
      <c r="AB61" s="236"/>
      <c r="AC61" s="236"/>
      <c r="AD61" s="237"/>
      <c r="AE61" s="236"/>
      <c r="AF61" s="236"/>
      <c r="AG61" s="238">
        <f>(J61*L61)-X61-AA61-AD61</f>
        <v>0</v>
      </c>
      <c r="AH61" s="239"/>
      <c r="AI61" s="240"/>
      <c r="AJ61" s="237">
        <v>0</v>
      </c>
      <c r="AK61" s="241" t="e">
        <f t="shared" ca="1" si="15"/>
        <v>#NAME?</v>
      </c>
      <c r="AL61" s="235"/>
      <c r="AM61" s="229"/>
      <c r="AN61" s="229"/>
      <c r="AP61" s="228" t="s">
        <v>3076</v>
      </c>
      <c r="AQ61" s="228" t="s">
        <v>3062</v>
      </c>
      <c r="AR61" s="228" t="s">
        <v>3063</v>
      </c>
      <c r="AS61" s="242">
        <f t="shared" si="16"/>
        <v>320</v>
      </c>
      <c r="AT61" s="242">
        <f t="shared" si="17"/>
        <v>32.32</v>
      </c>
      <c r="AU61" s="242">
        <v>0</v>
      </c>
      <c r="AV61" s="242">
        <v>0</v>
      </c>
      <c r="AW61" s="242">
        <f t="shared" si="18"/>
        <v>352.32</v>
      </c>
      <c r="AX61" s="237">
        <f t="shared" si="12"/>
        <v>4000</v>
      </c>
      <c r="AY61" s="237" t="s">
        <v>2762</v>
      </c>
      <c r="AZ61" s="242">
        <f t="shared" si="23"/>
        <v>8.8079999999999992E-2</v>
      </c>
      <c r="BA61" s="242" t="s">
        <v>2773</v>
      </c>
      <c r="BB61" s="237" t="s">
        <v>2733</v>
      </c>
      <c r="BC61" s="242">
        <v>100</v>
      </c>
      <c r="BD61" s="242">
        <f t="shared" si="19"/>
        <v>8.8079999999999998</v>
      </c>
      <c r="BF61" s="228" t="s">
        <v>36</v>
      </c>
      <c r="BG61" s="227" t="s">
        <v>3040</v>
      </c>
    </row>
    <row r="62" spans="1:59" s="228" customFormat="1" ht="15" customHeight="1">
      <c r="A62" s="227">
        <v>43903</v>
      </c>
      <c r="B62" s="228" t="s">
        <v>3552</v>
      </c>
      <c r="C62" s="229" t="s">
        <v>3045</v>
      </c>
      <c r="D62" s="230" t="s">
        <v>3567</v>
      </c>
      <c r="E62" s="229" t="s">
        <v>3568</v>
      </c>
      <c r="F62" s="231" t="s">
        <v>2846</v>
      </c>
      <c r="G62" s="231" t="s">
        <v>2846</v>
      </c>
      <c r="H62" s="231">
        <v>100</v>
      </c>
      <c r="I62" s="229" t="s">
        <v>3034</v>
      </c>
      <c r="J62" s="229">
        <v>45</v>
      </c>
      <c r="K62" s="229" t="s">
        <v>2733</v>
      </c>
      <c r="L62" s="232">
        <v>1</v>
      </c>
      <c r="M62" s="232" t="s">
        <v>64</v>
      </c>
      <c r="N62" s="231">
        <f t="shared" si="25"/>
        <v>4500</v>
      </c>
      <c r="O62" s="231">
        <f t="shared" si="13"/>
        <v>45</v>
      </c>
      <c r="P62" s="233">
        <v>7.09</v>
      </c>
      <c r="Q62" s="233">
        <f>P62*J62</f>
        <v>319.05</v>
      </c>
      <c r="R62" s="229" t="s">
        <v>2970</v>
      </c>
      <c r="S62" s="235"/>
      <c r="T62" s="229"/>
      <c r="U62" s="230" t="s">
        <v>3555</v>
      </c>
      <c r="V62" s="229"/>
      <c r="W62" s="232" t="e">
        <f ca="1">_xlfn.SINGLE(IF(AG62=0,"Yes","No"))</f>
        <v>#NAME?</v>
      </c>
      <c r="X62" s="456">
        <v>45</v>
      </c>
      <c r="Y62" s="230" t="s">
        <v>3555</v>
      </c>
      <c r="Z62" s="236">
        <v>43915</v>
      </c>
      <c r="AA62" s="237"/>
      <c r="AB62" s="236"/>
      <c r="AC62" s="236"/>
      <c r="AD62" s="237"/>
      <c r="AE62" s="236"/>
      <c r="AF62" s="236"/>
      <c r="AG62" s="238">
        <f>(Q62/P62)-X62-AA62-AD62</f>
        <v>0</v>
      </c>
      <c r="AH62" s="248"/>
      <c r="AI62" s="229"/>
      <c r="AJ62" s="237"/>
      <c r="AK62" s="241" t="e">
        <f t="shared" ca="1" si="15"/>
        <v>#NAME?</v>
      </c>
      <c r="AL62" s="235"/>
      <c r="AM62" s="229"/>
      <c r="AN62" s="229"/>
      <c r="AP62" s="228" t="s">
        <v>3569</v>
      </c>
      <c r="AQ62" s="228" t="s">
        <v>3557</v>
      </c>
      <c r="AR62" s="228" t="s">
        <v>3039</v>
      </c>
      <c r="AS62" s="242">
        <f t="shared" si="16"/>
        <v>319.05</v>
      </c>
      <c r="AT62" s="242">
        <f t="shared" si="17"/>
        <v>32.224050000000005</v>
      </c>
      <c r="AU62" s="242">
        <v>0</v>
      </c>
      <c r="AV62" s="242">
        <v>0</v>
      </c>
      <c r="AW62" s="242">
        <f t="shared" si="18"/>
        <v>351.27404999999999</v>
      </c>
      <c r="AX62" s="237">
        <f t="shared" si="12"/>
        <v>4500</v>
      </c>
      <c r="AY62" s="237" t="s">
        <v>2762</v>
      </c>
      <c r="AZ62" s="242">
        <f t="shared" si="23"/>
        <v>7.8060900000000003E-2</v>
      </c>
      <c r="BA62" s="242" t="s">
        <v>2773</v>
      </c>
      <c r="BB62" s="237" t="s">
        <v>2733</v>
      </c>
      <c r="BC62" s="242">
        <v>100</v>
      </c>
      <c r="BD62" s="242">
        <f t="shared" si="19"/>
        <v>7.8060900000000002</v>
      </c>
      <c r="BF62" s="228" t="s">
        <v>36</v>
      </c>
      <c r="BG62" s="227" t="s">
        <v>3040</v>
      </c>
    </row>
    <row r="63" spans="1:59" s="228" customFormat="1" ht="15" customHeight="1">
      <c r="A63" s="227">
        <v>43903</v>
      </c>
      <c r="B63" s="228" t="s">
        <v>3552</v>
      </c>
      <c r="C63" s="229" t="s">
        <v>3270</v>
      </c>
      <c r="D63" s="230" t="s">
        <v>3553</v>
      </c>
      <c r="E63" s="229" t="s">
        <v>3554</v>
      </c>
      <c r="F63" s="231" t="s">
        <v>2846</v>
      </c>
      <c r="G63" s="231" t="s">
        <v>2846</v>
      </c>
      <c r="H63" s="231">
        <v>80</v>
      </c>
      <c r="I63" s="229" t="s">
        <v>2792</v>
      </c>
      <c r="J63" s="229" t="s">
        <v>2846</v>
      </c>
      <c r="K63" s="229" t="s">
        <v>2846</v>
      </c>
      <c r="L63" s="232">
        <v>45</v>
      </c>
      <c r="M63" s="232" t="s">
        <v>2953</v>
      </c>
      <c r="N63" s="231">
        <f>L63*H63</f>
        <v>3600</v>
      </c>
      <c r="O63" s="231">
        <f>L63</f>
        <v>45</v>
      </c>
      <c r="P63" s="233">
        <v>40.24</v>
      </c>
      <c r="Q63" s="233">
        <f>P63*L63</f>
        <v>1810.8000000000002</v>
      </c>
      <c r="R63" s="229" t="s">
        <v>2970</v>
      </c>
      <c r="S63" s="235"/>
      <c r="T63" s="229"/>
      <c r="U63" s="230" t="s">
        <v>3555</v>
      </c>
      <c r="V63" s="229"/>
      <c r="W63" s="232" t="e">
        <f ca="1">_xlfn.SINGLE(IF(AG63=0,"Yes","No"))</f>
        <v>#NAME?</v>
      </c>
      <c r="X63" s="456">
        <v>45</v>
      </c>
      <c r="Y63" s="230" t="s">
        <v>3555</v>
      </c>
      <c r="Z63" s="236">
        <v>43915</v>
      </c>
      <c r="AA63" s="237"/>
      <c r="AB63" s="236"/>
      <c r="AC63" s="236"/>
      <c r="AD63" s="237"/>
      <c r="AE63" s="236"/>
      <c r="AF63" s="236"/>
      <c r="AG63" s="238">
        <f>(Q63/P63)-X63-AA63-AD63</f>
        <v>0</v>
      </c>
      <c r="AH63" s="248"/>
      <c r="AI63" s="229"/>
      <c r="AJ63" s="237"/>
      <c r="AK63" s="241" t="e">
        <f t="shared" ca="1" si="15"/>
        <v>#NAME?</v>
      </c>
      <c r="AL63" s="235"/>
      <c r="AM63" s="229"/>
      <c r="AN63" s="229"/>
      <c r="AP63" s="228" t="s">
        <v>3556</v>
      </c>
      <c r="AQ63" s="228" t="s">
        <v>3557</v>
      </c>
      <c r="AR63" s="228" t="s">
        <v>3039</v>
      </c>
      <c r="AS63" s="242">
        <f t="shared" si="16"/>
        <v>1810.8000000000002</v>
      </c>
      <c r="AT63" s="242">
        <f t="shared" si="17"/>
        <v>182.89080000000004</v>
      </c>
      <c r="AU63" s="242">
        <v>0</v>
      </c>
      <c r="AV63" s="242">
        <v>0</v>
      </c>
      <c r="AW63" s="242">
        <f t="shared" si="18"/>
        <v>1993.6908000000003</v>
      </c>
      <c r="AX63" s="237">
        <f t="shared" si="12"/>
        <v>3600</v>
      </c>
      <c r="AY63" s="242"/>
      <c r="AZ63" s="242">
        <f t="shared" si="23"/>
        <v>0.55380300000000005</v>
      </c>
      <c r="BA63" s="242" t="s">
        <v>2790</v>
      </c>
      <c r="BB63" s="242" t="s">
        <v>2953</v>
      </c>
      <c r="BC63" s="242">
        <v>60</v>
      </c>
      <c r="BD63" s="242">
        <f t="shared" si="19"/>
        <v>33.228180000000002</v>
      </c>
      <c r="BF63" s="228" t="s">
        <v>3162</v>
      </c>
      <c r="BG63" s="227" t="s">
        <v>3040</v>
      </c>
    </row>
    <row r="64" spans="1:59" s="228" customFormat="1" ht="15" customHeight="1">
      <c r="A64" s="227">
        <v>43903</v>
      </c>
      <c r="B64" s="228" t="s">
        <v>3552</v>
      </c>
      <c r="C64" s="229" t="s">
        <v>3031</v>
      </c>
      <c r="D64" s="230" t="s">
        <v>3564</v>
      </c>
      <c r="E64" s="229" t="s">
        <v>3565</v>
      </c>
      <c r="F64" s="231" t="s">
        <v>2846</v>
      </c>
      <c r="G64" s="231" t="s">
        <v>2846</v>
      </c>
      <c r="H64" s="231">
        <v>100</v>
      </c>
      <c r="I64" s="229" t="s">
        <v>3034</v>
      </c>
      <c r="J64" s="229">
        <v>50</v>
      </c>
      <c r="K64" s="229" t="s">
        <v>2733</v>
      </c>
      <c r="L64" s="232">
        <v>1</v>
      </c>
      <c r="M64" s="232" t="s">
        <v>64</v>
      </c>
      <c r="N64" s="231">
        <f t="shared" ref="N64:N76" si="26">L64*J64*H64</f>
        <v>5000</v>
      </c>
      <c r="O64" s="231">
        <f t="shared" ref="O64:O88" si="27">J64*L64</f>
        <v>50</v>
      </c>
      <c r="P64" s="233">
        <v>7.09</v>
      </c>
      <c r="Q64" s="233">
        <f>P64*J64</f>
        <v>354.5</v>
      </c>
      <c r="R64" s="229" t="s">
        <v>2970</v>
      </c>
      <c r="S64" s="235"/>
      <c r="T64" s="229"/>
      <c r="U64" s="230" t="s">
        <v>3555</v>
      </c>
      <c r="V64" s="229"/>
      <c r="W64" s="232" t="e">
        <f ca="1">_xlfn.SINGLE(IF(AG64=0,"Yes","No"))</f>
        <v>#NAME?</v>
      </c>
      <c r="X64" s="456">
        <v>50</v>
      </c>
      <c r="Y64" s="230" t="s">
        <v>3555</v>
      </c>
      <c r="Z64" s="236">
        <v>43915</v>
      </c>
      <c r="AA64" s="237"/>
      <c r="AB64" s="236"/>
      <c r="AC64" s="236"/>
      <c r="AD64" s="237"/>
      <c r="AE64" s="236"/>
      <c r="AF64" s="236"/>
      <c r="AG64" s="238">
        <f>(Q64/P64)-X64-AA64-AD64</f>
        <v>0</v>
      </c>
      <c r="AH64" s="248"/>
      <c r="AI64" s="229"/>
      <c r="AJ64" s="237"/>
      <c r="AK64" s="241" t="e">
        <f t="shared" ca="1" si="15"/>
        <v>#NAME?</v>
      </c>
      <c r="AL64" s="235"/>
      <c r="AM64" s="229"/>
      <c r="AN64" s="229"/>
      <c r="AP64" s="228" t="s">
        <v>3566</v>
      </c>
      <c r="AQ64" s="228" t="s">
        <v>3557</v>
      </c>
      <c r="AR64" s="228" t="s">
        <v>3039</v>
      </c>
      <c r="AS64" s="242">
        <f t="shared" si="16"/>
        <v>354.5</v>
      </c>
      <c r="AT64" s="242">
        <f t="shared" si="17"/>
        <v>35.804500000000004</v>
      </c>
      <c r="AU64" s="242">
        <v>0</v>
      </c>
      <c r="AV64" s="242">
        <v>0</v>
      </c>
      <c r="AW64" s="242">
        <f t="shared" si="18"/>
        <v>390.30450000000002</v>
      </c>
      <c r="AX64" s="237">
        <f t="shared" si="12"/>
        <v>5000</v>
      </c>
      <c r="AY64" s="237" t="s">
        <v>2762</v>
      </c>
      <c r="AZ64" s="242">
        <f t="shared" si="23"/>
        <v>7.8060900000000003E-2</v>
      </c>
      <c r="BA64" s="242" t="s">
        <v>2765</v>
      </c>
      <c r="BB64" s="237" t="s">
        <v>2733</v>
      </c>
      <c r="BC64" s="242">
        <v>100</v>
      </c>
      <c r="BD64" s="242">
        <f t="shared" si="19"/>
        <v>7.8060900000000002</v>
      </c>
      <c r="BF64" s="228" t="s">
        <v>36</v>
      </c>
      <c r="BG64" s="227" t="s">
        <v>3040</v>
      </c>
    </row>
    <row r="65" spans="1:59" s="228" customFormat="1" ht="15" customHeight="1">
      <c r="A65" s="227">
        <v>43903</v>
      </c>
      <c r="B65" s="228" t="s">
        <v>3056</v>
      </c>
      <c r="C65" s="229" t="s">
        <v>3045</v>
      </c>
      <c r="D65" s="230" t="s">
        <v>3078</v>
      </c>
      <c r="E65" s="229" t="s">
        <v>3079</v>
      </c>
      <c r="F65" s="231" t="s">
        <v>2846</v>
      </c>
      <c r="G65" s="231" t="s">
        <v>2846</v>
      </c>
      <c r="H65" s="231">
        <v>100</v>
      </c>
      <c r="I65" s="229" t="s">
        <v>3034</v>
      </c>
      <c r="J65" s="229">
        <v>60</v>
      </c>
      <c r="K65" s="229" t="s">
        <v>2733</v>
      </c>
      <c r="L65" s="232">
        <v>1</v>
      </c>
      <c r="M65" s="232" t="s">
        <v>64</v>
      </c>
      <c r="N65" s="231">
        <f t="shared" si="26"/>
        <v>6000</v>
      </c>
      <c r="O65" s="231">
        <f t="shared" si="27"/>
        <v>60</v>
      </c>
      <c r="P65" s="233">
        <v>8</v>
      </c>
      <c r="Q65" s="234">
        <f>J65*L65*P65</f>
        <v>480</v>
      </c>
      <c r="R65" s="227">
        <v>43906</v>
      </c>
      <c r="S65" s="235" t="s">
        <v>3035</v>
      </c>
      <c r="T65" s="229" t="s">
        <v>3036</v>
      </c>
      <c r="U65" s="230" t="s">
        <v>3059</v>
      </c>
      <c r="V65" s="229"/>
      <c r="W65" s="232" t="str">
        <f>IF(AG65=0,"Yes","No")</f>
        <v>Yes</v>
      </c>
      <c r="X65" s="456">
        <v>60</v>
      </c>
      <c r="Y65" s="230" t="s">
        <v>3060</v>
      </c>
      <c r="Z65" s="236">
        <v>43915</v>
      </c>
      <c r="AA65" s="237"/>
      <c r="AB65" s="236"/>
      <c r="AC65" s="236"/>
      <c r="AD65" s="237"/>
      <c r="AE65" s="236"/>
      <c r="AF65" s="236"/>
      <c r="AG65" s="238">
        <f>(J65*L65)-X65-AA65-AD65</f>
        <v>0</v>
      </c>
      <c r="AH65" s="239"/>
      <c r="AI65" s="240"/>
      <c r="AJ65" s="237">
        <v>0</v>
      </c>
      <c r="AK65" s="241" t="e">
        <f t="shared" ca="1" si="15"/>
        <v>#NAME?</v>
      </c>
      <c r="AL65" s="235"/>
      <c r="AM65" s="229"/>
      <c r="AN65" s="229"/>
      <c r="AP65" s="228" t="s">
        <v>3080</v>
      </c>
      <c r="AQ65" s="228" t="s">
        <v>3062</v>
      </c>
      <c r="AR65" s="228" t="s">
        <v>3063</v>
      </c>
      <c r="AS65" s="242">
        <f t="shared" si="16"/>
        <v>480</v>
      </c>
      <c r="AT65" s="242">
        <f t="shared" si="17"/>
        <v>48.480000000000004</v>
      </c>
      <c r="AU65" s="242">
        <v>0</v>
      </c>
      <c r="AV65" s="242">
        <v>0</v>
      </c>
      <c r="AW65" s="242">
        <f t="shared" si="18"/>
        <v>528.48</v>
      </c>
      <c r="AX65" s="237">
        <f t="shared" si="12"/>
        <v>6000</v>
      </c>
      <c r="AY65" s="237" t="s">
        <v>2762</v>
      </c>
      <c r="AZ65" s="242">
        <f t="shared" si="23"/>
        <v>8.8080000000000006E-2</v>
      </c>
      <c r="BA65" s="242" t="s">
        <v>2773</v>
      </c>
      <c r="BB65" s="237" t="s">
        <v>2733</v>
      </c>
      <c r="BC65" s="242">
        <v>100</v>
      </c>
      <c r="BD65" s="242">
        <f t="shared" si="19"/>
        <v>8.8079999999999998</v>
      </c>
      <c r="BF65" s="228" t="s">
        <v>36</v>
      </c>
      <c r="BG65" s="227" t="s">
        <v>3040</v>
      </c>
    </row>
    <row r="66" spans="1:59" s="228" customFormat="1" ht="15" customHeight="1">
      <c r="A66" s="227">
        <v>43903</v>
      </c>
      <c r="B66" s="228" t="s">
        <v>3552</v>
      </c>
      <c r="C66" s="229" t="s">
        <v>3069</v>
      </c>
      <c r="D66" s="230" t="s">
        <v>3561</v>
      </c>
      <c r="E66" s="229" t="s">
        <v>3562</v>
      </c>
      <c r="F66" s="231" t="s">
        <v>2846</v>
      </c>
      <c r="G66" s="231" t="s">
        <v>2846</v>
      </c>
      <c r="H66" s="231">
        <v>100</v>
      </c>
      <c r="I66" s="229" t="s">
        <v>3034</v>
      </c>
      <c r="J66" s="229">
        <v>70</v>
      </c>
      <c r="K66" s="229" t="s">
        <v>2733</v>
      </c>
      <c r="L66" s="232">
        <v>1</v>
      </c>
      <c r="M66" s="232" t="s">
        <v>64</v>
      </c>
      <c r="N66" s="231">
        <f t="shared" si="26"/>
        <v>7000</v>
      </c>
      <c r="O66" s="231">
        <f t="shared" si="27"/>
        <v>70</v>
      </c>
      <c r="P66" s="233">
        <v>7.09</v>
      </c>
      <c r="Q66" s="233">
        <f>P66*J66</f>
        <v>496.3</v>
      </c>
      <c r="R66" s="229" t="s">
        <v>2970</v>
      </c>
      <c r="S66" s="235"/>
      <c r="T66" s="229"/>
      <c r="U66" s="230" t="s">
        <v>3555</v>
      </c>
      <c r="V66" s="229"/>
      <c r="W66" s="232" t="e">
        <f ca="1">_xlfn.SINGLE(IF(AG66=0,"Yes","No"))</f>
        <v>#NAME?</v>
      </c>
      <c r="X66" s="456">
        <v>70</v>
      </c>
      <c r="Y66" s="230" t="s">
        <v>3555</v>
      </c>
      <c r="Z66" s="236">
        <v>43915</v>
      </c>
      <c r="AA66" s="237"/>
      <c r="AB66" s="236"/>
      <c r="AC66" s="236"/>
      <c r="AD66" s="237"/>
      <c r="AE66" s="236"/>
      <c r="AF66" s="236"/>
      <c r="AG66" s="238">
        <f>(Q66/P66)-X66-AA66-AD66</f>
        <v>0</v>
      </c>
      <c r="AH66" s="248"/>
      <c r="AI66" s="229"/>
      <c r="AJ66" s="237"/>
      <c r="AK66" s="241" t="e">
        <f t="shared" ref="AK66:AK98" ca="1" si="28">_xlfn.SINGLE(IF(R66="TBD",49674,R66))</f>
        <v>#NAME?</v>
      </c>
      <c r="AL66" s="235"/>
      <c r="AM66" s="229"/>
      <c r="AN66" s="229"/>
      <c r="AP66" s="228" t="s">
        <v>3563</v>
      </c>
      <c r="AQ66" s="228" t="s">
        <v>3557</v>
      </c>
      <c r="AR66" s="228" t="s">
        <v>3039</v>
      </c>
      <c r="AS66" s="242">
        <f t="shared" ref="AS66:AS98" si="29">+Q66</f>
        <v>496.3</v>
      </c>
      <c r="AT66" s="242">
        <f t="shared" ref="AT66:AT97" si="30">+AS66*0.101</f>
        <v>50.126300000000008</v>
      </c>
      <c r="AU66" s="242">
        <v>0</v>
      </c>
      <c r="AV66" s="242">
        <v>0</v>
      </c>
      <c r="AW66" s="242">
        <f t="shared" ref="AW66:AW97" si="31">SUBTOTAL(9,AS66:AV66)</f>
        <v>546.42629999999997</v>
      </c>
      <c r="AX66" s="237">
        <f t="shared" si="12"/>
        <v>7000</v>
      </c>
      <c r="AY66" s="237" t="s">
        <v>2762</v>
      </c>
      <c r="AZ66" s="242">
        <f t="shared" si="23"/>
        <v>7.8060900000000003E-2</v>
      </c>
      <c r="BA66" s="242" t="s">
        <v>2760</v>
      </c>
      <c r="BB66" s="237" t="s">
        <v>2733</v>
      </c>
      <c r="BC66" s="242">
        <v>100</v>
      </c>
      <c r="BD66" s="242">
        <f t="shared" ref="BD66:BD97" si="32">+AZ66*BC66</f>
        <v>7.8060900000000002</v>
      </c>
      <c r="BF66" s="228" t="s">
        <v>36</v>
      </c>
      <c r="BG66" s="227" t="s">
        <v>3040</v>
      </c>
    </row>
    <row r="67" spans="1:59" s="96" customFormat="1" ht="15" customHeight="1">
      <c r="A67" s="227">
        <v>43903</v>
      </c>
      <c r="B67" s="228" t="s">
        <v>3056</v>
      </c>
      <c r="C67" s="229" t="s">
        <v>3069</v>
      </c>
      <c r="D67" s="230" t="s">
        <v>3193</v>
      </c>
      <c r="E67" s="229" t="s">
        <v>3194</v>
      </c>
      <c r="F67" s="231" t="s">
        <v>2846</v>
      </c>
      <c r="G67" s="231" t="s">
        <v>2846</v>
      </c>
      <c r="H67" s="231">
        <v>100</v>
      </c>
      <c r="I67" s="229" t="s">
        <v>3034</v>
      </c>
      <c r="J67" s="229">
        <v>88</v>
      </c>
      <c r="K67" s="229" t="s">
        <v>2733</v>
      </c>
      <c r="L67" s="232">
        <v>1</v>
      </c>
      <c r="M67" s="232" t="s">
        <v>64</v>
      </c>
      <c r="N67" s="231">
        <f t="shared" si="26"/>
        <v>8800</v>
      </c>
      <c r="O67" s="231">
        <f t="shared" si="27"/>
        <v>88</v>
      </c>
      <c r="P67" s="233">
        <v>6.5</v>
      </c>
      <c r="Q67" s="234">
        <f>J67*L67*P67</f>
        <v>572</v>
      </c>
      <c r="R67" s="227">
        <v>43903</v>
      </c>
      <c r="S67" s="235" t="s">
        <v>3035</v>
      </c>
      <c r="T67" s="229" t="s">
        <v>3036</v>
      </c>
      <c r="U67" s="230" t="s">
        <v>3186</v>
      </c>
      <c r="V67" s="229"/>
      <c r="W67" s="232" t="str">
        <f t="shared" ref="W67:W85" si="33">IF(AG67=0,"Yes","No")</f>
        <v>Yes</v>
      </c>
      <c r="X67" s="456">
        <v>88</v>
      </c>
      <c r="Y67" s="230" t="s">
        <v>3095</v>
      </c>
      <c r="Z67" s="236">
        <v>43915</v>
      </c>
      <c r="AA67" s="237"/>
      <c r="AB67" s="236"/>
      <c r="AC67" s="236"/>
      <c r="AD67" s="237"/>
      <c r="AE67" s="236"/>
      <c r="AF67" s="236"/>
      <c r="AG67" s="238">
        <f>(J67*L67)-X67-AA67-AD67</f>
        <v>0</v>
      </c>
      <c r="AH67" s="239"/>
      <c r="AI67" s="240"/>
      <c r="AJ67" s="237"/>
      <c r="AK67" s="241" t="e">
        <f t="shared" ca="1" si="28"/>
        <v>#NAME?</v>
      </c>
      <c r="AL67" s="235"/>
      <c r="AM67" s="229"/>
      <c r="AN67" s="229"/>
      <c r="AO67" s="228"/>
      <c r="AP67" s="228" t="s">
        <v>3195</v>
      </c>
      <c r="AQ67" s="228" t="s">
        <v>3097</v>
      </c>
      <c r="AR67" s="228" t="s">
        <v>3063</v>
      </c>
      <c r="AS67" s="242">
        <f t="shared" si="29"/>
        <v>572</v>
      </c>
      <c r="AT67" s="242">
        <f t="shared" si="30"/>
        <v>57.772000000000006</v>
      </c>
      <c r="AU67" s="242">
        <v>0</v>
      </c>
      <c r="AV67" s="242">
        <v>0</v>
      </c>
      <c r="AW67" s="242">
        <f t="shared" si="31"/>
        <v>629.77200000000005</v>
      </c>
      <c r="AX67" s="237">
        <f t="shared" si="12"/>
        <v>8800</v>
      </c>
      <c r="AY67" s="237" t="s">
        <v>2762</v>
      </c>
      <c r="AZ67" s="242">
        <f t="shared" si="23"/>
        <v>7.1565000000000004E-2</v>
      </c>
      <c r="BA67" s="242" t="s">
        <v>2760</v>
      </c>
      <c r="BB67" s="237" t="s">
        <v>2733</v>
      </c>
      <c r="BC67" s="242">
        <v>100</v>
      </c>
      <c r="BD67" s="242">
        <f t="shared" si="32"/>
        <v>7.1565000000000003</v>
      </c>
      <c r="BE67" s="228"/>
      <c r="BF67" s="228" t="s">
        <v>36</v>
      </c>
      <c r="BG67" s="227" t="s">
        <v>3040</v>
      </c>
    </row>
    <row r="68" spans="1:59" s="96" customFormat="1" ht="15" customHeight="1">
      <c r="A68" s="227">
        <v>43903</v>
      </c>
      <c r="B68" s="228" t="s">
        <v>3129</v>
      </c>
      <c r="C68" s="229" t="s">
        <v>95</v>
      </c>
      <c r="D68" s="230" t="s">
        <v>3300</v>
      </c>
      <c r="E68" s="229" t="s">
        <v>3301</v>
      </c>
      <c r="F68" s="231" t="s">
        <v>2846</v>
      </c>
      <c r="G68" s="231" t="s">
        <v>2846</v>
      </c>
      <c r="H68" s="231">
        <v>250</v>
      </c>
      <c r="I68" s="229" t="s">
        <v>3157</v>
      </c>
      <c r="J68" s="229">
        <v>16</v>
      </c>
      <c r="K68" s="229" t="s">
        <v>2781</v>
      </c>
      <c r="L68" s="232">
        <v>175</v>
      </c>
      <c r="M68" s="232" t="s">
        <v>2953</v>
      </c>
      <c r="N68" s="231">
        <f t="shared" si="26"/>
        <v>700000</v>
      </c>
      <c r="O68" s="231">
        <f t="shared" si="27"/>
        <v>2800</v>
      </c>
      <c r="P68" s="233">
        <v>24.3</v>
      </c>
      <c r="Q68" s="234">
        <f>L68*P68</f>
        <v>4252.5</v>
      </c>
      <c r="R68" s="227">
        <v>43910</v>
      </c>
      <c r="S68" s="235" t="s">
        <v>3035</v>
      </c>
      <c r="T68" s="229" t="s">
        <v>3036</v>
      </c>
      <c r="U68" s="230" t="s">
        <v>3158</v>
      </c>
      <c r="V68" s="229"/>
      <c r="W68" s="232" t="str">
        <f t="shared" si="33"/>
        <v>Yes</v>
      </c>
      <c r="X68" s="456">
        <v>90</v>
      </c>
      <c r="Y68" s="230" t="s">
        <v>3159</v>
      </c>
      <c r="Z68" s="236">
        <v>43992</v>
      </c>
      <c r="AA68" s="231">
        <v>85</v>
      </c>
      <c r="AB68" s="230" t="s">
        <v>3302</v>
      </c>
      <c r="AC68" s="236">
        <v>43915</v>
      </c>
      <c r="AD68" s="237"/>
      <c r="AE68" s="228"/>
      <c r="AF68" s="228"/>
      <c r="AG68" s="238">
        <f>(Q68/P68)-X68-AA68-AD68</f>
        <v>0</v>
      </c>
      <c r="AH68" s="239"/>
      <c r="AI68" s="229"/>
      <c r="AJ68" s="237"/>
      <c r="AK68" s="241" t="e">
        <f t="shared" ca="1" si="28"/>
        <v>#NAME?</v>
      </c>
      <c r="AL68" s="235" t="s">
        <v>3303</v>
      </c>
      <c r="AM68" s="229"/>
      <c r="AN68" s="229"/>
      <c r="AO68" s="228"/>
      <c r="AP68" s="228" t="s">
        <v>3304</v>
      </c>
      <c r="AQ68" s="228" t="s">
        <v>3305</v>
      </c>
      <c r="AR68" s="228" t="s">
        <v>3063</v>
      </c>
      <c r="AS68" s="242">
        <f t="shared" si="29"/>
        <v>4252.5</v>
      </c>
      <c r="AT68" s="242">
        <f t="shared" si="30"/>
        <v>429.50250000000005</v>
      </c>
      <c r="AU68" s="242">
        <v>0</v>
      </c>
      <c r="AV68" s="242">
        <v>0</v>
      </c>
      <c r="AW68" s="242">
        <f t="shared" si="31"/>
        <v>4682.0025000000005</v>
      </c>
      <c r="AX68" s="237">
        <f>+O68</f>
        <v>2800</v>
      </c>
      <c r="AY68" s="242" t="s">
        <v>2781</v>
      </c>
      <c r="AZ68" s="242">
        <f t="shared" si="23"/>
        <v>1.6721437500000003</v>
      </c>
      <c r="BA68" s="242" t="s">
        <v>2779</v>
      </c>
      <c r="BB68" s="242" t="s">
        <v>2953</v>
      </c>
      <c r="BC68" s="242">
        <v>12</v>
      </c>
      <c r="BD68" s="242">
        <f t="shared" si="32"/>
        <v>20.065725000000004</v>
      </c>
      <c r="BE68" s="228"/>
      <c r="BF68" s="228" t="s">
        <v>3162</v>
      </c>
      <c r="BG68" s="227" t="s">
        <v>3040</v>
      </c>
    </row>
    <row r="69" spans="1:59" s="96" customFormat="1" ht="15" customHeight="1">
      <c r="A69" s="227">
        <v>43903</v>
      </c>
      <c r="B69" s="228" t="s">
        <v>3056</v>
      </c>
      <c r="C69" s="229" t="s">
        <v>3045</v>
      </c>
      <c r="D69" s="230" t="s">
        <v>3101</v>
      </c>
      <c r="E69" s="229" t="s">
        <v>3102</v>
      </c>
      <c r="F69" s="231" t="s">
        <v>2846</v>
      </c>
      <c r="G69" s="231" t="s">
        <v>2846</v>
      </c>
      <c r="H69" s="231">
        <v>100</v>
      </c>
      <c r="I69" s="229" t="s">
        <v>3034</v>
      </c>
      <c r="J69" s="229">
        <v>92</v>
      </c>
      <c r="K69" s="229" t="s">
        <v>2733</v>
      </c>
      <c r="L69" s="232">
        <v>1</v>
      </c>
      <c r="M69" s="232" t="s">
        <v>64</v>
      </c>
      <c r="N69" s="231">
        <f t="shared" si="26"/>
        <v>9200</v>
      </c>
      <c r="O69" s="231">
        <f t="shared" si="27"/>
        <v>92</v>
      </c>
      <c r="P69" s="233">
        <v>7.6</v>
      </c>
      <c r="Q69" s="234">
        <f>J69*L69*P69</f>
        <v>699.19999999999993</v>
      </c>
      <c r="R69" s="227">
        <v>43903</v>
      </c>
      <c r="S69" s="235" t="s">
        <v>3035</v>
      </c>
      <c r="T69" s="229" t="s">
        <v>3036</v>
      </c>
      <c r="U69" s="230" t="s">
        <v>3094</v>
      </c>
      <c r="V69" s="229"/>
      <c r="W69" s="232" t="str">
        <f t="shared" si="33"/>
        <v>Yes</v>
      </c>
      <c r="X69" s="456">
        <v>92</v>
      </c>
      <c r="Y69" s="230" t="s">
        <v>3095</v>
      </c>
      <c r="Z69" s="236">
        <v>43915</v>
      </c>
      <c r="AA69" s="237"/>
      <c r="AB69" s="236"/>
      <c r="AC69" s="236"/>
      <c r="AD69" s="237"/>
      <c r="AE69" s="236"/>
      <c r="AF69" s="236"/>
      <c r="AG69" s="238">
        <f>(J69*L69)-X69-AA69-AD69</f>
        <v>0</v>
      </c>
      <c r="AH69" s="239"/>
      <c r="AI69" s="240"/>
      <c r="AJ69" s="237">
        <v>0</v>
      </c>
      <c r="AK69" s="241" t="e">
        <f t="shared" ca="1" si="28"/>
        <v>#NAME?</v>
      </c>
      <c r="AL69" s="235"/>
      <c r="AM69" s="229"/>
      <c r="AN69" s="229"/>
      <c r="AO69" s="228"/>
      <c r="AP69" s="228" t="s">
        <v>3103</v>
      </c>
      <c r="AQ69" s="228" t="s">
        <v>3097</v>
      </c>
      <c r="AR69" s="228" t="s">
        <v>3063</v>
      </c>
      <c r="AS69" s="242">
        <f t="shared" si="29"/>
        <v>699.19999999999993</v>
      </c>
      <c r="AT69" s="242">
        <f t="shared" si="30"/>
        <v>70.619199999999992</v>
      </c>
      <c r="AU69" s="242">
        <v>0</v>
      </c>
      <c r="AV69" s="242">
        <v>0</v>
      </c>
      <c r="AW69" s="242">
        <f t="shared" si="31"/>
        <v>769.81919999999991</v>
      </c>
      <c r="AX69" s="237">
        <f>+N69</f>
        <v>9200</v>
      </c>
      <c r="AY69" s="237" t="s">
        <v>2762</v>
      </c>
      <c r="AZ69" s="242">
        <f t="shared" si="23"/>
        <v>8.3675999999999987E-2</v>
      </c>
      <c r="BA69" s="242" t="s">
        <v>2775</v>
      </c>
      <c r="BB69" s="237" t="s">
        <v>2733</v>
      </c>
      <c r="BC69" s="242">
        <v>100</v>
      </c>
      <c r="BD69" s="242">
        <f t="shared" si="32"/>
        <v>8.3675999999999995</v>
      </c>
      <c r="BE69" s="228"/>
      <c r="BF69" s="228" t="s">
        <v>36</v>
      </c>
      <c r="BG69" s="227" t="s">
        <v>3040</v>
      </c>
    </row>
    <row r="70" spans="1:59" s="96" customFormat="1" ht="15" customHeight="1">
      <c r="A70" s="227">
        <v>43903</v>
      </c>
      <c r="B70" s="228" t="s">
        <v>3056</v>
      </c>
      <c r="C70" s="229" t="s">
        <v>3031</v>
      </c>
      <c r="D70" s="230" t="s">
        <v>3496</v>
      </c>
      <c r="E70" s="229" t="s">
        <v>3497</v>
      </c>
      <c r="F70" s="231" t="s">
        <v>2846</v>
      </c>
      <c r="G70" s="231" t="s">
        <v>2846</v>
      </c>
      <c r="H70" s="231">
        <v>100</v>
      </c>
      <c r="I70" s="229" t="s">
        <v>3034</v>
      </c>
      <c r="J70" s="229">
        <v>115</v>
      </c>
      <c r="K70" s="229" t="s">
        <v>2733</v>
      </c>
      <c r="L70" s="232">
        <v>1</v>
      </c>
      <c r="M70" s="232" t="s">
        <v>64</v>
      </c>
      <c r="N70" s="231">
        <f t="shared" si="26"/>
        <v>11500</v>
      </c>
      <c r="O70" s="231">
        <f t="shared" si="27"/>
        <v>115</v>
      </c>
      <c r="P70" s="233">
        <v>7.5</v>
      </c>
      <c r="Q70" s="234">
        <f>J70*L70*P70</f>
        <v>862.5</v>
      </c>
      <c r="R70" s="227">
        <v>43906</v>
      </c>
      <c r="S70" s="235" t="s">
        <v>3035</v>
      </c>
      <c r="T70" s="229" t="s">
        <v>3036</v>
      </c>
      <c r="U70" s="230" t="s">
        <v>3492</v>
      </c>
      <c r="V70" s="229"/>
      <c r="W70" s="232" t="str">
        <f t="shared" si="33"/>
        <v>Yes</v>
      </c>
      <c r="X70" s="456">
        <v>115</v>
      </c>
      <c r="Y70" s="230" t="s">
        <v>3493</v>
      </c>
      <c r="Z70" s="236">
        <v>43915</v>
      </c>
      <c r="AA70" s="237"/>
      <c r="AB70" s="236"/>
      <c r="AC70" s="236"/>
      <c r="AD70" s="237"/>
      <c r="AE70" s="236"/>
      <c r="AF70" s="236"/>
      <c r="AG70" s="238">
        <v>0</v>
      </c>
      <c r="AH70" s="248"/>
      <c r="AI70" s="229"/>
      <c r="AJ70" s="237"/>
      <c r="AK70" s="241" t="e">
        <f t="shared" ca="1" si="28"/>
        <v>#NAME?</v>
      </c>
      <c r="AL70" s="235"/>
      <c r="AM70" s="229"/>
      <c r="AN70" s="229"/>
      <c r="AO70" s="228"/>
      <c r="AP70" s="228" t="s">
        <v>3498</v>
      </c>
      <c r="AQ70" s="228" t="s">
        <v>3495</v>
      </c>
      <c r="AR70" s="228" t="s">
        <v>3063</v>
      </c>
      <c r="AS70" s="242">
        <f t="shared" si="29"/>
        <v>862.5</v>
      </c>
      <c r="AT70" s="242">
        <f t="shared" si="30"/>
        <v>87.112500000000011</v>
      </c>
      <c r="AU70" s="242">
        <v>0</v>
      </c>
      <c r="AV70" s="242">
        <v>0</v>
      </c>
      <c r="AW70" s="242">
        <f t="shared" si="31"/>
        <v>949.61249999999995</v>
      </c>
      <c r="AX70" s="237">
        <f>+N70</f>
        <v>11500</v>
      </c>
      <c r="AY70" s="237" t="s">
        <v>2762</v>
      </c>
      <c r="AZ70" s="242">
        <f t="shared" si="23"/>
        <v>8.2574999999999996E-2</v>
      </c>
      <c r="BA70" s="242" t="s">
        <v>2765</v>
      </c>
      <c r="BB70" s="237" t="s">
        <v>2733</v>
      </c>
      <c r="BC70" s="242">
        <v>100</v>
      </c>
      <c r="BD70" s="242">
        <f t="shared" si="32"/>
        <v>8.2575000000000003</v>
      </c>
      <c r="BE70" s="228"/>
      <c r="BF70" s="228" t="s">
        <v>36</v>
      </c>
      <c r="BG70" s="227" t="s">
        <v>3040</v>
      </c>
    </row>
    <row r="71" spans="1:59" s="96" customFormat="1" ht="15" customHeight="1">
      <c r="A71" s="227">
        <v>43903</v>
      </c>
      <c r="B71" s="228" t="s">
        <v>3056</v>
      </c>
      <c r="C71" s="229" t="s">
        <v>3041</v>
      </c>
      <c r="D71" s="230" t="s">
        <v>3490</v>
      </c>
      <c r="E71" s="229" t="s">
        <v>3491</v>
      </c>
      <c r="F71" s="231" t="s">
        <v>2846</v>
      </c>
      <c r="G71" s="231" t="s">
        <v>2846</v>
      </c>
      <c r="H71" s="231">
        <v>100</v>
      </c>
      <c r="I71" s="229" t="s">
        <v>3034</v>
      </c>
      <c r="J71" s="229">
        <v>120</v>
      </c>
      <c r="K71" s="229" t="s">
        <v>2733</v>
      </c>
      <c r="L71" s="232">
        <v>1</v>
      </c>
      <c r="M71" s="232" t="s">
        <v>64</v>
      </c>
      <c r="N71" s="231">
        <f t="shared" si="26"/>
        <v>12000</v>
      </c>
      <c r="O71" s="231">
        <f t="shared" si="27"/>
        <v>120</v>
      </c>
      <c r="P71" s="233">
        <v>7.5</v>
      </c>
      <c r="Q71" s="234">
        <f>J71*L71*P71</f>
        <v>900</v>
      </c>
      <c r="R71" s="227">
        <v>43906</v>
      </c>
      <c r="S71" s="235" t="s">
        <v>3035</v>
      </c>
      <c r="T71" s="229" t="s">
        <v>3036</v>
      </c>
      <c r="U71" s="230" t="s">
        <v>3492</v>
      </c>
      <c r="V71" s="229"/>
      <c r="W71" s="232" t="str">
        <f t="shared" si="33"/>
        <v>Yes</v>
      </c>
      <c r="X71" s="456">
        <v>120</v>
      </c>
      <c r="Y71" s="230" t="s">
        <v>3493</v>
      </c>
      <c r="Z71" s="236">
        <v>43915</v>
      </c>
      <c r="AA71" s="237"/>
      <c r="AB71" s="236"/>
      <c r="AC71" s="236"/>
      <c r="AD71" s="237"/>
      <c r="AE71" s="236"/>
      <c r="AF71" s="236"/>
      <c r="AG71" s="238">
        <v>0</v>
      </c>
      <c r="AH71" s="248"/>
      <c r="AI71" s="229"/>
      <c r="AJ71" s="237"/>
      <c r="AK71" s="241" t="e">
        <f t="shared" ca="1" si="28"/>
        <v>#NAME?</v>
      </c>
      <c r="AL71" s="235"/>
      <c r="AM71" s="229"/>
      <c r="AN71" s="229"/>
      <c r="AO71" s="228"/>
      <c r="AP71" s="228" t="s">
        <v>3494</v>
      </c>
      <c r="AQ71" s="228" t="s">
        <v>3495</v>
      </c>
      <c r="AR71" s="228" t="s">
        <v>3063</v>
      </c>
      <c r="AS71" s="242">
        <f t="shared" si="29"/>
        <v>900</v>
      </c>
      <c r="AT71" s="242">
        <f t="shared" si="30"/>
        <v>90.9</v>
      </c>
      <c r="AU71" s="242">
        <v>0</v>
      </c>
      <c r="AV71" s="242">
        <v>0</v>
      </c>
      <c r="AW71" s="242">
        <f t="shared" si="31"/>
        <v>990.9</v>
      </c>
      <c r="AX71" s="237">
        <f>+N71</f>
        <v>12000</v>
      </c>
      <c r="AY71" s="237" t="s">
        <v>2762</v>
      </c>
      <c r="AZ71" s="242">
        <f t="shared" si="23"/>
        <v>8.2574999999999996E-2</v>
      </c>
      <c r="BA71" s="242" t="s">
        <v>2769</v>
      </c>
      <c r="BB71" s="237" t="s">
        <v>2733</v>
      </c>
      <c r="BC71" s="242">
        <v>100</v>
      </c>
      <c r="BD71" s="242">
        <f t="shared" si="32"/>
        <v>8.2575000000000003</v>
      </c>
      <c r="BE71" s="228"/>
      <c r="BF71" s="228" t="s">
        <v>36</v>
      </c>
      <c r="BG71" s="227" t="s">
        <v>3040</v>
      </c>
    </row>
    <row r="72" spans="1:59" s="228" customFormat="1" ht="15" customHeight="1">
      <c r="A72" s="227">
        <v>43903</v>
      </c>
      <c r="B72" s="228" t="s">
        <v>3056</v>
      </c>
      <c r="C72" s="229" t="s">
        <v>3045</v>
      </c>
      <c r="D72" s="230" t="s">
        <v>3502</v>
      </c>
      <c r="E72" s="229" t="s">
        <v>3503</v>
      </c>
      <c r="F72" s="231" t="s">
        <v>2846</v>
      </c>
      <c r="G72" s="231" t="s">
        <v>2846</v>
      </c>
      <c r="H72" s="231">
        <v>100</v>
      </c>
      <c r="I72" s="229" t="s">
        <v>3034</v>
      </c>
      <c r="J72" s="229">
        <v>140</v>
      </c>
      <c r="K72" s="229" t="s">
        <v>2733</v>
      </c>
      <c r="L72" s="232">
        <v>1</v>
      </c>
      <c r="M72" s="232" t="s">
        <v>64</v>
      </c>
      <c r="N72" s="231">
        <f t="shared" si="26"/>
        <v>14000</v>
      </c>
      <c r="O72" s="231">
        <f t="shared" si="27"/>
        <v>140</v>
      </c>
      <c r="P72" s="233">
        <v>7.5</v>
      </c>
      <c r="Q72" s="234">
        <f>J72*L72*P72</f>
        <v>1050</v>
      </c>
      <c r="R72" s="227">
        <v>43906</v>
      </c>
      <c r="S72" s="235" t="s">
        <v>3035</v>
      </c>
      <c r="T72" s="229" t="s">
        <v>3036</v>
      </c>
      <c r="U72" s="230" t="s">
        <v>3492</v>
      </c>
      <c r="V72" s="229"/>
      <c r="W72" s="232" t="str">
        <f t="shared" si="33"/>
        <v>Yes</v>
      </c>
      <c r="X72" s="456">
        <v>140</v>
      </c>
      <c r="Y72" s="230" t="s">
        <v>3493</v>
      </c>
      <c r="Z72" s="236">
        <v>43915</v>
      </c>
      <c r="AA72" s="237"/>
      <c r="AB72" s="236"/>
      <c r="AC72" s="236"/>
      <c r="AD72" s="237"/>
      <c r="AE72" s="236"/>
      <c r="AF72" s="236"/>
      <c r="AG72" s="238">
        <v>0</v>
      </c>
      <c r="AH72" s="248"/>
      <c r="AI72" s="229"/>
      <c r="AJ72" s="237"/>
      <c r="AK72" s="241" t="e">
        <f t="shared" ca="1" si="28"/>
        <v>#NAME?</v>
      </c>
      <c r="AL72" s="235"/>
      <c r="AM72" s="229"/>
      <c r="AN72" s="229"/>
      <c r="AP72" s="228" t="s">
        <v>3504</v>
      </c>
      <c r="AQ72" s="228" t="s">
        <v>3495</v>
      </c>
      <c r="AR72" s="228" t="s">
        <v>3063</v>
      </c>
      <c r="AS72" s="242">
        <f t="shared" si="29"/>
        <v>1050</v>
      </c>
      <c r="AT72" s="242">
        <f t="shared" si="30"/>
        <v>106.05000000000001</v>
      </c>
      <c r="AU72" s="242">
        <v>0</v>
      </c>
      <c r="AV72" s="242">
        <v>0</v>
      </c>
      <c r="AW72" s="242">
        <f t="shared" si="31"/>
        <v>1156.05</v>
      </c>
      <c r="AX72" s="237">
        <f>+N72</f>
        <v>14000</v>
      </c>
      <c r="AY72" s="237" t="s">
        <v>2762</v>
      </c>
      <c r="AZ72" s="242">
        <f t="shared" si="23"/>
        <v>8.2574999999999996E-2</v>
      </c>
      <c r="BA72" s="242" t="s">
        <v>2773</v>
      </c>
      <c r="BB72" s="237" t="s">
        <v>2733</v>
      </c>
      <c r="BC72" s="242">
        <v>100</v>
      </c>
      <c r="BD72" s="242">
        <f t="shared" si="32"/>
        <v>8.2575000000000003</v>
      </c>
      <c r="BF72" s="228" t="s">
        <v>36</v>
      </c>
      <c r="BG72" s="227" t="s">
        <v>3040</v>
      </c>
    </row>
    <row r="73" spans="1:59" s="228" customFormat="1" ht="15" customHeight="1">
      <c r="A73" s="227">
        <v>43903</v>
      </c>
      <c r="B73" s="228" t="s">
        <v>3129</v>
      </c>
      <c r="C73" s="229" t="s">
        <v>95</v>
      </c>
      <c r="D73" s="230" t="s">
        <v>3155</v>
      </c>
      <c r="E73" s="229" t="s">
        <v>3156</v>
      </c>
      <c r="F73" s="231" t="s">
        <v>2846</v>
      </c>
      <c r="G73" s="231" t="s">
        <v>2846</v>
      </c>
      <c r="H73" s="231">
        <v>200</v>
      </c>
      <c r="I73" s="229" t="s">
        <v>3157</v>
      </c>
      <c r="J73" s="229">
        <v>12</v>
      </c>
      <c r="K73" s="229" t="s">
        <v>2781</v>
      </c>
      <c r="L73" s="232">
        <v>175</v>
      </c>
      <c r="M73" s="232" t="s">
        <v>2953</v>
      </c>
      <c r="N73" s="231">
        <f t="shared" si="26"/>
        <v>420000</v>
      </c>
      <c r="O73" s="231">
        <f t="shared" si="27"/>
        <v>2100</v>
      </c>
      <c r="P73" s="233">
        <v>28.48</v>
      </c>
      <c r="Q73" s="234">
        <f>L73*P73</f>
        <v>4984</v>
      </c>
      <c r="R73" s="227">
        <v>43906</v>
      </c>
      <c r="S73" s="235" t="s">
        <v>3035</v>
      </c>
      <c r="T73" s="229" t="s">
        <v>3036</v>
      </c>
      <c r="U73" s="230" t="s">
        <v>3158</v>
      </c>
      <c r="V73" s="229"/>
      <c r="W73" s="232" t="str">
        <f t="shared" si="33"/>
        <v>Yes</v>
      </c>
      <c r="X73" s="456">
        <f>174+1</f>
        <v>175</v>
      </c>
      <c r="Y73" s="230" t="s">
        <v>3159</v>
      </c>
      <c r="Z73" s="236">
        <v>43992</v>
      </c>
      <c r="AA73" s="237"/>
      <c r="AD73" s="237"/>
      <c r="AG73" s="238">
        <f>+L73-X73</f>
        <v>0</v>
      </c>
      <c r="AH73" s="239" t="s">
        <v>95</v>
      </c>
      <c r="AI73" s="240" t="s">
        <v>2781</v>
      </c>
      <c r="AJ73" s="237">
        <f>+AG73*J73</f>
        <v>0</v>
      </c>
      <c r="AK73" s="241" t="e">
        <f t="shared" ca="1" si="28"/>
        <v>#NAME?</v>
      </c>
      <c r="AL73" s="235" t="s">
        <v>3160</v>
      </c>
      <c r="AM73" s="229" t="s">
        <v>3084</v>
      </c>
      <c r="AN73" s="229" t="s">
        <v>2705</v>
      </c>
      <c r="AP73" s="228" t="s">
        <v>3161</v>
      </c>
      <c r="AR73" s="228" t="s">
        <v>3063</v>
      </c>
      <c r="AS73" s="242">
        <f t="shared" si="29"/>
        <v>4984</v>
      </c>
      <c r="AT73" s="242">
        <f t="shared" si="30"/>
        <v>503.38400000000001</v>
      </c>
      <c r="AU73" s="242">
        <v>0</v>
      </c>
      <c r="AV73" s="242">
        <v>0</v>
      </c>
      <c r="AW73" s="242">
        <f t="shared" si="31"/>
        <v>5487.384</v>
      </c>
      <c r="AX73" s="237">
        <f>+O73</f>
        <v>2100</v>
      </c>
      <c r="AY73" s="242" t="s">
        <v>2781</v>
      </c>
      <c r="AZ73" s="242">
        <f t="shared" si="23"/>
        <v>2.6130399999999998</v>
      </c>
      <c r="BA73" s="242" t="s">
        <v>2779</v>
      </c>
      <c r="BB73" s="242" t="s">
        <v>2953</v>
      </c>
      <c r="BC73" s="242">
        <v>12</v>
      </c>
      <c r="BD73" s="242">
        <f t="shared" si="32"/>
        <v>31.356479999999998</v>
      </c>
      <c r="BF73" s="228" t="s">
        <v>3162</v>
      </c>
      <c r="BG73" s="227" t="s">
        <v>3040</v>
      </c>
    </row>
    <row r="74" spans="1:59" s="96" customFormat="1" ht="15" customHeight="1">
      <c r="A74" s="227">
        <v>43903</v>
      </c>
      <c r="B74" s="228" t="s">
        <v>3056</v>
      </c>
      <c r="C74" s="229" t="s">
        <v>3031</v>
      </c>
      <c r="D74" s="230" t="s">
        <v>3190</v>
      </c>
      <c r="E74" s="229" t="s">
        <v>3191</v>
      </c>
      <c r="F74" s="231" t="s">
        <v>2846</v>
      </c>
      <c r="G74" s="231" t="s">
        <v>2846</v>
      </c>
      <c r="H74" s="231">
        <v>100</v>
      </c>
      <c r="I74" s="229" t="s">
        <v>3034</v>
      </c>
      <c r="J74" s="229">
        <v>184</v>
      </c>
      <c r="K74" s="229" t="s">
        <v>2733</v>
      </c>
      <c r="L74" s="232">
        <v>1</v>
      </c>
      <c r="M74" s="232" t="s">
        <v>64</v>
      </c>
      <c r="N74" s="231">
        <f t="shared" si="26"/>
        <v>18400</v>
      </c>
      <c r="O74" s="231">
        <f t="shared" si="27"/>
        <v>184</v>
      </c>
      <c r="P74" s="233">
        <v>6.5</v>
      </c>
      <c r="Q74" s="234">
        <f>J74*L74*P74</f>
        <v>1196</v>
      </c>
      <c r="R74" s="227">
        <v>43903</v>
      </c>
      <c r="S74" s="235" t="s">
        <v>3035</v>
      </c>
      <c r="T74" s="229" t="s">
        <v>3036</v>
      </c>
      <c r="U74" s="230" t="s">
        <v>3186</v>
      </c>
      <c r="V74" s="229"/>
      <c r="W74" s="232" t="str">
        <f t="shared" si="33"/>
        <v>Yes</v>
      </c>
      <c r="X74" s="456">
        <v>184</v>
      </c>
      <c r="Y74" s="230" t="s">
        <v>3187</v>
      </c>
      <c r="Z74" s="236">
        <v>43915</v>
      </c>
      <c r="AA74" s="237"/>
      <c r="AB74" s="236"/>
      <c r="AC74" s="236"/>
      <c r="AD74" s="237"/>
      <c r="AE74" s="236"/>
      <c r="AF74" s="236"/>
      <c r="AG74" s="238">
        <f>(J74*L74)-X74-AA74-AD74</f>
        <v>0</v>
      </c>
      <c r="AH74" s="239"/>
      <c r="AI74" s="240"/>
      <c r="AJ74" s="237"/>
      <c r="AK74" s="241" t="e">
        <f t="shared" ca="1" si="28"/>
        <v>#NAME?</v>
      </c>
      <c r="AL74" s="235"/>
      <c r="AM74" s="229"/>
      <c r="AN74" s="229"/>
      <c r="AO74" s="228"/>
      <c r="AP74" s="228" t="s">
        <v>3192</v>
      </c>
      <c r="AQ74" s="228" t="s">
        <v>3189</v>
      </c>
      <c r="AR74" s="228" t="s">
        <v>3063</v>
      </c>
      <c r="AS74" s="242">
        <f t="shared" si="29"/>
        <v>1196</v>
      </c>
      <c r="AT74" s="242">
        <f t="shared" si="30"/>
        <v>120.79600000000001</v>
      </c>
      <c r="AU74" s="242">
        <v>0</v>
      </c>
      <c r="AV74" s="242">
        <v>0</v>
      </c>
      <c r="AW74" s="242">
        <f t="shared" si="31"/>
        <v>1316.796</v>
      </c>
      <c r="AX74" s="237">
        <f t="shared" ref="AX74:AX85" si="34">+N74</f>
        <v>18400</v>
      </c>
      <c r="AY74" s="237" t="s">
        <v>2762</v>
      </c>
      <c r="AZ74" s="242">
        <f t="shared" si="23"/>
        <v>7.1565000000000004E-2</v>
      </c>
      <c r="BA74" s="242" t="s">
        <v>2765</v>
      </c>
      <c r="BB74" s="237" t="s">
        <v>2733</v>
      </c>
      <c r="BC74" s="242">
        <v>100</v>
      </c>
      <c r="BD74" s="242">
        <f t="shared" si="32"/>
        <v>7.1565000000000003</v>
      </c>
      <c r="BE74" s="228"/>
      <c r="BF74" s="228" t="s">
        <v>36</v>
      </c>
      <c r="BG74" s="227" t="s">
        <v>3040</v>
      </c>
    </row>
    <row r="75" spans="1:59" s="228" customFormat="1" ht="15" customHeight="1">
      <c r="A75" s="227">
        <v>43903</v>
      </c>
      <c r="B75" s="228" t="s">
        <v>3056</v>
      </c>
      <c r="C75" s="229" t="s">
        <v>3041</v>
      </c>
      <c r="D75" s="230" t="s">
        <v>3184</v>
      </c>
      <c r="E75" s="229" t="s">
        <v>3185</v>
      </c>
      <c r="F75" s="231" t="s">
        <v>2846</v>
      </c>
      <c r="G75" s="231" t="s">
        <v>2846</v>
      </c>
      <c r="H75" s="231">
        <v>100</v>
      </c>
      <c r="I75" s="229" t="s">
        <v>3034</v>
      </c>
      <c r="J75" s="229">
        <v>194</v>
      </c>
      <c r="K75" s="229" t="s">
        <v>2733</v>
      </c>
      <c r="L75" s="232">
        <v>1</v>
      </c>
      <c r="M75" s="232" t="s">
        <v>64</v>
      </c>
      <c r="N75" s="231">
        <f t="shared" si="26"/>
        <v>19400</v>
      </c>
      <c r="O75" s="231">
        <f t="shared" si="27"/>
        <v>194</v>
      </c>
      <c r="P75" s="233">
        <v>6.5</v>
      </c>
      <c r="Q75" s="234">
        <f>J75*L75*P75</f>
        <v>1261</v>
      </c>
      <c r="R75" s="227">
        <v>43903</v>
      </c>
      <c r="S75" s="235" t="s">
        <v>3035</v>
      </c>
      <c r="T75" s="229" t="s">
        <v>3036</v>
      </c>
      <c r="U75" s="230" t="s">
        <v>3186</v>
      </c>
      <c r="V75" s="229"/>
      <c r="W75" s="232" t="str">
        <f t="shared" si="33"/>
        <v>Yes</v>
      </c>
      <c r="X75" s="456">
        <v>194</v>
      </c>
      <c r="Y75" s="230" t="s">
        <v>3187</v>
      </c>
      <c r="Z75" s="236">
        <v>43915</v>
      </c>
      <c r="AA75" s="237"/>
      <c r="AB75" s="236"/>
      <c r="AC75" s="236"/>
      <c r="AD75" s="237"/>
      <c r="AE75" s="236"/>
      <c r="AF75" s="236"/>
      <c r="AG75" s="238">
        <f>(J75*L75)-X75-AA75-AD75</f>
        <v>0</v>
      </c>
      <c r="AH75" s="239"/>
      <c r="AI75" s="240"/>
      <c r="AJ75" s="237"/>
      <c r="AK75" s="241" t="e">
        <f t="shared" ca="1" si="28"/>
        <v>#NAME?</v>
      </c>
      <c r="AL75" s="235"/>
      <c r="AM75" s="229"/>
      <c r="AN75" s="229"/>
      <c r="AP75" s="228" t="s">
        <v>3188</v>
      </c>
      <c r="AQ75" s="228" t="s">
        <v>3189</v>
      </c>
      <c r="AR75" s="228" t="s">
        <v>3063</v>
      </c>
      <c r="AS75" s="242">
        <f t="shared" si="29"/>
        <v>1261</v>
      </c>
      <c r="AT75" s="242">
        <f t="shared" si="30"/>
        <v>127.361</v>
      </c>
      <c r="AU75" s="242">
        <v>0</v>
      </c>
      <c r="AV75" s="242">
        <v>0</v>
      </c>
      <c r="AW75" s="242">
        <f t="shared" si="31"/>
        <v>1388.3610000000001</v>
      </c>
      <c r="AX75" s="237">
        <f t="shared" si="34"/>
        <v>19400</v>
      </c>
      <c r="AY75" s="237" t="s">
        <v>2762</v>
      </c>
      <c r="AZ75" s="242">
        <f t="shared" ref="AZ75:AZ88" si="35">+AW75/AX75</f>
        <v>7.1565000000000004E-2</v>
      </c>
      <c r="BA75" s="242" t="s">
        <v>2769</v>
      </c>
      <c r="BB75" s="237" t="s">
        <v>2733</v>
      </c>
      <c r="BC75" s="242">
        <v>100</v>
      </c>
      <c r="BD75" s="242">
        <f t="shared" si="32"/>
        <v>7.1565000000000003</v>
      </c>
      <c r="BF75" s="228" t="s">
        <v>36</v>
      </c>
      <c r="BG75" s="227" t="s">
        <v>3040</v>
      </c>
    </row>
    <row r="76" spans="1:59" s="228" customFormat="1" ht="15" customHeight="1">
      <c r="A76" s="227">
        <v>43903</v>
      </c>
      <c r="B76" s="228" t="s">
        <v>3056</v>
      </c>
      <c r="C76" s="229" t="s">
        <v>3045</v>
      </c>
      <c r="D76" s="230" t="s">
        <v>3196</v>
      </c>
      <c r="E76" s="229" t="s">
        <v>3197</v>
      </c>
      <c r="F76" s="231" t="s">
        <v>2846</v>
      </c>
      <c r="G76" s="231" t="s">
        <v>2846</v>
      </c>
      <c r="H76" s="231">
        <v>100</v>
      </c>
      <c r="I76" s="229" t="s">
        <v>3034</v>
      </c>
      <c r="J76" s="229">
        <v>194</v>
      </c>
      <c r="K76" s="229" t="s">
        <v>2733</v>
      </c>
      <c r="L76" s="232">
        <v>1</v>
      </c>
      <c r="M76" s="232" t="s">
        <v>64</v>
      </c>
      <c r="N76" s="231">
        <f t="shared" si="26"/>
        <v>19400</v>
      </c>
      <c r="O76" s="231">
        <f t="shared" si="27"/>
        <v>194</v>
      </c>
      <c r="P76" s="233">
        <v>6.5</v>
      </c>
      <c r="Q76" s="234">
        <f>J76*L76*P76</f>
        <v>1261</v>
      </c>
      <c r="R76" s="227">
        <v>43903</v>
      </c>
      <c r="S76" s="235" t="s">
        <v>3035</v>
      </c>
      <c r="T76" s="229" t="s">
        <v>3036</v>
      </c>
      <c r="U76" s="230" t="s">
        <v>3186</v>
      </c>
      <c r="V76" s="229"/>
      <c r="W76" s="232" t="str">
        <f t="shared" si="33"/>
        <v>Yes</v>
      </c>
      <c r="X76" s="456">
        <v>194</v>
      </c>
      <c r="Y76" s="230" t="s">
        <v>3187</v>
      </c>
      <c r="Z76" s="236">
        <v>43915</v>
      </c>
      <c r="AA76" s="237"/>
      <c r="AB76" s="236"/>
      <c r="AC76" s="236"/>
      <c r="AD76" s="237"/>
      <c r="AE76" s="236"/>
      <c r="AF76" s="236"/>
      <c r="AG76" s="238">
        <f>(J76*L76)-X76-AA76-AD76</f>
        <v>0</v>
      </c>
      <c r="AH76" s="239"/>
      <c r="AI76" s="240"/>
      <c r="AJ76" s="237"/>
      <c r="AK76" s="241" t="e">
        <f t="shared" ca="1" si="28"/>
        <v>#NAME?</v>
      </c>
      <c r="AL76" s="235"/>
      <c r="AM76" s="229"/>
      <c r="AN76" s="229"/>
      <c r="AP76" s="228" t="s">
        <v>3198</v>
      </c>
      <c r="AQ76" s="228" t="s">
        <v>3189</v>
      </c>
      <c r="AR76" s="228" t="s">
        <v>3063</v>
      </c>
      <c r="AS76" s="242">
        <f t="shared" si="29"/>
        <v>1261</v>
      </c>
      <c r="AT76" s="242">
        <f t="shared" si="30"/>
        <v>127.361</v>
      </c>
      <c r="AU76" s="242">
        <v>0</v>
      </c>
      <c r="AV76" s="242">
        <v>0</v>
      </c>
      <c r="AW76" s="242">
        <f t="shared" si="31"/>
        <v>1388.3610000000001</v>
      </c>
      <c r="AX76" s="237">
        <f t="shared" si="34"/>
        <v>19400</v>
      </c>
      <c r="AY76" s="237" t="s">
        <v>2762</v>
      </c>
      <c r="AZ76" s="242">
        <f t="shared" si="35"/>
        <v>7.1565000000000004E-2</v>
      </c>
      <c r="BA76" s="242" t="s">
        <v>2773</v>
      </c>
      <c r="BB76" s="237" t="s">
        <v>2733</v>
      </c>
      <c r="BC76" s="242">
        <v>100</v>
      </c>
      <c r="BD76" s="242">
        <f t="shared" si="32"/>
        <v>7.1565000000000003</v>
      </c>
      <c r="BF76" s="228" t="s">
        <v>36</v>
      </c>
      <c r="BG76" s="227" t="s">
        <v>3040</v>
      </c>
    </row>
    <row r="77" spans="1:59" s="228" customFormat="1" ht="15" customHeight="1">
      <c r="A77" s="227">
        <v>43903</v>
      </c>
      <c r="B77" s="228" t="s">
        <v>3030</v>
      </c>
      <c r="C77" s="229" t="s">
        <v>3041</v>
      </c>
      <c r="D77" s="230" t="s">
        <v>3042</v>
      </c>
      <c r="E77" s="229" t="s">
        <v>3043</v>
      </c>
      <c r="F77" s="231" t="s">
        <v>2846</v>
      </c>
      <c r="G77" s="231" t="s">
        <v>2846</v>
      </c>
      <c r="H77" s="231">
        <v>100</v>
      </c>
      <c r="I77" s="229" t="s">
        <v>3034</v>
      </c>
      <c r="J77" s="229">
        <v>300</v>
      </c>
      <c r="K77" s="229" t="s">
        <v>2733</v>
      </c>
      <c r="L77" s="232">
        <v>1</v>
      </c>
      <c r="M77" s="232" t="s">
        <v>64</v>
      </c>
      <c r="N77" s="231">
        <f>H77*J77*L77</f>
        <v>30000</v>
      </c>
      <c r="O77" s="231">
        <f t="shared" si="27"/>
        <v>300</v>
      </c>
      <c r="P77" s="233">
        <v>13.52</v>
      </c>
      <c r="Q77" s="234">
        <f>P77*J77</f>
        <v>4056</v>
      </c>
      <c r="R77" s="227">
        <v>43903</v>
      </c>
      <c r="S77" s="235" t="s">
        <v>3035</v>
      </c>
      <c r="T77" s="229" t="s">
        <v>3036</v>
      </c>
      <c r="U77" s="230">
        <v>316902</v>
      </c>
      <c r="V77" s="229"/>
      <c r="W77" s="232" t="str">
        <f t="shared" si="33"/>
        <v>Yes</v>
      </c>
      <c r="X77" s="456">
        <v>300</v>
      </c>
      <c r="Y77" s="230">
        <v>636052</v>
      </c>
      <c r="Z77" s="236">
        <v>43922</v>
      </c>
      <c r="AA77" s="237"/>
      <c r="AB77" s="236"/>
      <c r="AC77" s="236"/>
      <c r="AD77" s="237"/>
      <c r="AE77" s="236"/>
      <c r="AF77" s="236"/>
      <c r="AG77" s="238">
        <f>(J77*L77)-X77-AA77-AD77</f>
        <v>0</v>
      </c>
      <c r="AH77" s="239"/>
      <c r="AI77" s="240"/>
      <c r="AJ77" s="237">
        <v>0</v>
      </c>
      <c r="AK77" s="241" t="e">
        <f t="shared" ca="1" si="28"/>
        <v>#NAME?</v>
      </c>
      <c r="AL77" s="235"/>
      <c r="AM77" s="229"/>
      <c r="AN77" s="229"/>
      <c r="AP77" s="228" t="s">
        <v>3044</v>
      </c>
      <c r="AQ77" s="228" t="s">
        <v>3038</v>
      </c>
      <c r="AR77" s="228" t="s">
        <v>3039</v>
      </c>
      <c r="AS77" s="242">
        <f t="shared" si="29"/>
        <v>4056</v>
      </c>
      <c r="AT77" s="242">
        <f t="shared" si="30"/>
        <v>409.65600000000001</v>
      </c>
      <c r="AU77" s="242">
        <v>0</v>
      </c>
      <c r="AV77" s="242">
        <v>0</v>
      </c>
      <c r="AW77" s="242">
        <f t="shared" si="31"/>
        <v>4465.6559999999999</v>
      </c>
      <c r="AX77" s="237">
        <f t="shared" si="34"/>
        <v>30000</v>
      </c>
      <c r="AY77" s="237" t="s">
        <v>2762</v>
      </c>
      <c r="AZ77" s="242">
        <f t="shared" si="35"/>
        <v>0.14885519999999999</v>
      </c>
      <c r="BA77" s="242" t="s">
        <v>2769</v>
      </c>
      <c r="BB77" s="237" t="s">
        <v>2733</v>
      </c>
      <c r="BC77" s="242">
        <v>100</v>
      </c>
      <c r="BD77" s="242">
        <f t="shared" si="32"/>
        <v>14.88552</v>
      </c>
      <c r="BF77" s="228" t="s">
        <v>36</v>
      </c>
      <c r="BG77" s="227" t="s">
        <v>3040</v>
      </c>
    </row>
    <row r="78" spans="1:59" s="228" customFormat="1" ht="15" customHeight="1">
      <c r="A78" s="227">
        <v>43903</v>
      </c>
      <c r="B78" s="228" t="s">
        <v>3049</v>
      </c>
      <c r="C78" s="229" t="s">
        <v>3041</v>
      </c>
      <c r="D78" s="230" t="s">
        <v>3050</v>
      </c>
      <c r="E78" s="229" t="s">
        <v>3051</v>
      </c>
      <c r="F78" s="231" t="s">
        <v>2846</v>
      </c>
      <c r="G78" s="231" t="s">
        <v>2846</v>
      </c>
      <c r="H78" s="231">
        <v>100</v>
      </c>
      <c r="I78" s="229" t="s">
        <v>3034</v>
      </c>
      <c r="J78" s="229">
        <v>10</v>
      </c>
      <c r="K78" s="229" t="s">
        <v>2733</v>
      </c>
      <c r="L78" s="232">
        <v>30</v>
      </c>
      <c r="M78" s="232" t="s">
        <v>2953</v>
      </c>
      <c r="N78" s="231">
        <f>H78*L78*J78</f>
        <v>30000</v>
      </c>
      <c r="O78" s="231">
        <f t="shared" si="27"/>
        <v>300</v>
      </c>
      <c r="P78" s="233">
        <v>7.32</v>
      </c>
      <c r="Q78" s="234">
        <f>L78*P78*J78</f>
        <v>2196</v>
      </c>
      <c r="R78" s="227">
        <v>43903</v>
      </c>
      <c r="S78" s="235" t="s">
        <v>3052</v>
      </c>
      <c r="T78" s="229" t="s">
        <v>3036</v>
      </c>
      <c r="U78" s="230" t="s">
        <v>3053</v>
      </c>
      <c r="V78" s="229"/>
      <c r="W78" s="232" t="str">
        <f t="shared" si="33"/>
        <v>Yes</v>
      </c>
      <c r="X78" s="456">
        <v>300</v>
      </c>
      <c r="Y78" s="230">
        <v>12849582</v>
      </c>
      <c r="Z78" s="236">
        <v>43913</v>
      </c>
      <c r="AA78" s="237"/>
      <c r="AB78" s="236"/>
      <c r="AC78" s="236"/>
      <c r="AD78" s="237"/>
      <c r="AE78" s="236"/>
      <c r="AF78" s="236"/>
      <c r="AG78" s="238">
        <f>(J78*L78)-X78-AA78-AD78</f>
        <v>0</v>
      </c>
      <c r="AH78" s="239"/>
      <c r="AI78" s="240"/>
      <c r="AJ78" s="237">
        <v>0</v>
      </c>
      <c r="AK78" s="241" t="e">
        <f t="shared" ca="1" si="28"/>
        <v>#NAME?</v>
      </c>
      <c r="AL78" s="235"/>
      <c r="AM78" s="229"/>
      <c r="AN78" s="229"/>
      <c r="AP78" s="228" t="s">
        <v>3054</v>
      </c>
      <c r="AQ78" s="228" t="s">
        <v>3055</v>
      </c>
      <c r="AR78" s="228" t="s">
        <v>3039</v>
      </c>
      <c r="AS78" s="242">
        <f t="shared" si="29"/>
        <v>2196</v>
      </c>
      <c r="AT78" s="242">
        <f t="shared" si="30"/>
        <v>221.79600000000002</v>
      </c>
      <c r="AU78" s="242">
        <v>0</v>
      </c>
      <c r="AV78" s="242">
        <v>0</v>
      </c>
      <c r="AW78" s="242">
        <f t="shared" si="31"/>
        <v>2417.7959999999998</v>
      </c>
      <c r="AX78" s="237">
        <f t="shared" si="34"/>
        <v>30000</v>
      </c>
      <c r="AY78" s="237" t="s">
        <v>2762</v>
      </c>
      <c r="AZ78" s="242">
        <f t="shared" si="35"/>
        <v>8.059319999999999E-2</v>
      </c>
      <c r="BA78" s="242" t="s">
        <v>2769</v>
      </c>
      <c r="BB78" s="237" t="s">
        <v>2733</v>
      </c>
      <c r="BC78" s="242">
        <v>100</v>
      </c>
      <c r="BD78" s="242">
        <f t="shared" si="32"/>
        <v>8.0593199999999996</v>
      </c>
      <c r="BF78" s="228" t="s">
        <v>36</v>
      </c>
      <c r="BG78" s="227" t="s">
        <v>3040</v>
      </c>
    </row>
    <row r="79" spans="1:59" s="228" customFormat="1" ht="15" customHeight="1">
      <c r="A79" s="227">
        <v>43903</v>
      </c>
      <c r="B79" s="228" t="s">
        <v>3030</v>
      </c>
      <c r="C79" s="229" t="s">
        <v>3041</v>
      </c>
      <c r="D79" s="230" t="s">
        <v>3042</v>
      </c>
      <c r="E79" s="229" t="s">
        <v>3043</v>
      </c>
      <c r="F79" s="231" t="s">
        <v>2846</v>
      </c>
      <c r="G79" s="231" t="s">
        <v>2846</v>
      </c>
      <c r="H79" s="231">
        <v>100</v>
      </c>
      <c r="I79" s="229" t="s">
        <v>3034</v>
      </c>
      <c r="J79" s="229">
        <v>300</v>
      </c>
      <c r="K79" s="229" t="s">
        <v>2733</v>
      </c>
      <c r="L79" s="232">
        <v>1</v>
      </c>
      <c r="M79" s="232" t="s">
        <v>64</v>
      </c>
      <c r="N79" s="231">
        <f>H79*J79*L79</f>
        <v>30000</v>
      </c>
      <c r="O79" s="231">
        <f t="shared" si="27"/>
        <v>300</v>
      </c>
      <c r="P79" s="233">
        <v>13.13</v>
      </c>
      <c r="Q79" s="234">
        <f>L79*P79*J79</f>
        <v>3939.0000000000005</v>
      </c>
      <c r="R79" s="227">
        <v>43910</v>
      </c>
      <c r="S79" s="235" t="s">
        <v>3035</v>
      </c>
      <c r="T79" s="229" t="s">
        <v>3036</v>
      </c>
      <c r="U79" s="230">
        <v>316906</v>
      </c>
      <c r="V79" s="229"/>
      <c r="W79" s="232" t="str">
        <f t="shared" si="33"/>
        <v>Yes</v>
      </c>
      <c r="X79" s="456">
        <v>300</v>
      </c>
      <c r="Y79" s="230">
        <v>636284</v>
      </c>
      <c r="Z79" s="236">
        <v>43922</v>
      </c>
      <c r="AA79" s="237"/>
      <c r="AB79" s="236"/>
      <c r="AC79" s="236"/>
      <c r="AD79" s="237"/>
      <c r="AE79" s="236"/>
      <c r="AF79" s="236"/>
      <c r="AG79" s="238">
        <v>0</v>
      </c>
      <c r="AH79" s="239"/>
      <c r="AI79" s="229"/>
      <c r="AJ79" s="237"/>
      <c r="AK79" s="241" t="e">
        <f t="shared" ca="1" si="28"/>
        <v>#NAME?</v>
      </c>
      <c r="AL79" s="235"/>
      <c r="AM79" s="229"/>
      <c r="AN79" s="229"/>
      <c r="AP79" s="228" t="s">
        <v>3308</v>
      </c>
      <c r="AQ79" s="228" t="s">
        <v>3307</v>
      </c>
      <c r="AR79" s="228" t="s">
        <v>3039</v>
      </c>
      <c r="AS79" s="242">
        <f t="shared" si="29"/>
        <v>3939.0000000000005</v>
      </c>
      <c r="AT79" s="242">
        <f t="shared" si="30"/>
        <v>397.83900000000006</v>
      </c>
      <c r="AU79" s="242">
        <v>0</v>
      </c>
      <c r="AV79" s="242">
        <v>0</v>
      </c>
      <c r="AW79" s="242">
        <f t="shared" si="31"/>
        <v>4336.8390000000009</v>
      </c>
      <c r="AX79" s="237">
        <f t="shared" si="34"/>
        <v>30000</v>
      </c>
      <c r="AY79" s="237" t="s">
        <v>2762</v>
      </c>
      <c r="AZ79" s="242">
        <f t="shared" si="35"/>
        <v>0.14456130000000003</v>
      </c>
      <c r="BA79" s="242" t="s">
        <v>2769</v>
      </c>
      <c r="BB79" s="237" t="s">
        <v>2733</v>
      </c>
      <c r="BC79" s="242">
        <v>100</v>
      </c>
      <c r="BD79" s="242">
        <f t="shared" si="32"/>
        <v>14.456130000000003</v>
      </c>
      <c r="BF79" s="228" t="s">
        <v>36</v>
      </c>
      <c r="BG79" s="227" t="s">
        <v>3040</v>
      </c>
    </row>
    <row r="80" spans="1:59" s="228" customFormat="1" ht="15" customHeight="1">
      <c r="A80" s="227">
        <v>43903</v>
      </c>
      <c r="B80" s="228" t="s">
        <v>3030</v>
      </c>
      <c r="C80" s="229" t="s">
        <v>3031</v>
      </c>
      <c r="D80" s="230" t="s">
        <v>3032</v>
      </c>
      <c r="E80" s="229" t="s">
        <v>3033</v>
      </c>
      <c r="F80" s="231" t="s">
        <v>2846</v>
      </c>
      <c r="G80" s="231" t="s">
        <v>2846</v>
      </c>
      <c r="H80" s="231">
        <v>100</v>
      </c>
      <c r="I80" s="229" t="s">
        <v>3034</v>
      </c>
      <c r="J80" s="229">
        <v>300</v>
      </c>
      <c r="K80" s="229" t="s">
        <v>2733</v>
      </c>
      <c r="L80" s="232">
        <v>1</v>
      </c>
      <c r="M80" s="232" t="s">
        <v>64</v>
      </c>
      <c r="N80" s="231">
        <f>H80*J80*L80</f>
        <v>30000</v>
      </c>
      <c r="O80" s="231">
        <f t="shared" si="27"/>
        <v>300</v>
      </c>
      <c r="P80" s="233">
        <v>13.52</v>
      </c>
      <c r="Q80" s="234">
        <f>P80*J80</f>
        <v>4056</v>
      </c>
      <c r="R80" s="227">
        <v>43903</v>
      </c>
      <c r="S80" s="235" t="s">
        <v>3035</v>
      </c>
      <c r="T80" s="229" t="s">
        <v>3036</v>
      </c>
      <c r="U80" s="230">
        <v>316902</v>
      </c>
      <c r="V80" s="229"/>
      <c r="W80" s="232" t="str">
        <f t="shared" si="33"/>
        <v>Yes</v>
      </c>
      <c r="X80" s="456">
        <v>300</v>
      </c>
      <c r="Y80" s="230">
        <v>636052</v>
      </c>
      <c r="Z80" s="236">
        <v>43922</v>
      </c>
      <c r="AA80" s="237"/>
      <c r="AB80" s="236"/>
      <c r="AC80" s="236"/>
      <c r="AD80" s="237"/>
      <c r="AE80" s="236"/>
      <c r="AF80" s="236"/>
      <c r="AG80" s="238">
        <f>(J80*L80)-X80-AA80-AD80</f>
        <v>0</v>
      </c>
      <c r="AH80" s="239"/>
      <c r="AI80" s="240"/>
      <c r="AJ80" s="237">
        <v>0</v>
      </c>
      <c r="AK80" s="241" t="e">
        <f t="shared" ca="1" si="28"/>
        <v>#NAME?</v>
      </c>
      <c r="AL80" s="235"/>
      <c r="AM80" s="229"/>
      <c r="AN80" s="229"/>
      <c r="AP80" s="228" t="s">
        <v>3037</v>
      </c>
      <c r="AQ80" s="228" t="s">
        <v>3038</v>
      </c>
      <c r="AR80" s="228" t="s">
        <v>3039</v>
      </c>
      <c r="AS80" s="242">
        <f t="shared" si="29"/>
        <v>4056</v>
      </c>
      <c r="AT80" s="242">
        <f t="shared" si="30"/>
        <v>409.65600000000001</v>
      </c>
      <c r="AU80" s="242">
        <v>0</v>
      </c>
      <c r="AV80" s="242">
        <v>0</v>
      </c>
      <c r="AW80" s="242">
        <f t="shared" si="31"/>
        <v>4465.6559999999999</v>
      </c>
      <c r="AX80" s="237">
        <f t="shared" si="34"/>
        <v>30000</v>
      </c>
      <c r="AY80" s="237" t="s">
        <v>2762</v>
      </c>
      <c r="AZ80" s="242">
        <f t="shared" si="35"/>
        <v>0.14885519999999999</v>
      </c>
      <c r="BA80" s="242" t="s">
        <v>2765</v>
      </c>
      <c r="BB80" s="237" t="s">
        <v>2733</v>
      </c>
      <c r="BC80" s="242">
        <v>100</v>
      </c>
      <c r="BD80" s="242">
        <f t="shared" si="32"/>
        <v>14.88552</v>
      </c>
      <c r="BF80" s="228" t="s">
        <v>36</v>
      </c>
      <c r="BG80" s="227" t="s">
        <v>3040</v>
      </c>
    </row>
    <row r="81" spans="1:59" s="228" customFormat="1" ht="15" customHeight="1">
      <c r="A81" s="227">
        <v>43903</v>
      </c>
      <c r="B81" s="228" t="s">
        <v>3030</v>
      </c>
      <c r="C81" s="229" t="s">
        <v>3031</v>
      </c>
      <c r="D81" s="230" t="s">
        <v>3032</v>
      </c>
      <c r="E81" s="229" t="s">
        <v>3033</v>
      </c>
      <c r="F81" s="231" t="s">
        <v>2846</v>
      </c>
      <c r="G81" s="231" t="s">
        <v>2846</v>
      </c>
      <c r="H81" s="231">
        <v>100</v>
      </c>
      <c r="I81" s="229" t="s">
        <v>3034</v>
      </c>
      <c r="J81" s="229">
        <v>300</v>
      </c>
      <c r="K81" s="229" t="s">
        <v>2733</v>
      </c>
      <c r="L81" s="232">
        <v>1</v>
      </c>
      <c r="M81" s="232" t="s">
        <v>64</v>
      </c>
      <c r="N81" s="231">
        <f>H81*J81*L81</f>
        <v>30000</v>
      </c>
      <c r="O81" s="231">
        <f t="shared" si="27"/>
        <v>300</v>
      </c>
      <c r="P81" s="233">
        <v>13.13</v>
      </c>
      <c r="Q81" s="234">
        <f>P81*L81*J81</f>
        <v>3939.0000000000005</v>
      </c>
      <c r="R81" s="227">
        <v>43910</v>
      </c>
      <c r="S81" s="235" t="s">
        <v>3035</v>
      </c>
      <c r="T81" s="229" t="s">
        <v>3036</v>
      </c>
      <c r="U81" s="230">
        <v>316906</v>
      </c>
      <c r="V81" s="229"/>
      <c r="W81" s="232" t="str">
        <f t="shared" si="33"/>
        <v>Yes</v>
      </c>
      <c r="X81" s="456">
        <v>300</v>
      </c>
      <c r="Y81" s="230">
        <v>636284</v>
      </c>
      <c r="Z81" s="236">
        <v>43922</v>
      </c>
      <c r="AA81" s="237"/>
      <c r="AB81" s="236"/>
      <c r="AC81" s="236"/>
      <c r="AD81" s="237"/>
      <c r="AE81" s="236"/>
      <c r="AF81" s="236"/>
      <c r="AG81" s="238">
        <v>0</v>
      </c>
      <c r="AH81" s="239"/>
      <c r="AI81" s="229"/>
      <c r="AJ81" s="237"/>
      <c r="AK81" s="241" t="e">
        <f t="shared" ca="1" si="28"/>
        <v>#NAME?</v>
      </c>
      <c r="AL81" s="235"/>
      <c r="AM81" s="229"/>
      <c r="AN81" s="229"/>
      <c r="AP81" s="228" t="s">
        <v>3306</v>
      </c>
      <c r="AQ81" s="228" t="s">
        <v>3307</v>
      </c>
      <c r="AR81" s="228" t="s">
        <v>3039</v>
      </c>
      <c r="AS81" s="242">
        <f t="shared" si="29"/>
        <v>3939.0000000000005</v>
      </c>
      <c r="AT81" s="242">
        <f t="shared" si="30"/>
        <v>397.83900000000006</v>
      </c>
      <c r="AU81" s="242">
        <v>0</v>
      </c>
      <c r="AV81" s="242">
        <v>0</v>
      </c>
      <c r="AW81" s="242">
        <f t="shared" si="31"/>
        <v>4336.8390000000009</v>
      </c>
      <c r="AX81" s="237">
        <f t="shared" si="34"/>
        <v>30000</v>
      </c>
      <c r="AY81" s="237" t="s">
        <v>2762</v>
      </c>
      <c r="AZ81" s="242">
        <f t="shared" si="35"/>
        <v>0.14456130000000003</v>
      </c>
      <c r="BA81" s="242" t="s">
        <v>2765</v>
      </c>
      <c r="BB81" s="237" t="s">
        <v>2733</v>
      </c>
      <c r="BC81" s="242">
        <v>100</v>
      </c>
      <c r="BD81" s="242">
        <f t="shared" si="32"/>
        <v>14.456130000000003</v>
      </c>
      <c r="BF81" s="228" t="s">
        <v>36</v>
      </c>
      <c r="BG81" s="227" t="s">
        <v>3040</v>
      </c>
    </row>
    <row r="82" spans="1:59" s="228" customFormat="1" ht="15" customHeight="1">
      <c r="A82" s="227">
        <v>43903</v>
      </c>
      <c r="B82" s="228" t="s">
        <v>3030</v>
      </c>
      <c r="C82" s="229" t="s">
        <v>3045</v>
      </c>
      <c r="D82" s="230" t="s">
        <v>3046</v>
      </c>
      <c r="E82" s="229" t="s">
        <v>3047</v>
      </c>
      <c r="F82" s="231" t="s">
        <v>2846</v>
      </c>
      <c r="G82" s="231" t="s">
        <v>2846</v>
      </c>
      <c r="H82" s="231">
        <v>100</v>
      </c>
      <c r="I82" s="229" t="s">
        <v>3034</v>
      </c>
      <c r="J82" s="229">
        <v>300</v>
      </c>
      <c r="K82" s="229" t="s">
        <v>2733</v>
      </c>
      <c r="L82" s="232">
        <v>1</v>
      </c>
      <c r="M82" s="232" t="s">
        <v>64</v>
      </c>
      <c r="N82" s="231">
        <f>H82*J82*L82</f>
        <v>30000</v>
      </c>
      <c r="O82" s="231">
        <f t="shared" si="27"/>
        <v>300</v>
      </c>
      <c r="P82" s="233">
        <v>13.52</v>
      </c>
      <c r="Q82" s="234">
        <f>P82*J82</f>
        <v>4056</v>
      </c>
      <c r="R82" s="227">
        <v>43903</v>
      </c>
      <c r="S82" s="235" t="s">
        <v>3035</v>
      </c>
      <c r="T82" s="229" t="s">
        <v>3036</v>
      </c>
      <c r="U82" s="230">
        <v>316902</v>
      </c>
      <c r="V82" s="229"/>
      <c r="W82" s="232" t="str">
        <f t="shared" si="33"/>
        <v>Yes</v>
      </c>
      <c r="X82" s="456">
        <v>300</v>
      </c>
      <c r="Y82" s="230">
        <v>636052</v>
      </c>
      <c r="Z82" s="236">
        <v>43922</v>
      </c>
      <c r="AA82" s="237"/>
      <c r="AB82" s="236"/>
      <c r="AC82" s="236"/>
      <c r="AD82" s="237"/>
      <c r="AE82" s="236"/>
      <c r="AF82" s="236"/>
      <c r="AG82" s="238">
        <f>(J82*L82)-X82-AA82-AD82</f>
        <v>0</v>
      </c>
      <c r="AH82" s="239"/>
      <c r="AI82" s="240"/>
      <c r="AJ82" s="237">
        <v>0</v>
      </c>
      <c r="AK82" s="241" t="e">
        <f t="shared" ca="1" si="28"/>
        <v>#NAME?</v>
      </c>
      <c r="AL82" s="235"/>
      <c r="AM82" s="229"/>
      <c r="AN82" s="229"/>
      <c r="AP82" s="228" t="s">
        <v>3048</v>
      </c>
      <c r="AQ82" s="228" t="s">
        <v>3038</v>
      </c>
      <c r="AR82" s="228" t="s">
        <v>3039</v>
      </c>
      <c r="AS82" s="242">
        <f t="shared" si="29"/>
        <v>4056</v>
      </c>
      <c r="AT82" s="242">
        <f t="shared" si="30"/>
        <v>409.65600000000001</v>
      </c>
      <c r="AU82" s="242">
        <v>0</v>
      </c>
      <c r="AV82" s="242">
        <v>0</v>
      </c>
      <c r="AW82" s="242">
        <f t="shared" si="31"/>
        <v>4465.6559999999999</v>
      </c>
      <c r="AX82" s="237">
        <f t="shared" si="34"/>
        <v>30000</v>
      </c>
      <c r="AY82" s="237" t="s">
        <v>2762</v>
      </c>
      <c r="AZ82" s="242">
        <f t="shared" si="35"/>
        <v>0.14885519999999999</v>
      </c>
      <c r="BA82" s="242" t="s">
        <v>2773</v>
      </c>
      <c r="BB82" s="237" t="s">
        <v>2733</v>
      </c>
      <c r="BC82" s="242">
        <v>100</v>
      </c>
      <c r="BD82" s="242">
        <f t="shared" si="32"/>
        <v>14.88552</v>
      </c>
      <c r="BF82" s="228" t="s">
        <v>36</v>
      </c>
      <c r="BG82" s="227" t="s">
        <v>3040</v>
      </c>
    </row>
    <row r="83" spans="1:59" s="228" customFormat="1" ht="15" customHeight="1">
      <c r="A83" s="227">
        <v>43903</v>
      </c>
      <c r="B83" s="228" t="s">
        <v>3030</v>
      </c>
      <c r="C83" s="229" t="s">
        <v>3045</v>
      </c>
      <c r="D83" s="230" t="s">
        <v>3046</v>
      </c>
      <c r="E83" s="229" t="s">
        <v>3047</v>
      </c>
      <c r="F83" s="231" t="s">
        <v>2846</v>
      </c>
      <c r="G83" s="231" t="s">
        <v>2846</v>
      </c>
      <c r="H83" s="231">
        <v>100</v>
      </c>
      <c r="I83" s="229" t="s">
        <v>3034</v>
      </c>
      <c r="J83" s="229">
        <v>300</v>
      </c>
      <c r="K83" s="229" t="s">
        <v>2733</v>
      </c>
      <c r="L83" s="232">
        <v>1</v>
      </c>
      <c r="M83" s="232" t="s">
        <v>64</v>
      </c>
      <c r="N83" s="231">
        <f>H83*J83*L83</f>
        <v>30000</v>
      </c>
      <c r="O83" s="231">
        <f t="shared" si="27"/>
        <v>300</v>
      </c>
      <c r="P83" s="233">
        <v>13.13</v>
      </c>
      <c r="Q83" s="234">
        <f>L83*P83*J83</f>
        <v>3939.0000000000005</v>
      </c>
      <c r="R83" s="227">
        <v>43910</v>
      </c>
      <c r="S83" s="235" t="s">
        <v>3035</v>
      </c>
      <c r="T83" s="229" t="s">
        <v>3036</v>
      </c>
      <c r="U83" s="230">
        <v>316906</v>
      </c>
      <c r="V83" s="229"/>
      <c r="W83" s="232" t="str">
        <f t="shared" si="33"/>
        <v>Yes</v>
      </c>
      <c r="X83" s="456">
        <v>300</v>
      </c>
      <c r="Y83" s="230">
        <v>636284</v>
      </c>
      <c r="Z83" s="236">
        <v>43922</v>
      </c>
      <c r="AA83" s="237"/>
      <c r="AB83" s="236"/>
      <c r="AC83" s="236"/>
      <c r="AD83" s="237"/>
      <c r="AE83" s="236"/>
      <c r="AF83" s="236"/>
      <c r="AG83" s="238">
        <v>0</v>
      </c>
      <c r="AH83" s="239"/>
      <c r="AI83" s="229"/>
      <c r="AJ83" s="237"/>
      <c r="AK83" s="241" t="e">
        <f t="shared" ca="1" si="28"/>
        <v>#NAME?</v>
      </c>
      <c r="AL83" s="235"/>
      <c r="AM83" s="229"/>
      <c r="AN83" s="229"/>
      <c r="AP83" s="228" t="s">
        <v>3309</v>
      </c>
      <c r="AQ83" s="228" t="s">
        <v>3307</v>
      </c>
      <c r="AR83" s="228" t="s">
        <v>3039</v>
      </c>
      <c r="AS83" s="242">
        <f t="shared" si="29"/>
        <v>3939.0000000000005</v>
      </c>
      <c r="AT83" s="242">
        <f t="shared" si="30"/>
        <v>397.83900000000006</v>
      </c>
      <c r="AU83" s="242">
        <v>0</v>
      </c>
      <c r="AV83" s="242">
        <v>0</v>
      </c>
      <c r="AW83" s="242">
        <f t="shared" si="31"/>
        <v>4336.8390000000009</v>
      </c>
      <c r="AX83" s="237">
        <f t="shared" si="34"/>
        <v>30000</v>
      </c>
      <c r="AY83" s="237" t="s">
        <v>2762</v>
      </c>
      <c r="AZ83" s="242">
        <f t="shared" si="35"/>
        <v>0.14456130000000003</v>
      </c>
      <c r="BA83" s="242" t="s">
        <v>2773</v>
      </c>
      <c r="BB83" s="237" t="s">
        <v>2733</v>
      </c>
      <c r="BC83" s="242">
        <v>100</v>
      </c>
      <c r="BD83" s="242">
        <f t="shared" si="32"/>
        <v>14.456130000000003</v>
      </c>
      <c r="BF83" s="228" t="s">
        <v>36</v>
      </c>
      <c r="BG83" s="227" t="s">
        <v>3040</v>
      </c>
    </row>
    <row r="84" spans="1:59" s="228" customFormat="1" ht="15" customHeight="1">
      <c r="A84" s="227">
        <v>43903</v>
      </c>
      <c r="B84" s="228" t="s">
        <v>3056</v>
      </c>
      <c r="C84" s="229" t="s">
        <v>3031</v>
      </c>
      <c r="D84" s="230" t="s">
        <v>3404</v>
      </c>
      <c r="E84" s="229" t="s">
        <v>3191</v>
      </c>
      <c r="F84" s="231" t="s">
        <v>2846</v>
      </c>
      <c r="G84" s="231" t="s">
        <v>2846</v>
      </c>
      <c r="H84" s="231">
        <v>100</v>
      </c>
      <c r="I84" s="229" t="s">
        <v>3034</v>
      </c>
      <c r="J84" s="229">
        <v>1000</v>
      </c>
      <c r="K84" s="229" t="s">
        <v>2733</v>
      </c>
      <c r="L84" s="232">
        <v>1</v>
      </c>
      <c r="M84" s="232" t="s">
        <v>64</v>
      </c>
      <c r="N84" s="231">
        <f>L84*J84*H84</f>
        <v>100000</v>
      </c>
      <c r="O84" s="231">
        <f t="shared" si="27"/>
        <v>1000</v>
      </c>
      <c r="P84" s="233">
        <v>6.5</v>
      </c>
      <c r="Q84" s="234">
        <f>J84*L84*P84</f>
        <v>6500</v>
      </c>
      <c r="R84" s="227" t="s">
        <v>2970</v>
      </c>
      <c r="S84" s="235" t="s">
        <v>3035</v>
      </c>
      <c r="T84" s="229" t="s">
        <v>3036</v>
      </c>
      <c r="U84" s="230" t="s">
        <v>3400</v>
      </c>
      <c r="V84" s="229"/>
      <c r="W84" s="232" t="str">
        <f t="shared" si="33"/>
        <v>Yes</v>
      </c>
      <c r="X84" s="456">
        <v>1000</v>
      </c>
      <c r="Y84" s="230" t="s">
        <v>3401</v>
      </c>
      <c r="Z84" s="236">
        <v>43962</v>
      </c>
      <c r="AA84" s="237"/>
      <c r="AD84" s="237"/>
      <c r="AG84" s="238">
        <f>(Q84/P84)-X84-AA84-AD84</f>
        <v>0</v>
      </c>
      <c r="AH84" s="239" t="s">
        <v>72</v>
      </c>
      <c r="AI84" s="240" t="s">
        <v>2762</v>
      </c>
      <c r="AJ84" s="237">
        <f>+AG84*H84/2</f>
        <v>0</v>
      </c>
      <c r="AK84" s="241" t="e">
        <f t="shared" ca="1" si="28"/>
        <v>#NAME?</v>
      </c>
      <c r="AL84" s="235"/>
      <c r="AM84" s="229"/>
      <c r="AN84" s="229"/>
      <c r="AP84" s="228" t="s">
        <v>3405</v>
      </c>
      <c r="AQ84" s="228" t="s">
        <v>3403</v>
      </c>
      <c r="AR84" s="228" t="s">
        <v>3063</v>
      </c>
      <c r="AS84" s="242">
        <f t="shared" si="29"/>
        <v>6500</v>
      </c>
      <c r="AT84" s="242">
        <f t="shared" si="30"/>
        <v>656.5</v>
      </c>
      <c r="AU84" s="242">
        <v>0</v>
      </c>
      <c r="AV84" s="242">
        <v>0</v>
      </c>
      <c r="AW84" s="242">
        <f t="shared" si="31"/>
        <v>7156.5</v>
      </c>
      <c r="AX84" s="237">
        <f t="shared" si="34"/>
        <v>100000</v>
      </c>
      <c r="AY84" s="237" t="s">
        <v>2762</v>
      </c>
      <c r="AZ84" s="242">
        <f t="shared" si="35"/>
        <v>7.1565000000000004E-2</v>
      </c>
      <c r="BA84" s="242" t="s">
        <v>2765</v>
      </c>
      <c r="BB84" s="237" t="s">
        <v>2733</v>
      </c>
      <c r="BC84" s="242">
        <v>100</v>
      </c>
      <c r="BD84" s="242">
        <f t="shared" si="32"/>
        <v>7.1565000000000003</v>
      </c>
      <c r="BF84" s="228" t="s">
        <v>36</v>
      </c>
      <c r="BG84" s="227" t="s">
        <v>3040</v>
      </c>
    </row>
    <row r="85" spans="1:59" s="228" customFormat="1" ht="15" customHeight="1">
      <c r="A85" s="227">
        <v>43903</v>
      </c>
      <c r="B85" s="228" t="s">
        <v>3056</v>
      </c>
      <c r="C85" s="229" t="s">
        <v>3069</v>
      </c>
      <c r="D85" s="230" t="s">
        <v>3406</v>
      </c>
      <c r="E85" s="229" t="s">
        <v>3194</v>
      </c>
      <c r="F85" s="231" t="s">
        <v>2846</v>
      </c>
      <c r="G85" s="231" t="s">
        <v>2846</v>
      </c>
      <c r="H85" s="231">
        <v>100</v>
      </c>
      <c r="I85" s="229" t="s">
        <v>3034</v>
      </c>
      <c r="J85" s="229">
        <v>1000</v>
      </c>
      <c r="K85" s="229" t="s">
        <v>2733</v>
      </c>
      <c r="L85" s="232">
        <v>1</v>
      </c>
      <c r="M85" s="232" t="s">
        <v>64</v>
      </c>
      <c r="N85" s="231">
        <f>L85*J85*H85</f>
        <v>100000</v>
      </c>
      <c r="O85" s="231">
        <f t="shared" si="27"/>
        <v>1000</v>
      </c>
      <c r="P85" s="233">
        <v>6.5</v>
      </c>
      <c r="Q85" s="234">
        <f>J85*L85*P85</f>
        <v>6500</v>
      </c>
      <c r="R85" s="227" t="s">
        <v>2970</v>
      </c>
      <c r="S85" s="235" t="s">
        <v>3035</v>
      </c>
      <c r="T85" s="229" t="s">
        <v>3036</v>
      </c>
      <c r="U85" s="230" t="s">
        <v>3400</v>
      </c>
      <c r="V85" s="229"/>
      <c r="W85" s="232" t="str">
        <f t="shared" si="33"/>
        <v>Yes</v>
      </c>
      <c r="X85" s="456">
        <v>1000</v>
      </c>
      <c r="Y85" s="230" t="s">
        <v>3401</v>
      </c>
      <c r="Z85" s="236">
        <v>43962</v>
      </c>
      <c r="AA85" s="237"/>
      <c r="AD85" s="237"/>
      <c r="AG85" s="238">
        <f>(Q85/P85)-X85-AA85-AD85</f>
        <v>0</v>
      </c>
      <c r="AH85" s="239" t="s">
        <v>72</v>
      </c>
      <c r="AI85" s="240" t="s">
        <v>2762</v>
      </c>
      <c r="AJ85" s="237">
        <f>+AG85*H85/2</f>
        <v>0</v>
      </c>
      <c r="AK85" s="241" t="e">
        <f t="shared" ca="1" si="28"/>
        <v>#NAME?</v>
      </c>
      <c r="AL85" s="235"/>
      <c r="AM85" s="229"/>
      <c r="AN85" s="229"/>
      <c r="AP85" s="228" t="s">
        <v>3407</v>
      </c>
      <c r="AQ85" s="228" t="s">
        <v>3403</v>
      </c>
      <c r="AR85" s="228" t="s">
        <v>3063</v>
      </c>
      <c r="AS85" s="242">
        <f t="shared" si="29"/>
        <v>6500</v>
      </c>
      <c r="AT85" s="242">
        <f t="shared" si="30"/>
        <v>656.5</v>
      </c>
      <c r="AU85" s="242">
        <v>0</v>
      </c>
      <c r="AV85" s="242">
        <v>0</v>
      </c>
      <c r="AW85" s="242">
        <f t="shared" si="31"/>
        <v>7156.5</v>
      </c>
      <c r="AX85" s="237">
        <f t="shared" si="34"/>
        <v>100000</v>
      </c>
      <c r="AY85" s="237" t="s">
        <v>2762</v>
      </c>
      <c r="AZ85" s="242">
        <f t="shared" si="35"/>
        <v>7.1565000000000004E-2</v>
      </c>
      <c r="BA85" s="242" t="s">
        <v>2760</v>
      </c>
      <c r="BB85" s="237" t="s">
        <v>2733</v>
      </c>
      <c r="BC85" s="242">
        <v>100</v>
      </c>
      <c r="BD85" s="242">
        <f t="shared" si="32"/>
        <v>7.1565000000000003</v>
      </c>
      <c r="BF85" s="228" t="s">
        <v>36</v>
      </c>
      <c r="BG85" s="227" t="s">
        <v>3040</v>
      </c>
    </row>
    <row r="86" spans="1:59" s="228" customFormat="1" ht="15" customHeight="1">
      <c r="A86" s="227">
        <v>43903</v>
      </c>
      <c r="B86" s="228" t="s">
        <v>3552</v>
      </c>
      <c r="C86" s="229" t="s">
        <v>94</v>
      </c>
      <c r="D86" s="230" t="s">
        <v>3558</v>
      </c>
      <c r="E86" s="229" t="s">
        <v>3559</v>
      </c>
      <c r="F86" s="231" t="s">
        <v>2846</v>
      </c>
      <c r="G86" s="231" t="s">
        <v>2846</v>
      </c>
      <c r="H86" s="231">
        <v>150</v>
      </c>
      <c r="I86" s="229" t="s">
        <v>3157</v>
      </c>
      <c r="J86" s="229">
        <v>20</v>
      </c>
      <c r="K86" s="229" t="s">
        <v>2733</v>
      </c>
      <c r="L86" s="232">
        <v>66</v>
      </c>
      <c r="M86" s="232" t="s">
        <v>2953</v>
      </c>
      <c r="N86" s="231">
        <f>L86*J86*H86</f>
        <v>198000</v>
      </c>
      <c r="O86" s="231">
        <f t="shared" si="27"/>
        <v>1320</v>
      </c>
      <c r="P86" s="233">
        <v>25.89</v>
      </c>
      <c r="Q86" s="233">
        <f>P86*L86</f>
        <v>1708.74</v>
      </c>
      <c r="R86" s="229" t="s">
        <v>2970</v>
      </c>
      <c r="S86" s="235"/>
      <c r="T86" s="229"/>
      <c r="U86" s="230" t="s">
        <v>3555</v>
      </c>
      <c r="V86" s="229"/>
      <c r="W86" s="232" t="e">
        <f ca="1">_xlfn.SINGLE(IF(AG86=0,"Yes","No"))</f>
        <v>#NAME?</v>
      </c>
      <c r="X86" s="456">
        <v>1320</v>
      </c>
      <c r="Y86" s="230" t="s">
        <v>3555</v>
      </c>
      <c r="Z86" s="236">
        <v>43915</v>
      </c>
      <c r="AA86" s="237"/>
      <c r="AB86" s="236"/>
      <c r="AC86" s="236"/>
      <c r="AD86" s="237"/>
      <c r="AE86" s="236"/>
      <c r="AF86" s="236"/>
      <c r="AG86" s="238">
        <f>IF(O86="N/A",L86,(J86*L86)-X86-AA86-AD86)</f>
        <v>0</v>
      </c>
      <c r="AH86" s="248"/>
      <c r="AI86" s="229"/>
      <c r="AJ86" s="237"/>
      <c r="AK86" s="241" t="e">
        <f t="shared" ca="1" si="28"/>
        <v>#NAME?</v>
      </c>
      <c r="AL86" s="235"/>
      <c r="AM86" s="229"/>
      <c r="AN86" s="229"/>
      <c r="AP86" s="228" t="s">
        <v>3560</v>
      </c>
      <c r="AQ86" s="228" t="s">
        <v>3557</v>
      </c>
      <c r="AR86" s="228" t="s">
        <v>3039</v>
      </c>
      <c r="AS86" s="242">
        <f t="shared" si="29"/>
        <v>1708.74</v>
      </c>
      <c r="AT86" s="242">
        <f t="shared" si="30"/>
        <v>172.58274</v>
      </c>
      <c r="AU86" s="242">
        <v>0</v>
      </c>
      <c r="AV86" s="242">
        <v>0</v>
      </c>
      <c r="AW86" s="242">
        <f t="shared" si="31"/>
        <v>1881.3227400000001</v>
      </c>
      <c r="AX86" s="237">
        <f>+O86</f>
        <v>1320</v>
      </c>
      <c r="AY86" s="242" t="s">
        <v>2733</v>
      </c>
      <c r="AZ86" s="242">
        <f t="shared" si="35"/>
        <v>1.4252445</v>
      </c>
      <c r="BA86" s="242" t="s">
        <v>2730</v>
      </c>
      <c r="BB86" s="242" t="s">
        <v>2953</v>
      </c>
      <c r="BC86" s="242">
        <v>20</v>
      </c>
      <c r="BD86" s="242">
        <f t="shared" si="32"/>
        <v>28.50489</v>
      </c>
      <c r="BF86" s="228" t="s">
        <v>3162</v>
      </c>
      <c r="BG86" s="227" t="s">
        <v>3040</v>
      </c>
    </row>
    <row r="87" spans="1:59" s="228" customFormat="1" ht="15" customHeight="1">
      <c r="A87" s="227">
        <v>43903</v>
      </c>
      <c r="B87" s="228" t="s">
        <v>3056</v>
      </c>
      <c r="C87" s="229" t="s">
        <v>3041</v>
      </c>
      <c r="D87" s="230" t="s">
        <v>3399</v>
      </c>
      <c r="E87" s="229" t="s">
        <v>3185</v>
      </c>
      <c r="F87" s="231" t="s">
        <v>2846</v>
      </c>
      <c r="G87" s="231" t="s">
        <v>2846</v>
      </c>
      <c r="H87" s="231">
        <v>100</v>
      </c>
      <c r="I87" s="229" t="s">
        <v>3034</v>
      </c>
      <c r="J87" s="229">
        <v>2000</v>
      </c>
      <c r="K87" s="229" t="s">
        <v>2733</v>
      </c>
      <c r="L87" s="232">
        <v>1</v>
      </c>
      <c r="M87" s="232" t="s">
        <v>64</v>
      </c>
      <c r="N87" s="231">
        <f>L87*J87*H87</f>
        <v>200000</v>
      </c>
      <c r="O87" s="231">
        <f t="shared" si="27"/>
        <v>2000</v>
      </c>
      <c r="P87" s="233">
        <v>6.5</v>
      </c>
      <c r="Q87" s="234">
        <f>J87*L87*P87</f>
        <v>13000</v>
      </c>
      <c r="R87" s="227" t="s">
        <v>2970</v>
      </c>
      <c r="S87" s="235" t="s">
        <v>3035</v>
      </c>
      <c r="T87" s="229" t="s">
        <v>3036</v>
      </c>
      <c r="U87" s="230" t="s">
        <v>3400</v>
      </c>
      <c r="V87" s="229"/>
      <c r="W87" s="232" t="str">
        <f t="shared" ref="W87:W98" si="36">IF(AG87=0,"Yes","No")</f>
        <v>Yes</v>
      </c>
      <c r="X87" s="456">
        <v>2000</v>
      </c>
      <c r="Y87" s="230" t="s">
        <v>3401</v>
      </c>
      <c r="Z87" s="236">
        <v>43962</v>
      </c>
      <c r="AA87" s="237"/>
      <c r="AD87" s="237"/>
      <c r="AG87" s="238">
        <f>(Q87/P87)-X87-AA87-AD87</f>
        <v>0</v>
      </c>
      <c r="AH87" s="239" t="s">
        <v>72</v>
      </c>
      <c r="AI87" s="240" t="s">
        <v>2762</v>
      </c>
      <c r="AJ87" s="237">
        <f>+AG87*H87/2</f>
        <v>0</v>
      </c>
      <c r="AK87" s="241" t="e">
        <f t="shared" ca="1" si="28"/>
        <v>#NAME?</v>
      </c>
      <c r="AL87" s="235"/>
      <c r="AM87" s="229"/>
      <c r="AN87" s="229"/>
      <c r="AP87" s="228" t="s">
        <v>3402</v>
      </c>
      <c r="AQ87" s="228" t="s">
        <v>3403</v>
      </c>
      <c r="AR87" s="228" t="s">
        <v>3063</v>
      </c>
      <c r="AS87" s="242">
        <f t="shared" si="29"/>
        <v>13000</v>
      </c>
      <c r="AT87" s="242">
        <f t="shared" si="30"/>
        <v>1313</v>
      </c>
      <c r="AU87" s="242">
        <v>0</v>
      </c>
      <c r="AV87" s="242">
        <v>0</v>
      </c>
      <c r="AW87" s="242">
        <f t="shared" si="31"/>
        <v>14313</v>
      </c>
      <c r="AX87" s="237">
        <f t="shared" ref="AX87:AX98" si="37">+N87</f>
        <v>200000</v>
      </c>
      <c r="AY87" s="237" t="s">
        <v>2762</v>
      </c>
      <c r="AZ87" s="242">
        <f t="shared" si="35"/>
        <v>7.1565000000000004E-2</v>
      </c>
      <c r="BA87" s="242" t="s">
        <v>2769</v>
      </c>
      <c r="BB87" s="237" t="s">
        <v>2733</v>
      </c>
      <c r="BC87" s="242">
        <v>100</v>
      </c>
      <c r="BD87" s="242">
        <f t="shared" si="32"/>
        <v>7.1565000000000003</v>
      </c>
      <c r="BF87" s="228" t="s">
        <v>36</v>
      </c>
      <c r="BG87" s="227" t="s">
        <v>3040</v>
      </c>
    </row>
    <row r="88" spans="1:59" s="228" customFormat="1" ht="15" customHeight="1">
      <c r="A88" s="227">
        <v>43903</v>
      </c>
      <c r="B88" s="228" t="s">
        <v>3056</v>
      </c>
      <c r="C88" s="229" t="s">
        <v>3045</v>
      </c>
      <c r="D88" s="230" t="s">
        <v>3408</v>
      </c>
      <c r="E88" s="229" t="s">
        <v>3197</v>
      </c>
      <c r="F88" s="231" t="s">
        <v>2846</v>
      </c>
      <c r="G88" s="231" t="s">
        <v>2846</v>
      </c>
      <c r="H88" s="231">
        <v>100</v>
      </c>
      <c r="I88" s="229" t="s">
        <v>3034</v>
      </c>
      <c r="J88" s="229">
        <v>2000</v>
      </c>
      <c r="K88" s="229" t="s">
        <v>2733</v>
      </c>
      <c r="L88" s="232">
        <v>1</v>
      </c>
      <c r="M88" s="232" t="s">
        <v>64</v>
      </c>
      <c r="N88" s="231">
        <f>L88*J88*H88</f>
        <v>200000</v>
      </c>
      <c r="O88" s="231">
        <f t="shared" si="27"/>
        <v>2000</v>
      </c>
      <c r="P88" s="233">
        <v>6.5</v>
      </c>
      <c r="Q88" s="234">
        <f>J88*L88*P88</f>
        <v>13000</v>
      </c>
      <c r="R88" s="227" t="s">
        <v>2970</v>
      </c>
      <c r="S88" s="235" t="s">
        <v>3035</v>
      </c>
      <c r="T88" s="229" t="s">
        <v>3036</v>
      </c>
      <c r="U88" s="230" t="s">
        <v>3400</v>
      </c>
      <c r="V88" s="229"/>
      <c r="W88" s="232" t="str">
        <f t="shared" si="36"/>
        <v>Yes</v>
      </c>
      <c r="X88" s="456">
        <v>2000</v>
      </c>
      <c r="Y88" s="230" t="s">
        <v>3401</v>
      </c>
      <c r="Z88" s="236">
        <v>43962</v>
      </c>
      <c r="AA88" s="237"/>
      <c r="AD88" s="237"/>
      <c r="AG88" s="238">
        <f>(Q88/P88)-X88-AA88-AD88</f>
        <v>0</v>
      </c>
      <c r="AH88" s="239" t="s">
        <v>72</v>
      </c>
      <c r="AI88" s="240" t="s">
        <v>2762</v>
      </c>
      <c r="AJ88" s="237">
        <f>+AG88*H88/2</f>
        <v>0</v>
      </c>
      <c r="AK88" s="241" t="e">
        <f t="shared" ca="1" si="28"/>
        <v>#NAME?</v>
      </c>
      <c r="AL88" s="235"/>
      <c r="AM88" s="229"/>
      <c r="AN88" s="229"/>
      <c r="AP88" s="228" t="s">
        <v>3409</v>
      </c>
      <c r="AQ88" s="228" t="s">
        <v>3403</v>
      </c>
      <c r="AR88" s="228" t="s">
        <v>3063</v>
      </c>
      <c r="AS88" s="242">
        <f t="shared" si="29"/>
        <v>13000</v>
      </c>
      <c r="AT88" s="242">
        <f t="shared" si="30"/>
        <v>1313</v>
      </c>
      <c r="AU88" s="242">
        <v>0</v>
      </c>
      <c r="AV88" s="242">
        <v>0</v>
      </c>
      <c r="AW88" s="242">
        <f t="shared" si="31"/>
        <v>14313</v>
      </c>
      <c r="AX88" s="237">
        <f t="shared" si="37"/>
        <v>200000</v>
      </c>
      <c r="AY88" s="237" t="s">
        <v>2762</v>
      </c>
      <c r="AZ88" s="242">
        <f t="shared" si="35"/>
        <v>7.1565000000000004E-2</v>
      </c>
      <c r="BA88" s="242" t="s">
        <v>2773</v>
      </c>
      <c r="BB88" s="237" t="s">
        <v>2733</v>
      </c>
      <c r="BC88" s="242">
        <v>100</v>
      </c>
      <c r="BD88" s="242">
        <f t="shared" si="32"/>
        <v>7.1565000000000003</v>
      </c>
      <c r="BF88" s="228" t="s">
        <v>36</v>
      </c>
      <c r="BG88" s="227" t="s">
        <v>3040</v>
      </c>
    </row>
    <row r="89" spans="1:59" s="228" customFormat="1" ht="15" customHeight="1">
      <c r="A89" s="227">
        <v>43906</v>
      </c>
      <c r="B89" s="228" t="s">
        <v>3310</v>
      </c>
      <c r="C89" s="229" t="s">
        <v>1584</v>
      </c>
      <c r="D89" s="230" t="s">
        <v>3328</v>
      </c>
      <c r="E89" s="229" t="s">
        <v>3329</v>
      </c>
      <c r="F89" s="231">
        <v>4</v>
      </c>
      <c r="G89" s="231">
        <f>F89*N89</f>
        <v>4608</v>
      </c>
      <c r="H89" s="231">
        <v>24</v>
      </c>
      <c r="I89" s="229" t="s">
        <v>3132</v>
      </c>
      <c r="J89" s="229" t="s">
        <v>2846</v>
      </c>
      <c r="K89" s="229" t="s">
        <v>2846</v>
      </c>
      <c r="L89" s="232">
        <v>48</v>
      </c>
      <c r="M89" s="232" t="s">
        <v>2953</v>
      </c>
      <c r="N89" s="231">
        <f>L89*H89</f>
        <v>1152</v>
      </c>
      <c r="O89" s="231" t="s">
        <v>2846</v>
      </c>
      <c r="P89" s="233">
        <v>3.5</v>
      </c>
      <c r="Q89" s="233">
        <f>L89*P89</f>
        <v>168</v>
      </c>
      <c r="R89" s="227">
        <v>43913</v>
      </c>
      <c r="S89" s="235" t="s">
        <v>3263</v>
      </c>
      <c r="T89" s="229" t="s">
        <v>3036</v>
      </c>
      <c r="U89" s="230" t="s">
        <v>3330</v>
      </c>
      <c r="V89" s="229"/>
      <c r="W89" s="232" t="str">
        <f t="shared" si="36"/>
        <v>Yes</v>
      </c>
      <c r="X89" s="456">
        <v>48</v>
      </c>
      <c r="Y89" s="230">
        <v>118776</v>
      </c>
      <c r="Z89" s="236">
        <v>43969</v>
      </c>
      <c r="AA89" s="237"/>
      <c r="AD89" s="237"/>
      <c r="AG89" s="238">
        <v>0</v>
      </c>
      <c r="AH89" s="239"/>
      <c r="AI89" s="229"/>
      <c r="AJ89" s="237"/>
      <c r="AK89" s="241" t="e">
        <f t="shared" ca="1" si="28"/>
        <v>#NAME?</v>
      </c>
      <c r="AL89" s="235"/>
      <c r="AM89" s="229"/>
      <c r="AN89" s="229"/>
      <c r="AP89" s="228" t="s">
        <v>3331</v>
      </c>
      <c r="AQ89" s="228" t="s">
        <v>3332</v>
      </c>
      <c r="AR89" s="228" t="s">
        <v>3063</v>
      </c>
      <c r="AS89" s="242">
        <f t="shared" si="29"/>
        <v>168</v>
      </c>
      <c r="AT89" s="242">
        <f t="shared" si="30"/>
        <v>16.968</v>
      </c>
      <c r="AU89" s="242">
        <v>0</v>
      </c>
      <c r="AV89" s="242">
        <v>0</v>
      </c>
      <c r="AW89" s="242">
        <f t="shared" si="31"/>
        <v>184.96799999999999</v>
      </c>
      <c r="AX89" s="237">
        <f t="shared" si="37"/>
        <v>1152</v>
      </c>
      <c r="AY89" s="242" t="s">
        <v>2736</v>
      </c>
      <c r="AZ89" s="242"/>
      <c r="BA89" s="279" t="s">
        <v>3333</v>
      </c>
      <c r="BB89" s="242"/>
      <c r="BC89" s="242"/>
      <c r="BD89" s="242">
        <f t="shared" si="32"/>
        <v>0</v>
      </c>
      <c r="BF89" s="228" t="s">
        <v>3137</v>
      </c>
      <c r="BG89" s="227" t="s">
        <v>3040</v>
      </c>
    </row>
    <row r="90" spans="1:59" s="228" customFormat="1" ht="15" customHeight="1">
      <c r="A90" s="227">
        <v>43906</v>
      </c>
      <c r="B90" s="228" t="s">
        <v>3310</v>
      </c>
      <c r="C90" s="229" t="s">
        <v>1584</v>
      </c>
      <c r="D90" s="230" t="s">
        <v>3334</v>
      </c>
      <c r="E90" s="229" t="s">
        <v>3335</v>
      </c>
      <c r="F90" s="231">
        <v>2</v>
      </c>
      <c r="G90" s="231">
        <f>F90*N90</f>
        <v>2304</v>
      </c>
      <c r="H90" s="231">
        <v>24</v>
      </c>
      <c r="I90" s="229" t="s">
        <v>3132</v>
      </c>
      <c r="J90" s="229" t="s">
        <v>2846</v>
      </c>
      <c r="K90" s="229" t="s">
        <v>2846</v>
      </c>
      <c r="L90" s="232">
        <v>48</v>
      </c>
      <c r="M90" s="232" t="s">
        <v>2953</v>
      </c>
      <c r="N90" s="231">
        <f>L90*H90</f>
        <v>1152</v>
      </c>
      <c r="O90" s="231" t="s">
        <v>2846</v>
      </c>
      <c r="P90" s="233">
        <v>2.75</v>
      </c>
      <c r="Q90" s="233">
        <f>L90*P90</f>
        <v>132</v>
      </c>
      <c r="R90" s="227">
        <v>43913</v>
      </c>
      <c r="S90" s="235" t="s">
        <v>3263</v>
      </c>
      <c r="T90" s="229" t="s">
        <v>3036</v>
      </c>
      <c r="U90" s="230" t="s">
        <v>3330</v>
      </c>
      <c r="V90" s="229"/>
      <c r="W90" s="232" t="str">
        <f t="shared" si="36"/>
        <v>Yes</v>
      </c>
      <c r="X90" s="456">
        <v>48</v>
      </c>
      <c r="Y90" s="230">
        <v>118776</v>
      </c>
      <c r="Z90" s="236">
        <v>43969</v>
      </c>
      <c r="AA90" s="237"/>
      <c r="AD90" s="237"/>
      <c r="AG90" s="238">
        <v>0</v>
      </c>
      <c r="AH90" s="239"/>
      <c r="AI90" s="229"/>
      <c r="AJ90" s="237"/>
      <c r="AK90" s="241" t="e">
        <f t="shared" ca="1" si="28"/>
        <v>#NAME?</v>
      </c>
      <c r="AL90" s="235"/>
      <c r="AM90" s="229"/>
      <c r="AN90" s="229"/>
      <c r="AP90" s="228" t="s">
        <v>3336</v>
      </c>
      <c r="AQ90" s="228" t="s">
        <v>3332</v>
      </c>
      <c r="AR90" s="228" t="s">
        <v>3063</v>
      </c>
      <c r="AS90" s="242">
        <f t="shared" si="29"/>
        <v>132</v>
      </c>
      <c r="AT90" s="242">
        <f t="shared" si="30"/>
        <v>13.332000000000001</v>
      </c>
      <c r="AU90" s="242">
        <v>0</v>
      </c>
      <c r="AV90" s="242">
        <v>0</v>
      </c>
      <c r="AW90" s="242">
        <f t="shared" si="31"/>
        <v>145.33199999999999</v>
      </c>
      <c r="AX90" s="237">
        <f t="shared" si="37"/>
        <v>1152</v>
      </c>
      <c r="AY90" s="242" t="s">
        <v>2736</v>
      </c>
      <c r="AZ90" s="242"/>
      <c r="BA90" s="279" t="s">
        <v>3333</v>
      </c>
      <c r="BB90" s="242"/>
      <c r="BC90" s="242"/>
      <c r="BD90" s="242">
        <f t="shared" si="32"/>
        <v>0</v>
      </c>
      <c r="BF90" s="228" t="s">
        <v>3137</v>
      </c>
      <c r="BG90" s="227" t="s">
        <v>3040</v>
      </c>
    </row>
    <row r="91" spans="1:59" s="228" customFormat="1" ht="15" customHeight="1">
      <c r="A91" s="227">
        <v>43906</v>
      </c>
      <c r="B91" s="228" t="s">
        <v>3030</v>
      </c>
      <c r="C91" s="229" t="s">
        <v>3041</v>
      </c>
      <c r="D91" s="230" t="s">
        <v>3042</v>
      </c>
      <c r="E91" s="229" t="s">
        <v>3043</v>
      </c>
      <c r="F91" s="231" t="s">
        <v>2846</v>
      </c>
      <c r="G91" s="231" t="s">
        <v>2846</v>
      </c>
      <c r="H91" s="231">
        <v>100</v>
      </c>
      <c r="I91" s="229" t="s">
        <v>3034</v>
      </c>
      <c r="J91" s="229">
        <v>300</v>
      </c>
      <c r="K91" s="229" t="s">
        <v>2733</v>
      </c>
      <c r="L91" s="232">
        <v>1</v>
      </c>
      <c r="M91" s="232" t="s">
        <v>64</v>
      </c>
      <c r="N91" s="231">
        <f>L91*J91*H91</f>
        <v>30000</v>
      </c>
      <c r="O91" s="231">
        <f>J91*L91</f>
        <v>300</v>
      </c>
      <c r="P91" s="233">
        <v>12.52</v>
      </c>
      <c r="Q91" s="234">
        <f>P91*L91*J91</f>
        <v>3756</v>
      </c>
      <c r="R91" s="227">
        <v>43913</v>
      </c>
      <c r="S91" s="235" t="s">
        <v>3035</v>
      </c>
      <c r="T91" s="229" t="s">
        <v>3036</v>
      </c>
      <c r="U91" s="230">
        <v>316984</v>
      </c>
      <c r="V91" s="229"/>
      <c r="W91" s="232" t="str">
        <f t="shared" si="36"/>
        <v>Yes</v>
      </c>
      <c r="X91" s="456">
        <v>300</v>
      </c>
      <c r="Y91" s="230">
        <v>636358</v>
      </c>
      <c r="Z91" s="236">
        <v>43922</v>
      </c>
      <c r="AA91" s="237"/>
      <c r="AB91" s="236"/>
      <c r="AC91" s="236"/>
      <c r="AD91" s="237"/>
      <c r="AE91" s="236"/>
      <c r="AF91" s="236"/>
      <c r="AG91" s="238">
        <v>0</v>
      </c>
      <c r="AH91" s="239"/>
      <c r="AI91" s="229"/>
      <c r="AJ91" s="237"/>
      <c r="AK91" s="241" t="e">
        <f t="shared" ca="1" si="28"/>
        <v>#NAME?</v>
      </c>
      <c r="AL91" s="235"/>
      <c r="AM91" s="229"/>
      <c r="AN91" s="229"/>
      <c r="AP91" s="228" t="s">
        <v>3326</v>
      </c>
      <c r="AQ91" s="228" t="s">
        <v>3324</v>
      </c>
      <c r="AR91" s="228" t="s">
        <v>3039</v>
      </c>
      <c r="AS91" s="242">
        <f t="shared" si="29"/>
        <v>3756</v>
      </c>
      <c r="AT91" s="242">
        <f t="shared" si="30"/>
        <v>379.35600000000005</v>
      </c>
      <c r="AU91" s="242">
        <v>0</v>
      </c>
      <c r="AV91" s="242">
        <v>0</v>
      </c>
      <c r="AW91" s="242">
        <f t="shared" si="31"/>
        <v>4135.3559999999998</v>
      </c>
      <c r="AX91" s="237">
        <f t="shared" si="37"/>
        <v>30000</v>
      </c>
      <c r="AY91" s="237" t="s">
        <v>2762</v>
      </c>
      <c r="AZ91" s="242">
        <f t="shared" ref="AZ91:AZ98" si="38">+AW91/AX91</f>
        <v>0.1378452</v>
      </c>
      <c r="BA91" s="242" t="s">
        <v>2769</v>
      </c>
      <c r="BB91" s="237" t="s">
        <v>2733</v>
      </c>
      <c r="BC91" s="242">
        <v>100</v>
      </c>
      <c r="BD91" s="242">
        <f t="shared" si="32"/>
        <v>13.784520000000001</v>
      </c>
      <c r="BF91" s="228" t="s">
        <v>36</v>
      </c>
      <c r="BG91" s="227" t="s">
        <v>3040</v>
      </c>
    </row>
    <row r="92" spans="1:59" s="228" customFormat="1" ht="15" customHeight="1">
      <c r="A92" s="227">
        <v>43906</v>
      </c>
      <c r="B92" s="228" t="s">
        <v>3030</v>
      </c>
      <c r="C92" s="229" t="s">
        <v>3031</v>
      </c>
      <c r="D92" s="230" t="s">
        <v>3032</v>
      </c>
      <c r="E92" s="229" t="s">
        <v>3033</v>
      </c>
      <c r="F92" s="231" t="s">
        <v>2846</v>
      </c>
      <c r="G92" s="231" t="s">
        <v>2846</v>
      </c>
      <c r="H92" s="231">
        <v>100</v>
      </c>
      <c r="I92" s="229" t="s">
        <v>3034</v>
      </c>
      <c r="J92" s="229">
        <v>300</v>
      </c>
      <c r="K92" s="229" t="s">
        <v>2733</v>
      </c>
      <c r="L92" s="232">
        <v>1</v>
      </c>
      <c r="M92" s="232" t="s">
        <v>64</v>
      </c>
      <c r="N92" s="231">
        <f>L92*J92*H92</f>
        <v>30000</v>
      </c>
      <c r="O92" s="231">
        <f>J92*L92</f>
        <v>300</v>
      </c>
      <c r="P92" s="233">
        <v>12.52</v>
      </c>
      <c r="Q92" s="234">
        <f>P92*L92*J92</f>
        <v>3756</v>
      </c>
      <c r="R92" s="227">
        <v>43913</v>
      </c>
      <c r="S92" s="235" t="s">
        <v>3035</v>
      </c>
      <c r="T92" s="229" t="s">
        <v>3036</v>
      </c>
      <c r="U92" s="230">
        <v>316984</v>
      </c>
      <c r="V92" s="229"/>
      <c r="W92" s="232" t="str">
        <f t="shared" si="36"/>
        <v>Yes</v>
      </c>
      <c r="X92" s="456">
        <v>300</v>
      </c>
      <c r="Y92" s="230">
        <v>636358</v>
      </c>
      <c r="Z92" s="236">
        <v>43922</v>
      </c>
      <c r="AA92" s="237"/>
      <c r="AB92" s="236"/>
      <c r="AC92" s="236"/>
      <c r="AD92" s="237"/>
      <c r="AE92" s="236"/>
      <c r="AF92" s="236"/>
      <c r="AG92" s="238">
        <v>0</v>
      </c>
      <c r="AH92" s="239"/>
      <c r="AI92" s="229"/>
      <c r="AJ92" s="237"/>
      <c r="AK92" s="241" t="e">
        <f t="shared" ca="1" si="28"/>
        <v>#NAME?</v>
      </c>
      <c r="AL92" s="235"/>
      <c r="AM92" s="229"/>
      <c r="AN92" s="229"/>
      <c r="AP92" s="228" t="s">
        <v>3325</v>
      </c>
      <c r="AQ92" s="228" t="s">
        <v>3324</v>
      </c>
      <c r="AR92" s="228" t="s">
        <v>3039</v>
      </c>
      <c r="AS92" s="242">
        <f t="shared" si="29"/>
        <v>3756</v>
      </c>
      <c r="AT92" s="242">
        <f t="shared" si="30"/>
        <v>379.35600000000005</v>
      </c>
      <c r="AU92" s="242">
        <v>0</v>
      </c>
      <c r="AV92" s="242">
        <v>0</v>
      </c>
      <c r="AW92" s="242">
        <f t="shared" si="31"/>
        <v>4135.3559999999998</v>
      </c>
      <c r="AX92" s="237">
        <f t="shared" si="37"/>
        <v>30000</v>
      </c>
      <c r="AY92" s="237" t="s">
        <v>2762</v>
      </c>
      <c r="AZ92" s="242">
        <f t="shared" si="38"/>
        <v>0.1378452</v>
      </c>
      <c r="BA92" s="242" t="s">
        <v>2765</v>
      </c>
      <c r="BB92" s="237" t="s">
        <v>2733</v>
      </c>
      <c r="BC92" s="242">
        <v>100</v>
      </c>
      <c r="BD92" s="242">
        <f t="shared" si="32"/>
        <v>13.784520000000001</v>
      </c>
      <c r="BF92" s="228" t="s">
        <v>36</v>
      </c>
      <c r="BG92" s="227" t="s">
        <v>3040</v>
      </c>
    </row>
    <row r="93" spans="1:59" s="228" customFormat="1" ht="15" customHeight="1">
      <c r="A93" s="227">
        <v>43906</v>
      </c>
      <c r="B93" s="228" t="s">
        <v>3030</v>
      </c>
      <c r="C93" s="229" t="s">
        <v>3069</v>
      </c>
      <c r="D93" s="230" t="s">
        <v>3321</v>
      </c>
      <c r="E93" s="229" t="s">
        <v>3322</v>
      </c>
      <c r="F93" s="231" t="s">
        <v>2846</v>
      </c>
      <c r="G93" s="231" t="s">
        <v>2846</v>
      </c>
      <c r="H93" s="231">
        <v>100</v>
      </c>
      <c r="I93" s="229" t="s">
        <v>3034</v>
      </c>
      <c r="J93" s="229">
        <v>300</v>
      </c>
      <c r="K93" s="229" t="s">
        <v>2733</v>
      </c>
      <c r="L93" s="232">
        <v>1</v>
      </c>
      <c r="M93" s="232" t="s">
        <v>64</v>
      </c>
      <c r="N93" s="231">
        <f>L93*J93*H93</f>
        <v>30000</v>
      </c>
      <c r="O93" s="231">
        <f>J93*L93</f>
        <v>300</v>
      </c>
      <c r="P93" s="233">
        <v>12.52</v>
      </c>
      <c r="Q93" s="234">
        <f>P93*L93*J93</f>
        <v>3756</v>
      </c>
      <c r="R93" s="227">
        <v>43913</v>
      </c>
      <c r="S93" s="235" t="s">
        <v>3035</v>
      </c>
      <c r="T93" s="229" t="s">
        <v>3036</v>
      </c>
      <c r="U93" s="230">
        <v>316984</v>
      </c>
      <c r="V93" s="229"/>
      <c r="W93" s="232" t="str">
        <f t="shared" si="36"/>
        <v>Yes</v>
      </c>
      <c r="X93" s="456">
        <v>300</v>
      </c>
      <c r="Y93" s="230">
        <v>636358</v>
      </c>
      <c r="Z93" s="236">
        <v>43922</v>
      </c>
      <c r="AA93" s="237"/>
      <c r="AB93" s="236"/>
      <c r="AC93" s="236"/>
      <c r="AD93" s="237"/>
      <c r="AE93" s="236"/>
      <c r="AF93" s="236"/>
      <c r="AG93" s="238">
        <v>0</v>
      </c>
      <c r="AH93" s="239"/>
      <c r="AI93" s="229"/>
      <c r="AJ93" s="237"/>
      <c r="AK93" s="241" t="e">
        <f t="shared" ca="1" si="28"/>
        <v>#NAME?</v>
      </c>
      <c r="AL93" s="235"/>
      <c r="AM93" s="229"/>
      <c r="AN93" s="229"/>
      <c r="AP93" s="228" t="s">
        <v>3323</v>
      </c>
      <c r="AQ93" s="228" t="s">
        <v>3324</v>
      </c>
      <c r="AR93" s="228" t="s">
        <v>3039</v>
      </c>
      <c r="AS93" s="242">
        <f t="shared" si="29"/>
        <v>3756</v>
      </c>
      <c r="AT93" s="242">
        <f t="shared" si="30"/>
        <v>379.35600000000005</v>
      </c>
      <c r="AU93" s="242">
        <v>0</v>
      </c>
      <c r="AV93" s="242">
        <v>0</v>
      </c>
      <c r="AW93" s="242">
        <f t="shared" si="31"/>
        <v>4135.3559999999998</v>
      </c>
      <c r="AX93" s="237">
        <f t="shared" si="37"/>
        <v>30000</v>
      </c>
      <c r="AY93" s="237" t="s">
        <v>2762</v>
      </c>
      <c r="AZ93" s="242">
        <f t="shared" si="38"/>
        <v>0.1378452</v>
      </c>
      <c r="BA93" s="242" t="s">
        <v>2760</v>
      </c>
      <c r="BB93" s="237" t="s">
        <v>2733</v>
      </c>
      <c r="BC93" s="242">
        <v>100</v>
      </c>
      <c r="BD93" s="242">
        <f t="shared" si="32"/>
        <v>13.784520000000001</v>
      </c>
      <c r="BF93" s="228" t="s">
        <v>36</v>
      </c>
      <c r="BG93" s="227" t="s">
        <v>3040</v>
      </c>
    </row>
    <row r="94" spans="1:59" s="228" customFormat="1" ht="15" customHeight="1">
      <c r="A94" s="227">
        <v>43906</v>
      </c>
      <c r="B94" s="228" t="s">
        <v>3030</v>
      </c>
      <c r="C94" s="229" t="s">
        <v>3045</v>
      </c>
      <c r="D94" s="230" t="s">
        <v>3046</v>
      </c>
      <c r="E94" s="229" t="s">
        <v>3047</v>
      </c>
      <c r="F94" s="231" t="s">
        <v>2846</v>
      </c>
      <c r="G94" s="231" t="s">
        <v>2846</v>
      </c>
      <c r="H94" s="231">
        <v>100</v>
      </c>
      <c r="I94" s="229" t="s">
        <v>3034</v>
      </c>
      <c r="J94" s="229">
        <v>300</v>
      </c>
      <c r="K94" s="229" t="s">
        <v>2733</v>
      </c>
      <c r="L94" s="232">
        <v>1</v>
      </c>
      <c r="M94" s="232" t="s">
        <v>64</v>
      </c>
      <c r="N94" s="231">
        <f>L94*J94*H94</f>
        <v>30000</v>
      </c>
      <c r="O94" s="231">
        <f>J94*L94</f>
        <v>300</v>
      </c>
      <c r="P94" s="233">
        <v>12.52</v>
      </c>
      <c r="Q94" s="234">
        <f>P94*L94*J94</f>
        <v>3756</v>
      </c>
      <c r="R94" s="227">
        <v>43913</v>
      </c>
      <c r="S94" s="235" t="s">
        <v>3035</v>
      </c>
      <c r="T94" s="229" t="s">
        <v>3036</v>
      </c>
      <c r="U94" s="230">
        <v>316984</v>
      </c>
      <c r="V94" s="229"/>
      <c r="W94" s="232" t="str">
        <f t="shared" si="36"/>
        <v>Yes</v>
      </c>
      <c r="X94" s="456">
        <v>300</v>
      </c>
      <c r="Y94" s="230">
        <v>636358</v>
      </c>
      <c r="Z94" s="236">
        <v>43922</v>
      </c>
      <c r="AA94" s="237"/>
      <c r="AB94" s="236"/>
      <c r="AC94" s="236"/>
      <c r="AD94" s="237"/>
      <c r="AE94" s="236"/>
      <c r="AF94" s="236"/>
      <c r="AG94" s="238">
        <v>0</v>
      </c>
      <c r="AH94" s="239"/>
      <c r="AI94" s="229"/>
      <c r="AJ94" s="237"/>
      <c r="AK94" s="241" t="e">
        <f t="shared" ca="1" si="28"/>
        <v>#NAME?</v>
      </c>
      <c r="AL94" s="235"/>
      <c r="AM94" s="229"/>
      <c r="AN94" s="229"/>
      <c r="AP94" s="228" t="s">
        <v>3327</v>
      </c>
      <c r="AQ94" s="228" t="s">
        <v>3324</v>
      </c>
      <c r="AR94" s="228" t="s">
        <v>3039</v>
      </c>
      <c r="AS94" s="242">
        <f t="shared" si="29"/>
        <v>3756</v>
      </c>
      <c r="AT94" s="242">
        <f t="shared" si="30"/>
        <v>379.35600000000005</v>
      </c>
      <c r="AU94" s="242">
        <v>0</v>
      </c>
      <c r="AV94" s="242">
        <v>0</v>
      </c>
      <c r="AW94" s="242">
        <f t="shared" si="31"/>
        <v>4135.3559999999998</v>
      </c>
      <c r="AX94" s="237">
        <f t="shared" si="37"/>
        <v>30000</v>
      </c>
      <c r="AY94" s="237" t="s">
        <v>2762</v>
      </c>
      <c r="AZ94" s="242">
        <f t="shared" si="38"/>
        <v>0.1378452</v>
      </c>
      <c r="BA94" s="242" t="s">
        <v>2773</v>
      </c>
      <c r="BB94" s="237" t="s">
        <v>2733</v>
      </c>
      <c r="BC94" s="242">
        <v>100</v>
      </c>
      <c r="BD94" s="242">
        <f t="shared" si="32"/>
        <v>13.784520000000001</v>
      </c>
      <c r="BF94" s="228" t="s">
        <v>36</v>
      </c>
      <c r="BG94" s="227" t="s">
        <v>3040</v>
      </c>
    </row>
    <row r="95" spans="1:59" s="228" customFormat="1" ht="15" customHeight="1">
      <c r="A95" s="227">
        <v>43906</v>
      </c>
      <c r="B95" s="228" t="s">
        <v>3056</v>
      </c>
      <c r="C95" s="229" t="s">
        <v>1584</v>
      </c>
      <c r="D95" s="230" t="s">
        <v>3505</v>
      </c>
      <c r="E95" s="229" t="s">
        <v>3424</v>
      </c>
      <c r="F95" s="231">
        <v>16</v>
      </c>
      <c r="G95" s="231">
        <f>F95*N95</f>
        <v>160128</v>
      </c>
      <c r="H95" s="231">
        <v>12</v>
      </c>
      <c r="I95" s="229" t="s">
        <v>3132</v>
      </c>
      <c r="J95" s="229" t="s">
        <v>2846</v>
      </c>
      <c r="K95" s="229" t="s">
        <v>2846</v>
      </c>
      <c r="L95" s="232">
        <v>834</v>
      </c>
      <c r="M95" s="232" t="s">
        <v>2953</v>
      </c>
      <c r="N95" s="231">
        <v>10008</v>
      </c>
      <c r="O95" s="231" t="s">
        <v>2846</v>
      </c>
      <c r="P95" s="233">
        <v>6.15</v>
      </c>
      <c r="Q95" s="234">
        <f>P95*N95</f>
        <v>61549.200000000004</v>
      </c>
      <c r="R95" s="227" t="s">
        <v>2970</v>
      </c>
      <c r="S95" s="235" t="s">
        <v>3035</v>
      </c>
      <c r="T95" s="229" t="s">
        <v>3506</v>
      </c>
      <c r="U95" s="230" t="s">
        <v>3507</v>
      </c>
      <c r="V95" s="229"/>
      <c r="W95" s="232" t="str">
        <f t="shared" si="36"/>
        <v>No</v>
      </c>
      <c r="X95" s="456">
        <v>480</v>
      </c>
      <c r="Y95" s="230" t="s">
        <v>3508</v>
      </c>
      <c r="Z95" s="236">
        <v>43963</v>
      </c>
      <c r="AA95" s="237">
        <f>1080+360</f>
        <v>1440</v>
      </c>
      <c r="AB95" s="236" t="s">
        <v>3509</v>
      </c>
      <c r="AC95" s="236">
        <v>43997</v>
      </c>
      <c r="AD95" s="237">
        <f>1080+1080+1080+900+900+600+2700</f>
        <v>8340</v>
      </c>
      <c r="AE95" s="236" t="s">
        <v>3510</v>
      </c>
      <c r="AF95" s="236">
        <v>43984</v>
      </c>
      <c r="AG95" s="238">
        <f>(Q95/P95)-X95-AA95-AD95</f>
        <v>-252</v>
      </c>
      <c r="AH95" s="248" t="s">
        <v>82</v>
      </c>
      <c r="AI95" s="229" t="s">
        <v>2736</v>
      </c>
      <c r="AJ95" s="237">
        <v>0</v>
      </c>
      <c r="AK95" s="241" t="e">
        <f t="shared" ca="1" si="28"/>
        <v>#NAME?</v>
      </c>
      <c r="AL95" s="235" t="s">
        <v>3511</v>
      </c>
      <c r="AM95" s="229"/>
      <c r="AN95" s="229"/>
      <c r="AP95" s="228" t="s">
        <v>3512</v>
      </c>
      <c r="AQ95" s="228" t="s">
        <v>3513</v>
      </c>
      <c r="AR95" s="228" t="s">
        <v>3063</v>
      </c>
      <c r="AS95" s="242">
        <f t="shared" si="29"/>
        <v>61549.200000000004</v>
      </c>
      <c r="AT95" s="242">
        <f t="shared" si="30"/>
        <v>6216.4692000000005</v>
      </c>
      <c r="AU95" s="242">
        <v>0</v>
      </c>
      <c r="AV95" s="242">
        <v>0</v>
      </c>
      <c r="AW95" s="242">
        <f t="shared" si="31"/>
        <v>67765.669200000004</v>
      </c>
      <c r="AX95" s="237">
        <f t="shared" si="37"/>
        <v>10008</v>
      </c>
      <c r="AY95" s="237" t="s">
        <v>2736</v>
      </c>
      <c r="AZ95" s="242">
        <f t="shared" si="38"/>
        <v>6.7711500000000004</v>
      </c>
      <c r="BA95" s="242" t="s">
        <v>2786</v>
      </c>
      <c r="BB95" s="237" t="s">
        <v>2739</v>
      </c>
      <c r="BC95" s="242">
        <v>1</v>
      </c>
      <c r="BD95" s="242">
        <f t="shared" si="32"/>
        <v>6.7711500000000004</v>
      </c>
      <c r="BF95" s="228" t="s">
        <v>3137</v>
      </c>
      <c r="BG95" s="227" t="s">
        <v>3040</v>
      </c>
    </row>
    <row r="96" spans="1:59" s="228" customFormat="1" ht="15" customHeight="1">
      <c r="A96" s="227">
        <v>43906</v>
      </c>
      <c r="B96" s="228" t="s">
        <v>3049</v>
      </c>
      <c r="C96" s="229" t="s">
        <v>3041</v>
      </c>
      <c r="D96" s="230" t="s">
        <v>3205</v>
      </c>
      <c r="E96" s="229" t="s">
        <v>3051</v>
      </c>
      <c r="F96" s="231" t="s">
        <v>2846</v>
      </c>
      <c r="G96" s="231" t="s">
        <v>2846</v>
      </c>
      <c r="H96" s="231">
        <v>100</v>
      </c>
      <c r="I96" s="229" t="s">
        <v>3034</v>
      </c>
      <c r="J96" s="229">
        <v>10</v>
      </c>
      <c r="K96" s="229" t="s">
        <v>2733</v>
      </c>
      <c r="L96" s="232">
        <v>100</v>
      </c>
      <c r="M96" s="232" t="s">
        <v>2953</v>
      </c>
      <c r="N96" s="231">
        <f t="shared" ref="N96:N102" si="39">L96*J96*H96</f>
        <v>100000</v>
      </c>
      <c r="O96" s="231">
        <f t="shared" ref="O96:O102" si="40">J96*L96</f>
        <v>1000</v>
      </c>
      <c r="P96" s="233">
        <v>7.32</v>
      </c>
      <c r="Q96" s="234">
        <f>L96*P96*J96</f>
        <v>7320</v>
      </c>
      <c r="R96" s="227">
        <v>43907</v>
      </c>
      <c r="S96" s="235" t="s">
        <v>3035</v>
      </c>
      <c r="T96" s="229" t="s">
        <v>3036</v>
      </c>
      <c r="U96" s="230" t="s">
        <v>3206</v>
      </c>
      <c r="V96" s="229"/>
      <c r="W96" s="232" t="str">
        <f t="shared" si="36"/>
        <v>Yes</v>
      </c>
      <c r="X96" s="456">
        <v>1000</v>
      </c>
      <c r="Y96" s="230">
        <v>12850146</v>
      </c>
      <c r="Z96" s="236">
        <v>43965</v>
      </c>
      <c r="AA96" s="237"/>
      <c r="AD96" s="237"/>
      <c r="AG96" s="238">
        <f>(J96*L96)-X96-AA96-AD96</f>
        <v>0</v>
      </c>
      <c r="AH96" s="239"/>
      <c r="AI96" s="240"/>
      <c r="AJ96" s="237"/>
      <c r="AK96" s="241" t="e">
        <f t="shared" ca="1" si="28"/>
        <v>#NAME?</v>
      </c>
      <c r="AL96" s="235"/>
      <c r="AM96" s="229"/>
      <c r="AN96" s="229"/>
      <c r="AP96" s="228" t="s">
        <v>3207</v>
      </c>
      <c r="AQ96" s="228" t="s">
        <v>3208</v>
      </c>
      <c r="AR96" s="228" t="s">
        <v>3039</v>
      </c>
      <c r="AS96" s="242">
        <f t="shared" si="29"/>
        <v>7320</v>
      </c>
      <c r="AT96" s="242">
        <f t="shared" si="30"/>
        <v>739.32</v>
      </c>
      <c r="AU96" s="242">
        <v>0</v>
      </c>
      <c r="AV96" s="242">
        <v>0</v>
      </c>
      <c r="AW96" s="242">
        <f t="shared" si="31"/>
        <v>8059.32</v>
      </c>
      <c r="AX96" s="237">
        <f t="shared" si="37"/>
        <v>100000</v>
      </c>
      <c r="AY96" s="237" t="s">
        <v>2762</v>
      </c>
      <c r="AZ96" s="242">
        <f t="shared" si="38"/>
        <v>8.0593200000000004E-2</v>
      </c>
      <c r="BA96" s="242" t="s">
        <v>2769</v>
      </c>
      <c r="BB96" s="237" t="s">
        <v>2733</v>
      </c>
      <c r="BC96" s="242">
        <v>100</v>
      </c>
      <c r="BD96" s="242">
        <f t="shared" si="32"/>
        <v>8.0593199999999996</v>
      </c>
      <c r="BF96" s="228" t="s">
        <v>36</v>
      </c>
      <c r="BG96" s="227" t="s">
        <v>3040</v>
      </c>
    </row>
    <row r="97" spans="1:59" s="228" customFormat="1" ht="15" customHeight="1">
      <c r="A97" s="227">
        <v>43906</v>
      </c>
      <c r="B97" s="228" t="s">
        <v>3049</v>
      </c>
      <c r="C97" s="229" t="s">
        <v>3031</v>
      </c>
      <c r="D97" s="230" t="s">
        <v>3209</v>
      </c>
      <c r="E97" s="229" t="s">
        <v>3210</v>
      </c>
      <c r="F97" s="231" t="s">
        <v>2846</v>
      </c>
      <c r="G97" s="231" t="s">
        <v>2846</v>
      </c>
      <c r="H97" s="231">
        <v>100</v>
      </c>
      <c r="I97" s="229" t="s">
        <v>3034</v>
      </c>
      <c r="J97" s="229">
        <v>10</v>
      </c>
      <c r="K97" s="229" t="s">
        <v>2733</v>
      </c>
      <c r="L97" s="232">
        <v>100</v>
      </c>
      <c r="M97" s="232" t="s">
        <v>2953</v>
      </c>
      <c r="N97" s="231">
        <f t="shared" si="39"/>
        <v>100000</v>
      </c>
      <c r="O97" s="231">
        <f t="shared" si="40"/>
        <v>1000</v>
      </c>
      <c r="P97" s="233">
        <v>7.32</v>
      </c>
      <c r="Q97" s="234">
        <f>L97*P97*J97</f>
        <v>7320</v>
      </c>
      <c r="R97" s="227">
        <v>43907</v>
      </c>
      <c r="S97" s="235" t="s">
        <v>3035</v>
      </c>
      <c r="T97" s="229" t="s">
        <v>3036</v>
      </c>
      <c r="U97" s="230" t="s">
        <v>3206</v>
      </c>
      <c r="V97" s="229"/>
      <c r="W97" s="232" t="str">
        <f t="shared" si="36"/>
        <v>Yes</v>
      </c>
      <c r="X97" s="456">
        <v>1000</v>
      </c>
      <c r="Y97" s="230">
        <v>12850146</v>
      </c>
      <c r="Z97" s="236">
        <v>43965</v>
      </c>
      <c r="AA97" s="237"/>
      <c r="AD97" s="237"/>
      <c r="AG97" s="238">
        <f>(J97*L97)-X97-AA97-AD97</f>
        <v>0</v>
      </c>
      <c r="AH97" s="239"/>
      <c r="AI97" s="240"/>
      <c r="AJ97" s="237"/>
      <c r="AK97" s="241" t="e">
        <f t="shared" ca="1" si="28"/>
        <v>#NAME?</v>
      </c>
      <c r="AL97" s="235"/>
      <c r="AM97" s="229"/>
      <c r="AN97" s="229"/>
      <c r="AP97" s="228" t="s">
        <v>3211</v>
      </c>
      <c r="AQ97" s="228" t="s">
        <v>3208</v>
      </c>
      <c r="AR97" s="228" t="s">
        <v>3039</v>
      </c>
      <c r="AS97" s="242">
        <f t="shared" si="29"/>
        <v>7320</v>
      </c>
      <c r="AT97" s="242">
        <f t="shared" si="30"/>
        <v>739.32</v>
      </c>
      <c r="AU97" s="242">
        <v>0</v>
      </c>
      <c r="AV97" s="242">
        <v>0</v>
      </c>
      <c r="AW97" s="242">
        <f t="shared" si="31"/>
        <v>8059.32</v>
      </c>
      <c r="AX97" s="237">
        <f t="shared" si="37"/>
        <v>100000</v>
      </c>
      <c r="AY97" s="237" t="s">
        <v>2762</v>
      </c>
      <c r="AZ97" s="242">
        <f t="shared" si="38"/>
        <v>8.0593200000000004E-2</v>
      </c>
      <c r="BA97" s="242" t="s">
        <v>2765</v>
      </c>
      <c r="BB97" s="237" t="s">
        <v>2733</v>
      </c>
      <c r="BC97" s="242">
        <v>100</v>
      </c>
      <c r="BD97" s="242">
        <f t="shared" si="32"/>
        <v>8.0593199999999996</v>
      </c>
      <c r="BF97" s="228" t="s">
        <v>36</v>
      </c>
      <c r="BG97" s="227" t="s">
        <v>3040</v>
      </c>
    </row>
    <row r="98" spans="1:59" s="228" customFormat="1" ht="15" customHeight="1">
      <c r="A98" s="227">
        <v>43906</v>
      </c>
      <c r="B98" s="228" t="s">
        <v>3049</v>
      </c>
      <c r="C98" s="229" t="s">
        <v>3045</v>
      </c>
      <c r="D98" s="230" t="s">
        <v>3212</v>
      </c>
      <c r="E98" s="229" t="s">
        <v>3213</v>
      </c>
      <c r="F98" s="231" t="s">
        <v>2846</v>
      </c>
      <c r="G98" s="231" t="s">
        <v>2846</v>
      </c>
      <c r="H98" s="231">
        <v>100</v>
      </c>
      <c r="I98" s="229" t="s">
        <v>3034</v>
      </c>
      <c r="J98" s="229">
        <v>10</v>
      </c>
      <c r="K98" s="229" t="s">
        <v>2733</v>
      </c>
      <c r="L98" s="232">
        <v>100</v>
      </c>
      <c r="M98" s="232" t="s">
        <v>2953</v>
      </c>
      <c r="N98" s="231">
        <f t="shared" si="39"/>
        <v>100000</v>
      </c>
      <c r="O98" s="231">
        <f t="shared" si="40"/>
        <v>1000</v>
      </c>
      <c r="P98" s="233">
        <v>7.32</v>
      </c>
      <c r="Q98" s="234">
        <f>L98*P98*J98</f>
        <v>7320</v>
      </c>
      <c r="R98" s="227">
        <v>43907</v>
      </c>
      <c r="S98" s="235" t="s">
        <v>3035</v>
      </c>
      <c r="T98" s="229" t="s">
        <v>3036</v>
      </c>
      <c r="U98" s="230" t="s">
        <v>3206</v>
      </c>
      <c r="V98" s="229"/>
      <c r="W98" s="232" t="str">
        <f t="shared" si="36"/>
        <v>Yes</v>
      </c>
      <c r="X98" s="456">
        <v>1000</v>
      </c>
      <c r="Y98" s="230">
        <v>12850146</v>
      </c>
      <c r="Z98" s="236">
        <v>43965</v>
      </c>
      <c r="AA98" s="237"/>
      <c r="AD98" s="237"/>
      <c r="AG98" s="238">
        <f>(J98*L98)-X98-AA98-AD98</f>
        <v>0</v>
      </c>
      <c r="AH98" s="239"/>
      <c r="AI98" s="240"/>
      <c r="AJ98" s="237"/>
      <c r="AK98" s="241" t="e">
        <f t="shared" ca="1" si="28"/>
        <v>#NAME?</v>
      </c>
      <c r="AL98" s="235"/>
      <c r="AM98" s="229"/>
      <c r="AN98" s="229"/>
      <c r="AP98" s="228" t="s">
        <v>3214</v>
      </c>
      <c r="AQ98" s="228" t="s">
        <v>3208</v>
      </c>
      <c r="AR98" s="228" t="s">
        <v>3039</v>
      </c>
      <c r="AS98" s="242">
        <f t="shared" si="29"/>
        <v>7320</v>
      </c>
      <c r="AT98" s="242">
        <f t="shared" ref="AT98:AT129" si="41">+AS98*0.101</f>
        <v>739.32</v>
      </c>
      <c r="AU98" s="242">
        <v>0</v>
      </c>
      <c r="AV98" s="242">
        <v>0</v>
      </c>
      <c r="AW98" s="242">
        <f t="shared" ref="AW98:AW129" si="42">SUBTOTAL(9,AS98:AV98)</f>
        <v>8059.32</v>
      </c>
      <c r="AX98" s="237">
        <f t="shared" si="37"/>
        <v>100000</v>
      </c>
      <c r="AY98" s="237" t="s">
        <v>2762</v>
      </c>
      <c r="AZ98" s="242">
        <f t="shared" si="38"/>
        <v>8.0593200000000004E-2</v>
      </c>
      <c r="BA98" s="242" t="s">
        <v>2773</v>
      </c>
      <c r="BB98" s="237" t="s">
        <v>2733</v>
      </c>
      <c r="BC98" s="242">
        <v>100</v>
      </c>
      <c r="BD98" s="242">
        <f t="shared" ref="BD98:BD129" si="43">+AZ98*BC98</f>
        <v>8.0593199999999996</v>
      </c>
      <c r="BF98" s="228" t="s">
        <v>36</v>
      </c>
      <c r="BG98" s="227" t="s">
        <v>3040</v>
      </c>
    </row>
    <row r="99" spans="1:59" s="228" customFormat="1" ht="15" customHeight="1">
      <c r="A99" s="200">
        <v>43906</v>
      </c>
      <c r="B99" s="196" t="s">
        <v>3056</v>
      </c>
      <c r="C99" s="201" t="s">
        <v>3041</v>
      </c>
      <c r="D99" s="202" t="s">
        <v>3104</v>
      </c>
      <c r="E99" s="201" t="s">
        <v>3105</v>
      </c>
      <c r="F99" s="203" t="s">
        <v>2846</v>
      </c>
      <c r="G99" s="203" t="s">
        <v>2846</v>
      </c>
      <c r="H99" s="203">
        <v>100</v>
      </c>
      <c r="I99" s="201" t="s">
        <v>3034</v>
      </c>
      <c r="J99" s="201">
        <v>600</v>
      </c>
      <c r="K99" s="201" t="s">
        <v>2733</v>
      </c>
      <c r="L99" s="204">
        <v>1</v>
      </c>
      <c r="M99" s="204" t="s">
        <v>64</v>
      </c>
      <c r="N99" s="203">
        <f t="shared" si="39"/>
        <v>60000</v>
      </c>
      <c r="O99" s="203">
        <f t="shared" si="40"/>
        <v>600</v>
      </c>
      <c r="P99" s="205">
        <v>7.1</v>
      </c>
      <c r="Q99" s="205"/>
      <c r="R99" s="200" t="s">
        <v>2970</v>
      </c>
      <c r="S99" s="206" t="s">
        <v>3035</v>
      </c>
      <c r="T99" s="201" t="s">
        <v>3036</v>
      </c>
      <c r="U99" s="202" t="s">
        <v>3106</v>
      </c>
      <c r="V99" s="201"/>
      <c r="W99" s="204" t="s">
        <v>183</v>
      </c>
      <c r="X99" s="456">
        <v>0</v>
      </c>
      <c r="Y99" s="202"/>
      <c r="Z99" s="196"/>
      <c r="AA99" s="207"/>
      <c r="AB99" s="196"/>
      <c r="AC99" s="196"/>
      <c r="AD99" s="207"/>
      <c r="AE99" s="196"/>
      <c r="AF99" s="196"/>
      <c r="AG99" s="208">
        <v>0</v>
      </c>
      <c r="AH99" s="209" t="s">
        <v>72</v>
      </c>
      <c r="AI99" s="210" t="s">
        <v>2762</v>
      </c>
      <c r="AJ99" s="207"/>
      <c r="AK99" s="211"/>
      <c r="AL99" s="206"/>
      <c r="AM99" s="201"/>
      <c r="AN99" s="201"/>
      <c r="AO99" s="196"/>
      <c r="AP99" s="196" t="s">
        <v>3107</v>
      </c>
      <c r="AQ99" s="196"/>
      <c r="AR99" s="196"/>
      <c r="AS99" s="333"/>
      <c r="AT99" s="196"/>
      <c r="AU99" s="196"/>
      <c r="AV99" s="196"/>
      <c r="AW99" s="196"/>
      <c r="AX99" s="207"/>
      <c r="AY99" s="207"/>
      <c r="AZ99" s="212"/>
      <c r="BA99" s="212"/>
      <c r="BB99" s="207"/>
      <c r="BC99" s="212"/>
      <c r="BD99" s="212"/>
      <c r="BE99" s="196"/>
      <c r="BF99" s="196" t="s">
        <v>3108</v>
      </c>
      <c r="BG99" s="200"/>
    </row>
    <row r="100" spans="1:59" s="228" customFormat="1" ht="15" customHeight="1">
      <c r="A100" s="200">
        <v>43906</v>
      </c>
      <c r="B100" s="196" t="s">
        <v>3056</v>
      </c>
      <c r="C100" s="201" t="s">
        <v>3031</v>
      </c>
      <c r="D100" s="202" t="s">
        <v>3109</v>
      </c>
      <c r="E100" s="201" t="s">
        <v>3110</v>
      </c>
      <c r="F100" s="203" t="s">
        <v>2846</v>
      </c>
      <c r="G100" s="203" t="s">
        <v>2846</v>
      </c>
      <c r="H100" s="203">
        <v>100</v>
      </c>
      <c r="I100" s="201" t="s">
        <v>3034</v>
      </c>
      <c r="J100" s="201">
        <v>500</v>
      </c>
      <c r="K100" s="201" t="s">
        <v>2733</v>
      </c>
      <c r="L100" s="204">
        <v>1</v>
      </c>
      <c r="M100" s="204" t="s">
        <v>64</v>
      </c>
      <c r="N100" s="203">
        <f t="shared" si="39"/>
        <v>50000</v>
      </c>
      <c r="O100" s="203">
        <f t="shared" si="40"/>
        <v>500</v>
      </c>
      <c r="P100" s="205">
        <v>7.1</v>
      </c>
      <c r="Q100" s="205"/>
      <c r="R100" s="200" t="s">
        <v>2970</v>
      </c>
      <c r="S100" s="206" t="s">
        <v>3035</v>
      </c>
      <c r="T100" s="201" t="s">
        <v>3036</v>
      </c>
      <c r="U100" s="202" t="s">
        <v>3106</v>
      </c>
      <c r="V100" s="201"/>
      <c r="W100" s="204" t="s">
        <v>183</v>
      </c>
      <c r="X100" s="456">
        <v>0</v>
      </c>
      <c r="Y100" s="202"/>
      <c r="Z100" s="196"/>
      <c r="AA100" s="207"/>
      <c r="AB100" s="196"/>
      <c r="AC100" s="196"/>
      <c r="AD100" s="207"/>
      <c r="AE100" s="196"/>
      <c r="AF100" s="196"/>
      <c r="AG100" s="208"/>
      <c r="AH100" s="209" t="s">
        <v>72</v>
      </c>
      <c r="AI100" s="210" t="s">
        <v>2762</v>
      </c>
      <c r="AJ100" s="207"/>
      <c r="AK100" s="211"/>
      <c r="AL100" s="206"/>
      <c r="AM100" s="201"/>
      <c r="AN100" s="201"/>
      <c r="AO100" s="196"/>
      <c r="AP100" s="196" t="s">
        <v>3111</v>
      </c>
      <c r="AQ100" s="196"/>
      <c r="AR100" s="196"/>
      <c r="AS100" s="333"/>
      <c r="AT100" s="196"/>
      <c r="AU100" s="196"/>
      <c r="AV100" s="196"/>
      <c r="AW100" s="196"/>
      <c r="AX100" s="207"/>
      <c r="AY100" s="207"/>
      <c r="AZ100" s="212"/>
      <c r="BA100" s="212"/>
      <c r="BB100" s="207"/>
      <c r="BC100" s="212"/>
      <c r="BD100" s="212"/>
      <c r="BE100" s="196"/>
      <c r="BF100" s="196" t="s">
        <v>3108</v>
      </c>
      <c r="BG100" s="200"/>
    </row>
    <row r="101" spans="1:59" s="228" customFormat="1" ht="15" customHeight="1">
      <c r="A101" s="200">
        <v>43906</v>
      </c>
      <c r="B101" s="196" t="s">
        <v>3056</v>
      </c>
      <c r="C101" s="201" t="s">
        <v>3069</v>
      </c>
      <c r="D101" s="202" t="s">
        <v>3115</v>
      </c>
      <c r="E101" s="201" t="s">
        <v>3116</v>
      </c>
      <c r="F101" s="203" t="s">
        <v>2846</v>
      </c>
      <c r="G101" s="203" t="s">
        <v>2846</v>
      </c>
      <c r="H101" s="203">
        <v>100</v>
      </c>
      <c r="I101" s="201" t="s">
        <v>3034</v>
      </c>
      <c r="J101" s="201">
        <v>300</v>
      </c>
      <c r="K101" s="201" t="s">
        <v>2733</v>
      </c>
      <c r="L101" s="204">
        <v>1</v>
      </c>
      <c r="M101" s="204" t="s">
        <v>64</v>
      </c>
      <c r="N101" s="203">
        <f t="shared" si="39"/>
        <v>30000</v>
      </c>
      <c r="O101" s="203">
        <f t="shared" si="40"/>
        <v>300</v>
      </c>
      <c r="P101" s="205">
        <v>7.1</v>
      </c>
      <c r="Q101" s="205"/>
      <c r="R101" s="200" t="s">
        <v>2970</v>
      </c>
      <c r="S101" s="206" t="s">
        <v>3035</v>
      </c>
      <c r="T101" s="201" t="s">
        <v>3036</v>
      </c>
      <c r="U101" s="202" t="s">
        <v>3106</v>
      </c>
      <c r="V101" s="201"/>
      <c r="W101" s="204" t="s">
        <v>183</v>
      </c>
      <c r="X101" s="456">
        <v>0</v>
      </c>
      <c r="Y101" s="202"/>
      <c r="Z101" s="196"/>
      <c r="AA101" s="207"/>
      <c r="AB101" s="196"/>
      <c r="AC101" s="196"/>
      <c r="AD101" s="207"/>
      <c r="AE101" s="196"/>
      <c r="AF101" s="196"/>
      <c r="AG101" s="208"/>
      <c r="AH101" s="209" t="s">
        <v>72</v>
      </c>
      <c r="AI101" s="210" t="s">
        <v>2762</v>
      </c>
      <c r="AJ101" s="207"/>
      <c r="AK101" s="211"/>
      <c r="AL101" s="206"/>
      <c r="AM101" s="201"/>
      <c r="AN101" s="201"/>
      <c r="AO101" s="196"/>
      <c r="AP101" s="196" t="s">
        <v>3117</v>
      </c>
      <c r="AQ101" s="196"/>
      <c r="AR101" s="196"/>
      <c r="AS101" s="333"/>
      <c r="AT101" s="196"/>
      <c r="AU101" s="196"/>
      <c r="AV101" s="196"/>
      <c r="AW101" s="196"/>
      <c r="AX101" s="207"/>
      <c r="AY101" s="207"/>
      <c r="AZ101" s="212"/>
      <c r="BA101" s="212"/>
      <c r="BB101" s="207"/>
      <c r="BC101" s="212"/>
      <c r="BD101" s="212"/>
      <c r="BE101" s="196"/>
      <c r="BF101" s="196" t="s">
        <v>3108</v>
      </c>
      <c r="BG101" s="200"/>
    </row>
    <row r="102" spans="1:59" s="96" customFormat="1" ht="15" customHeight="1">
      <c r="A102" s="200">
        <v>43906</v>
      </c>
      <c r="B102" s="196" t="s">
        <v>3056</v>
      </c>
      <c r="C102" s="201" t="s">
        <v>3045</v>
      </c>
      <c r="D102" s="202" t="s">
        <v>3112</v>
      </c>
      <c r="E102" s="201" t="s">
        <v>3113</v>
      </c>
      <c r="F102" s="203" t="s">
        <v>2846</v>
      </c>
      <c r="G102" s="203" t="s">
        <v>2846</v>
      </c>
      <c r="H102" s="203">
        <v>100</v>
      </c>
      <c r="I102" s="201" t="s">
        <v>3034</v>
      </c>
      <c r="J102" s="201">
        <v>600</v>
      </c>
      <c r="K102" s="201" t="s">
        <v>2733</v>
      </c>
      <c r="L102" s="204">
        <v>1</v>
      </c>
      <c r="M102" s="204" t="s">
        <v>64</v>
      </c>
      <c r="N102" s="203">
        <f t="shared" si="39"/>
        <v>60000</v>
      </c>
      <c r="O102" s="203">
        <f t="shared" si="40"/>
        <v>600</v>
      </c>
      <c r="P102" s="205">
        <v>7.1</v>
      </c>
      <c r="Q102" s="205"/>
      <c r="R102" s="200" t="s">
        <v>2970</v>
      </c>
      <c r="S102" s="206" t="s">
        <v>3035</v>
      </c>
      <c r="T102" s="201" t="s">
        <v>3036</v>
      </c>
      <c r="U102" s="202" t="s">
        <v>3106</v>
      </c>
      <c r="V102" s="201"/>
      <c r="W102" s="204" t="s">
        <v>183</v>
      </c>
      <c r="X102" s="456">
        <v>0</v>
      </c>
      <c r="Y102" s="202"/>
      <c r="Z102" s="196"/>
      <c r="AA102" s="207"/>
      <c r="AB102" s="196"/>
      <c r="AC102" s="196"/>
      <c r="AD102" s="207"/>
      <c r="AE102" s="196"/>
      <c r="AF102" s="196"/>
      <c r="AG102" s="208"/>
      <c r="AH102" s="209" t="s">
        <v>72</v>
      </c>
      <c r="AI102" s="210" t="s">
        <v>2762</v>
      </c>
      <c r="AJ102" s="207"/>
      <c r="AK102" s="211"/>
      <c r="AL102" s="206"/>
      <c r="AM102" s="201"/>
      <c r="AN102" s="201"/>
      <c r="AO102" s="196"/>
      <c r="AP102" s="196" t="s">
        <v>3114</v>
      </c>
      <c r="AQ102" s="196"/>
      <c r="AR102" s="196"/>
      <c r="AS102" s="333"/>
      <c r="AT102" s="196"/>
      <c r="AU102" s="196"/>
      <c r="AV102" s="196"/>
      <c r="AW102" s="196"/>
      <c r="AX102" s="207"/>
      <c r="AY102" s="207"/>
      <c r="AZ102" s="212"/>
      <c r="BA102" s="212"/>
      <c r="BB102" s="207"/>
      <c r="BC102" s="212"/>
      <c r="BD102" s="212"/>
      <c r="BE102" s="196"/>
      <c r="BF102" s="196" t="s">
        <v>3108</v>
      </c>
      <c r="BG102" s="200"/>
    </row>
    <row r="103" spans="1:59" s="228" customFormat="1" ht="15" customHeight="1">
      <c r="A103" s="21">
        <v>43906</v>
      </c>
      <c r="B103" s="96" t="s">
        <v>3056</v>
      </c>
      <c r="C103" s="22" t="s">
        <v>93</v>
      </c>
      <c r="D103" s="97" t="s">
        <v>4176</v>
      </c>
      <c r="E103" s="22" t="s">
        <v>4177</v>
      </c>
      <c r="F103" s="69">
        <v>12</v>
      </c>
      <c r="G103" s="69">
        <v>120960</v>
      </c>
      <c r="H103" s="70">
        <v>12</v>
      </c>
      <c r="I103" s="71" t="s">
        <v>3132</v>
      </c>
      <c r="J103" s="71">
        <v>840</v>
      </c>
      <c r="K103" s="71" t="s">
        <v>2953</v>
      </c>
      <c r="L103" s="72">
        <v>1</v>
      </c>
      <c r="M103" s="72" t="s">
        <v>64</v>
      </c>
      <c r="N103" s="73">
        <f>H103*J103</f>
        <v>10080</v>
      </c>
      <c r="O103" s="73">
        <v>840</v>
      </c>
      <c r="P103" s="74">
        <v>69</v>
      </c>
      <c r="Q103" s="74">
        <f>O103*P103</f>
        <v>57960</v>
      </c>
      <c r="R103" s="22" t="s">
        <v>2970</v>
      </c>
      <c r="S103" s="99" t="s">
        <v>3506</v>
      </c>
      <c r="T103" s="22" t="s">
        <v>3036</v>
      </c>
      <c r="U103" s="97" t="s">
        <v>4178</v>
      </c>
      <c r="V103" s="22" t="s">
        <v>4179</v>
      </c>
      <c r="W103" s="72" t="e">
        <f ca="1">_xlfn.SINGLE(IF(AG103=0,"Yes","No"))</f>
        <v>#NAME?</v>
      </c>
      <c r="X103" s="456">
        <v>0</v>
      </c>
      <c r="Y103" s="97"/>
      <c r="Z103" s="96"/>
      <c r="AA103" s="96"/>
      <c r="AB103" s="96"/>
      <c r="AC103" s="96"/>
      <c r="AD103" s="96"/>
      <c r="AE103" s="96"/>
      <c r="AF103" s="96"/>
      <c r="AG103" s="102">
        <f>O103-X103-AA103-AD103</f>
        <v>840</v>
      </c>
      <c r="AH103" s="174" t="s">
        <v>93</v>
      </c>
      <c r="AI103" s="22" t="s">
        <v>2736</v>
      </c>
      <c r="AJ103" s="287">
        <f>+AG103*H103</f>
        <v>10080</v>
      </c>
      <c r="AK103" s="184" t="e">
        <f t="shared" ref="AK103:AK137" ca="1" si="44">_xlfn.SINGLE(IF(R103="TBD",49674,R103))</f>
        <v>#NAME?</v>
      </c>
      <c r="AL103" s="99"/>
      <c r="AM103" s="22"/>
      <c r="AN103" s="22"/>
      <c r="AO103" s="22"/>
      <c r="AP103" s="96" t="s">
        <v>4180</v>
      </c>
      <c r="AQ103" s="96"/>
      <c r="AR103" s="96" t="s">
        <v>3063</v>
      </c>
      <c r="AS103" s="338">
        <f>Q103</f>
        <v>57960</v>
      </c>
      <c r="AT103" s="339">
        <f>AS103*0.101</f>
        <v>5853.96</v>
      </c>
      <c r="AU103" s="96"/>
      <c r="AV103" s="96"/>
      <c r="AW103" s="339">
        <f>AS103+AT103</f>
        <v>63813.96</v>
      </c>
      <c r="AX103" s="237">
        <f>O103</f>
        <v>840</v>
      </c>
      <c r="AY103" s="101" t="s">
        <v>2953</v>
      </c>
      <c r="AZ103" s="243">
        <f t="shared" ref="AZ103:AZ137" si="45">+AW103/AX103</f>
        <v>75.968999999999994</v>
      </c>
      <c r="BA103" s="96" t="s">
        <v>2734</v>
      </c>
      <c r="BB103" s="101" t="s">
        <v>2953</v>
      </c>
      <c r="BC103" s="199">
        <v>1</v>
      </c>
      <c r="BD103" s="242">
        <f t="shared" ref="BD103:BD149" si="46">+AZ103*BC103</f>
        <v>75.968999999999994</v>
      </c>
      <c r="BE103" s="96"/>
      <c r="BF103" s="96" t="s">
        <v>3137</v>
      </c>
      <c r="BG103" s="22" t="s">
        <v>4028</v>
      </c>
    </row>
    <row r="104" spans="1:59" s="228" customFormat="1" ht="15" customHeight="1">
      <c r="A104" s="227">
        <v>43907</v>
      </c>
      <c r="B104" s="228" t="s">
        <v>3129</v>
      </c>
      <c r="C104" s="229" t="s">
        <v>93</v>
      </c>
      <c r="D104" s="244" t="s">
        <v>3234</v>
      </c>
      <c r="E104" s="229" t="s">
        <v>3235</v>
      </c>
      <c r="F104" s="231">
        <v>10</v>
      </c>
      <c r="G104" s="231">
        <f>F104*H104</f>
        <v>60</v>
      </c>
      <c r="H104" s="231">
        <v>6</v>
      </c>
      <c r="I104" s="229" t="s">
        <v>3132</v>
      </c>
      <c r="J104" s="229" t="s">
        <v>2846</v>
      </c>
      <c r="K104" s="229" t="s">
        <v>2846</v>
      </c>
      <c r="L104" s="232">
        <v>1</v>
      </c>
      <c r="M104" s="232" t="s">
        <v>2953</v>
      </c>
      <c r="N104" s="231">
        <f>L104*H104</f>
        <v>6</v>
      </c>
      <c r="O104" s="231" t="s">
        <v>2846</v>
      </c>
      <c r="P104" s="233">
        <v>34.19</v>
      </c>
      <c r="Q104" s="234">
        <f>P104*L104</f>
        <v>34.19</v>
      </c>
      <c r="R104" s="227">
        <v>43908</v>
      </c>
      <c r="S104" s="235" t="s">
        <v>3217</v>
      </c>
      <c r="T104" s="229" t="s">
        <v>3036</v>
      </c>
      <c r="U104" s="230" t="s">
        <v>3218</v>
      </c>
      <c r="V104" s="229"/>
      <c r="W104" s="232" t="str">
        <f t="shared" ref="W104:W137" si="47">IF(AG104=0,"Yes","No")</f>
        <v>Yes</v>
      </c>
      <c r="X104" s="456">
        <v>1</v>
      </c>
      <c r="Y104" s="230" t="s">
        <v>3252</v>
      </c>
      <c r="Z104" s="236">
        <v>43937</v>
      </c>
      <c r="AA104" s="237"/>
      <c r="AD104" s="237"/>
      <c r="AG104" s="238">
        <f>+L104-X104</f>
        <v>0</v>
      </c>
      <c r="AH104" s="239"/>
      <c r="AI104" s="240"/>
      <c r="AJ104" s="237"/>
      <c r="AK104" s="241" t="e">
        <f t="shared" ca="1" si="44"/>
        <v>#NAME?</v>
      </c>
      <c r="AL104" s="235"/>
      <c r="AM104" s="229"/>
      <c r="AN104" s="229"/>
      <c r="AP104" s="228" t="s">
        <v>3253</v>
      </c>
      <c r="AQ104" s="228" t="s">
        <v>3254</v>
      </c>
      <c r="AR104" s="228" t="s">
        <v>3063</v>
      </c>
      <c r="AS104" s="242">
        <f t="shared" ref="AS104:AS137" si="48">+Q104</f>
        <v>34.19</v>
      </c>
      <c r="AT104" s="242">
        <f t="shared" ref="AT104:AT137" si="49">+AS104*0.101</f>
        <v>3.4531900000000002</v>
      </c>
      <c r="AU104" s="242">
        <v>0</v>
      </c>
      <c r="AV104" s="242">
        <v>0</v>
      </c>
      <c r="AW104" s="242">
        <f t="shared" ref="AW104:AW137" si="50">SUBTOTAL(9,AS104:AV104)</f>
        <v>37.643189999999997</v>
      </c>
      <c r="AX104" s="237">
        <f>+N104</f>
        <v>6</v>
      </c>
      <c r="AY104" s="242" t="s">
        <v>2736</v>
      </c>
      <c r="AZ104" s="242">
        <f t="shared" si="45"/>
        <v>6.2738649999999998</v>
      </c>
      <c r="BA104" s="242" t="s">
        <v>2734</v>
      </c>
      <c r="BB104" s="242" t="s">
        <v>2953</v>
      </c>
      <c r="BC104" s="242">
        <v>12</v>
      </c>
      <c r="BD104" s="242">
        <f t="shared" si="46"/>
        <v>75.286379999999994</v>
      </c>
      <c r="BF104" s="228" t="s">
        <v>3137</v>
      </c>
      <c r="BG104" s="227" t="s">
        <v>3040</v>
      </c>
    </row>
    <row r="105" spans="1:59" s="96" customFormat="1" ht="15" customHeight="1">
      <c r="A105" s="227">
        <v>43907</v>
      </c>
      <c r="B105" s="228" t="s">
        <v>3129</v>
      </c>
      <c r="C105" s="229" t="s">
        <v>93</v>
      </c>
      <c r="D105" s="244" t="s">
        <v>3234</v>
      </c>
      <c r="E105" s="229" t="s">
        <v>3235</v>
      </c>
      <c r="F105" s="231">
        <v>10</v>
      </c>
      <c r="G105" s="231">
        <f>F105*H105</f>
        <v>60</v>
      </c>
      <c r="H105" s="231">
        <v>6</v>
      </c>
      <c r="I105" s="229" t="s">
        <v>3132</v>
      </c>
      <c r="J105" s="229" t="s">
        <v>2846</v>
      </c>
      <c r="K105" s="229" t="s">
        <v>2846</v>
      </c>
      <c r="L105" s="232">
        <v>1</v>
      </c>
      <c r="M105" s="232" t="s">
        <v>2953</v>
      </c>
      <c r="N105" s="231">
        <f>L105*H105</f>
        <v>6</v>
      </c>
      <c r="O105" s="231" t="s">
        <v>2846</v>
      </c>
      <c r="P105" s="233">
        <v>34.19</v>
      </c>
      <c r="Q105" s="234">
        <f>P105*L105</f>
        <v>34.19</v>
      </c>
      <c r="R105" s="227">
        <v>43913</v>
      </c>
      <c r="S105" s="235" t="s">
        <v>3337</v>
      </c>
      <c r="T105" s="229" t="s">
        <v>3036</v>
      </c>
      <c r="U105" s="230" t="s">
        <v>3218</v>
      </c>
      <c r="V105" s="229"/>
      <c r="W105" s="232" t="str">
        <f t="shared" si="47"/>
        <v>Yes</v>
      </c>
      <c r="X105" s="456">
        <v>1</v>
      </c>
      <c r="Y105" s="230" t="s">
        <v>3219</v>
      </c>
      <c r="Z105" s="236">
        <v>43914</v>
      </c>
      <c r="AA105" s="237"/>
      <c r="AB105" s="228"/>
      <c r="AC105" s="228"/>
      <c r="AD105" s="237"/>
      <c r="AE105" s="228"/>
      <c r="AF105" s="228"/>
      <c r="AG105" s="238">
        <v>0</v>
      </c>
      <c r="AH105" s="239"/>
      <c r="AI105" s="229"/>
      <c r="AJ105" s="237"/>
      <c r="AK105" s="241" t="e">
        <f t="shared" ca="1" si="44"/>
        <v>#NAME?</v>
      </c>
      <c r="AL105" s="235"/>
      <c r="AM105" s="229"/>
      <c r="AN105" s="229"/>
      <c r="AO105" s="228"/>
      <c r="AP105" s="228" t="s">
        <v>3347</v>
      </c>
      <c r="AQ105" s="228" t="s">
        <v>3221</v>
      </c>
      <c r="AR105" s="228" t="s">
        <v>3063</v>
      </c>
      <c r="AS105" s="242">
        <f t="shared" si="48"/>
        <v>34.19</v>
      </c>
      <c r="AT105" s="242">
        <f t="shared" si="49"/>
        <v>3.4531900000000002</v>
      </c>
      <c r="AU105" s="242">
        <v>0</v>
      </c>
      <c r="AV105" s="242">
        <v>0</v>
      </c>
      <c r="AW105" s="242">
        <f t="shared" si="50"/>
        <v>37.643189999999997</v>
      </c>
      <c r="AX105" s="237">
        <f>+N105</f>
        <v>6</v>
      </c>
      <c r="AY105" s="242" t="s">
        <v>2736</v>
      </c>
      <c r="AZ105" s="242">
        <f t="shared" si="45"/>
        <v>6.2738649999999998</v>
      </c>
      <c r="BA105" s="242" t="s">
        <v>2734</v>
      </c>
      <c r="BB105" s="242" t="s">
        <v>2953</v>
      </c>
      <c r="BC105" s="242">
        <v>12</v>
      </c>
      <c r="BD105" s="242">
        <f t="shared" si="46"/>
        <v>75.286379999999994</v>
      </c>
      <c r="BE105" s="228"/>
      <c r="BF105" s="228" t="s">
        <v>3137</v>
      </c>
      <c r="BG105" s="227" t="s">
        <v>3040</v>
      </c>
    </row>
    <row r="106" spans="1:59" s="197" customFormat="1" ht="15" customHeight="1">
      <c r="A106" s="227">
        <v>43907</v>
      </c>
      <c r="B106" s="228" t="s">
        <v>3129</v>
      </c>
      <c r="C106" s="229" t="s">
        <v>93</v>
      </c>
      <c r="D106" s="244" t="s">
        <v>3258</v>
      </c>
      <c r="E106" s="229" t="s">
        <v>3259</v>
      </c>
      <c r="F106" s="231">
        <v>10</v>
      </c>
      <c r="G106" s="231">
        <f>F106*H106</f>
        <v>10</v>
      </c>
      <c r="H106" s="231">
        <v>1</v>
      </c>
      <c r="I106" s="229" t="s">
        <v>3132</v>
      </c>
      <c r="J106" s="229" t="s">
        <v>2846</v>
      </c>
      <c r="K106" s="229" t="s">
        <v>2846</v>
      </c>
      <c r="L106" s="232">
        <v>1</v>
      </c>
      <c r="M106" s="232" t="s">
        <v>64</v>
      </c>
      <c r="N106" s="231">
        <f>H106</f>
        <v>1</v>
      </c>
      <c r="O106" s="231" t="s">
        <v>2846</v>
      </c>
      <c r="P106" s="233">
        <v>6.29</v>
      </c>
      <c r="Q106" s="233">
        <f>P106*H106</f>
        <v>6.29</v>
      </c>
      <c r="R106" s="227">
        <v>43913</v>
      </c>
      <c r="S106" s="235" t="s">
        <v>3337</v>
      </c>
      <c r="T106" s="229" t="s">
        <v>3036</v>
      </c>
      <c r="U106" s="230" t="s">
        <v>3218</v>
      </c>
      <c r="V106" s="229"/>
      <c r="W106" s="232" t="str">
        <f t="shared" si="47"/>
        <v>Yes</v>
      </c>
      <c r="X106" s="456">
        <v>1</v>
      </c>
      <c r="Y106" s="230" t="s">
        <v>3252</v>
      </c>
      <c r="Z106" s="236">
        <v>43937</v>
      </c>
      <c r="AA106" s="237"/>
      <c r="AB106" s="228"/>
      <c r="AC106" s="228"/>
      <c r="AD106" s="237"/>
      <c r="AE106" s="228"/>
      <c r="AF106" s="228"/>
      <c r="AG106" s="238">
        <v>0</v>
      </c>
      <c r="AH106" s="239"/>
      <c r="AI106" s="229"/>
      <c r="AJ106" s="237"/>
      <c r="AK106" s="241" t="e">
        <f t="shared" ca="1" si="44"/>
        <v>#NAME?</v>
      </c>
      <c r="AL106" s="235"/>
      <c r="AM106" s="229"/>
      <c r="AN106" s="229"/>
      <c r="AO106" s="228"/>
      <c r="AP106" s="228" t="s">
        <v>3351</v>
      </c>
      <c r="AQ106" s="228" t="s">
        <v>3254</v>
      </c>
      <c r="AR106" s="228" t="s">
        <v>3063</v>
      </c>
      <c r="AS106" s="242">
        <f t="shared" si="48"/>
        <v>6.29</v>
      </c>
      <c r="AT106" s="242">
        <f t="shared" si="49"/>
        <v>0.63529000000000002</v>
      </c>
      <c r="AU106" s="242">
        <v>0</v>
      </c>
      <c r="AV106" s="242">
        <v>0</v>
      </c>
      <c r="AW106" s="242">
        <f t="shared" si="50"/>
        <v>6.9252900000000004</v>
      </c>
      <c r="AX106" s="237">
        <f>+N106</f>
        <v>1</v>
      </c>
      <c r="AY106" s="242" t="s">
        <v>2736</v>
      </c>
      <c r="AZ106" s="242">
        <f t="shared" si="45"/>
        <v>6.9252900000000004</v>
      </c>
      <c r="BA106" s="242" t="s">
        <v>2734</v>
      </c>
      <c r="BB106" s="242" t="s">
        <v>2953</v>
      </c>
      <c r="BC106" s="242">
        <v>12</v>
      </c>
      <c r="BD106" s="242">
        <f t="shared" si="46"/>
        <v>83.103480000000005</v>
      </c>
      <c r="BE106" s="228"/>
      <c r="BF106" s="228" t="s">
        <v>3137</v>
      </c>
      <c r="BG106" s="227" t="s">
        <v>3040</v>
      </c>
    </row>
    <row r="107" spans="1:59" s="228" customFormat="1" ht="15" customHeight="1">
      <c r="A107" s="227">
        <v>43907</v>
      </c>
      <c r="B107" s="228" t="s">
        <v>3129</v>
      </c>
      <c r="C107" s="229" t="s">
        <v>93</v>
      </c>
      <c r="D107" s="230" t="s">
        <v>3352</v>
      </c>
      <c r="E107" s="229" t="s">
        <v>3353</v>
      </c>
      <c r="F107" s="231">
        <v>12</v>
      </c>
      <c r="G107" s="231">
        <f>F107*H107</f>
        <v>72</v>
      </c>
      <c r="H107" s="231">
        <v>6</v>
      </c>
      <c r="I107" s="229" t="s">
        <v>3132</v>
      </c>
      <c r="J107" s="229" t="s">
        <v>2846</v>
      </c>
      <c r="K107" s="229" t="s">
        <v>2846</v>
      </c>
      <c r="L107" s="232">
        <v>1</v>
      </c>
      <c r="M107" s="232" t="s">
        <v>2953</v>
      </c>
      <c r="N107" s="231">
        <f>L107*H107</f>
        <v>6</v>
      </c>
      <c r="O107" s="231" t="s">
        <v>2846</v>
      </c>
      <c r="P107" s="233"/>
      <c r="Q107" s="233">
        <f>P107*H107</f>
        <v>0</v>
      </c>
      <c r="R107" s="227">
        <v>43913</v>
      </c>
      <c r="S107" s="235" t="s">
        <v>3337</v>
      </c>
      <c r="T107" s="229" t="s">
        <v>3036</v>
      </c>
      <c r="U107" s="230" t="s">
        <v>3218</v>
      </c>
      <c r="V107" s="229"/>
      <c r="W107" s="232" t="str">
        <f t="shared" si="47"/>
        <v>Yes</v>
      </c>
      <c r="X107" s="456">
        <v>1</v>
      </c>
      <c r="Y107" s="230" t="s">
        <v>3252</v>
      </c>
      <c r="Z107" s="236">
        <v>43937</v>
      </c>
      <c r="AA107" s="237"/>
      <c r="AD107" s="237"/>
      <c r="AG107" s="238">
        <v>0</v>
      </c>
      <c r="AH107" s="239"/>
      <c r="AI107" s="229"/>
      <c r="AJ107" s="237"/>
      <c r="AK107" s="241" t="e">
        <f t="shared" ca="1" si="44"/>
        <v>#NAME?</v>
      </c>
      <c r="AL107" s="235"/>
      <c r="AM107" s="229"/>
      <c r="AN107" s="229"/>
      <c r="AP107" s="228" t="s">
        <v>3354</v>
      </c>
      <c r="AQ107" s="228" t="s">
        <v>3254</v>
      </c>
      <c r="AR107" s="228" t="s">
        <v>3063</v>
      </c>
      <c r="AS107" s="242">
        <f t="shared" si="48"/>
        <v>0</v>
      </c>
      <c r="AT107" s="242">
        <f t="shared" si="49"/>
        <v>0</v>
      </c>
      <c r="AU107" s="242">
        <v>0</v>
      </c>
      <c r="AV107" s="242">
        <v>0</v>
      </c>
      <c r="AW107" s="242">
        <f t="shared" si="50"/>
        <v>0</v>
      </c>
      <c r="AX107" s="237">
        <f>+N107</f>
        <v>6</v>
      </c>
      <c r="AY107" s="242" t="s">
        <v>2736</v>
      </c>
      <c r="AZ107" s="242">
        <f t="shared" si="45"/>
        <v>0</v>
      </c>
      <c r="BA107" s="242" t="s">
        <v>2734</v>
      </c>
      <c r="BB107" s="242" t="s">
        <v>2953</v>
      </c>
      <c r="BC107" s="242">
        <v>12</v>
      </c>
      <c r="BD107" s="242">
        <f t="shared" si="46"/>
        <v>0</v>
      </c>
      <c r="BF107" s="228" t="s">
        <v>3137</v>
      </c>
      <c r="BG107" s="227" t="s">
        <v>3040</v>
      </c>
    </row>
    <row r="108" spans="1:59" s="228" customFormat="1" ht="15" customHeight="1">
      <c r="A108" s="227">
        <v>43907</v>
      </c>
      <c r="B108" s="228" t="s">
        <v>3129</v>
      </c>
      <c r="C108" s="229" t="s">
        <v>95</v>
      </c>
      <c r="D108" s="230" t="s">
        <v>3228</v>
      </c>
      <c r="E108" s="230" t="s">
        <v>3255</v>
      </c>
      <c r="F108" s="231" t="s">
        <v>2846</v>
      </c>
      <c r="G108" s="231" t="s">
        <v>2846</v>
      </c>
      <c r="H108" s="231">
        <v>200</v>
      </c>
      <c r="I108" s="229" t="s">
        <v>3157</v>
      </c>
      <c r="J108" s="229">
        <v>12</v>
      </c>
      <c r="K108" s="229" t="s">
        <v>2781</v>
      </c>
      <c r="L108" s="232">
        <v>1</v>
      </c>
      <c r="M108" s="232" t="s">
        <v>2953</v>
      </c>
      <c r="N108" s="231">
        <f>H108*J108*L108</f>
        <v>2400</v>
      </c>
      <c r="O108" s="231">
        <f>J108*L108</f>
        <v>12</v>
      </c>
      <c r="P108" s="233">
        <v>28.76</v>
      </c>
      <c r="Q108" s="233">
        <f>P108*L108</f>
        <v>28.76</v>
      </c>
      <c r="R108" s="227">
        <v>43908</v>
      </c>
      <c r="S108" s="235" t="s">
        <v>3217</v>
      </c>
      <c r="T108" s="229" t="s">
        <v>3036</v>
      </c>
      <c r="U108" s="230" t="s">
        <v>3218</v>
      </c>
      <c r="V108" s="229"/>
      <c r="W108" s="232" t="str">
        <f t="shared" si="47"/>
        <v>Yes</v>
      </c>
      <c r="X108" s="456">
        <v>1</v>
      </c>
      <c r="Y108" s="230" t="s">
        <v>3219</v>
      </c>
      <c r="Z108" s="236">
        <v>43914</v>
      </c>
      <c r="AA108" s="237"/>
      <c r="AB108" s="236"/>
      <c r="AC108" s="236"/>
      <c r="AD108" s="237"/>
      <c r="AE108" s="236"/>
      <c r="AF108" s="236"/>
      <c r="AG108" s="238">
        <v>0</v>
      </c>
      <c r="AH108" s="239"/>
      <c r="AI108" s="240"/>
      <c r="AJ108" s="237"/>
      <c r="AK108" s="241" t="e">
        <f t="shared" ca="1" si="44"/>
        <v>#NAME?</v>
      </c>
      <c r="AL108" s="235"/>
      <c r="AM108" s="229"/>
      <c r="AN108" s="229"/>
      <c r="AP108" s="228" t="s">
        <v>3256</v>
      </c>
      <c r="AQ108" s="228" t="s">
        <v>3221</v>
      </c>
      <c r="AR108" s="228" t="s">
        <v>3063</v>
      </c>
      <c r="AS108" s="242">
        <f t="shared" si="48"/>
        <v>28.76</v>
      </c>
      <c r="AT108" s="242">
        <f t="shared" si="49"/>
        <v>2.9047600000000005</v>
      </c>
      <c r="AU108" s="242">
        <v>0</v>
      </c>
      <c r="AV108" s="242">
        <v>0</v>
      </c>
      <c r="AW108" s="242">
        <f t="shared" si="50"/>
        <v>31.664760000000001</v>
      </c>
      <c r="AX108" s="237">
        <f>+O108</f>
        <v>12</v>
      </c>
      <c r="AY108" s="242" t="s">
        <v>2781</v>
      </c>
      <c r="AZ108" s="242">
        <f t="shared" si="45"/>
        <v>2.6387300000000002</v>
      </c>
      <c r="BA108" s="242" t="s">
        <v>2779</v>
      </c>
      <c r="BB108" s="242" t="s">
        <v>2953</v>
      </c>
      <c r="BC108" s="242">
        <v>12</v>
      </c>
      <c r="BD108" s="242">
        <f t="shared" si="46"/>
        <v>31.664760000000001</v>
      </c>
      <c r="BF108" s="228" t="s">
        <v>3162</v>
      </c>
      <c r="BG108" s="227" t="s">
        <v>3040</v>
      </c>
    </row>
    <row r="109" spans="1:59" s="228" customFormat="1" ht="15" customHeight="1">
      <c r="A109" s="227">
        <v>43907</v>
      </c>
      <c r="B109" s="228" t="s">
        <v>3129</v>
      </c>
      <c r="C109" s="229" t="s">
        <v>95</v>
      </c>
      <c r="D109" s="245" t="s">
        <v>3240</v>
      </c>
      <c r="E109" s="230" t="s">
        <v>3241</v>
      </c>
      <c r="F109" s="231" t="s">
        <v>2846</v>
      </c>
      <c r="G109" s="231" t="s">
        <v>2846</v>
      </c>
      <c r="H109" s="231">
        <v>200</v>
      </c>
      <c r="I109" s="229" t="s">
        <v>3157</v>
      </c>
      <c r="J109" s="229">
        <v>12</v>
      </c>
      <c r="K109" s="229" t="s">
        <v>2781</v>
      </c>
      <c r="L109" s="232">
        <v>1</v>
      </c>
      <c r="M109" s="232" t="s">
        <v>2953</v>
      </c>
      <c r="N109" s="231">
        <f>H109*J109*L109</f>
        <v>2400</v>
      </c>
      <c r="O109" s="231">
        <f>J109*L109</f>
        <v>12</v>
      </c>
      <c r="P109" s="233">
        <v>28.48</v>
      </c>
      <c r="Q109" s="233">
        <f>P109*L109</f>
        <v>28.48</v>
      </c>
      <c r="R109" s="227">
        <v>43908</v>
      </c>
      <c r="S109" s="235" t="s">
        <v>3217</v>
      </c>
      <c r="T109" s="229" t="s">
        <v>3036</v>
      </c>
      <c r="U109" s="230" t="s">
        <v>3218</v>
      </c>
      <c r="V109" s="229"/>
      <c r="W109" s="232" t="str">
        <f t="shared" si="47"/>
        <v>Yes</v>
      </c>
      <c r="X109" s="456">
        <v>1</v>
      </c>
      <c r="Y109" s="230" t="s">
        <v>3219</v>
      </c>
      <c r="Z109" s="236">
        <v>43914</v>
      </c>
      <c r="AA109" s="237"/>
      <c r="AB109" s="236"/>
      <c r="AC109" s="236"/>
      <c r="AD109" s="237"/>
      <c r="AE109" s="236"/>
      <c r="AF109" s="236"/>
      <c r="AG109" s="238">
        <v>0</v>
      </c>
      <c r="AH109" s="239"/>
      <c r="AI109" s="240"/>
      <c r="AJ109" s="237"/>
      <c r="AK109" s="241" t="e">
        <f t="shared" ca="1" si="44"/>
        <v>#NAME?</v>
      </c>
      <c r="AL109" s="235"/>
      <c r="AM109" s="229"/>
      <c r="AN109" s="229"/>
      <c r="AP109" s="228" t="s">
        <v>3257</v>
      </c>
      <c r="AQ109" s="228" t="s">
        <v>3221</v>
      </c>
      <c r="AR109" s="228" t="s">
        <v>3063</v>
      </c>
      <c r="AS109" s="242">
        <f t="shared" si="48"/>
        <v>28.48</v>
      </c>
      <c r="AT109" s="242">
        <f t="shared" si="49"/>
        <v>2.8764800000000004</v>
      </c>
      <c r="AU109" s="242">
        <v>0</v>
      </c>
      <c r="AV109" s="242">
        <v>0</v>
      </c>
      <c r="AW109" s="242">
        <f t="shared" si="50"/>
        <v>31.356480000000001</v>
      </c>
      <c r="AX109" s="237">
        <f>+O109</f>
        <v>12</v>
      </c>
      <c r="AY109" s="242" t="s">
        <v>2781</v>
      </c>
      <c r="AZ109" s="242">
        <f t="shared" si="45"/>
        <v>2.6130400000000003</v>
      </c>
      <c r="BA109" s="242" t="s">
        <v>2779</v>
      </c>
      <c r="BB109" s="242" t="s">
        <v>2953</v>
      </c>
      <c r="BC109" s="242">
        <v>12</v>
      </c>
      <c r="BD109" s="242">
        <f t="shared" si="46"/>
        <v>31.356480000000005</v>
      </c>
      <c r="BF109" s="228" t="s">
        <v>3162</v>
      </c>
      <c r="BG109" s="227" t="s">
        <v>3040</v>
      </c>
    </row>
    <row r="110" spans="1:59" s="228" customFormat="1" ht="15" customHeight="1">
      <c r="A110" s="227">
        <v>43907</v>
      </c>
      <c r="B110" s="228" t="s">
        <v>3129</v>
      </c>
      <c r="C110" s="229" t="s">
        <v>95</v>
      </c>
      <c r="D110" s="245" t="s">
        <v>3240</v>
      </c>
      <c r="E110" s="230" t="s">
        <v>3241</v>
      </c>
      <c r="F110" s="231" t="s">
        <v>2846</v>
      </c>
      <c r="G110" s="231" t="s">
        <v>2846</v>
      </c>
      <c r="H110" s="231">
        <v>200</v>
      </c>
      <c r="I110" s="229" t="s">
        <v>3157</v>
      </c>
      <c r="J110" s="229">
        <v>12</v>
      </c>
      <c r="K110" s="229" t="s">
        <v>2781</v>
      </c>
      <c r="L110" s="232">
        <v>1</v>
      </c>
      <c r="M110" s="232" t="s">
        <v>2953</v>
      </c>
      <c r="N110" s="231">
        <f>H110*J110*L110</f>
        <v>2400</v>
      </c>
      <c r="O110" s="231">
        <f>J110*L110</f>
        <v>12</v>
      </c>
      <c r="P110" s="233">
        <v>20.48</v>
      </c>
      <c r="Q110" s="233">
        <f>P110*L110</f>
        <v>20.48</v>
      </c>
      <c r="R110" s="227">
        <v>43913</v>
      </c>
      <c r="S110" s="235" t="s">
        <v>3337</v>
      </c>
      <c r="T110" s="229" t="s">
        <v>3036</v>
      </c>
      <c r="U110" s="230" t="s">
        <v>3218</v>
      </c>
      <c r="V110" s="229"/>
      <c r="W110" s="232" t="str">
        <f t="shared" si="47"/>
        <v>Yes</v>
      </c>
      <c r="X110" s="456">
        <v>1</v>
      </c>
      <c r="Y110" s="230" t="s">
        <v>3252</v>
      </c>
      <c r="Z110" s="236">
        <v>43937</v>
      </c>
      <c r="AA110" s="237"/>
      <c r="AD110" s="237"/>
      <c r="AG110" s="238">
        <v>0</v>
      </c>
      <c r="AH110" s="239"/>
      <c r="AI110" s="229"/>
      <c r="AJ110" s="237"/>
      <c r="AK110" s="241" t="e">
        <f t="shared" ca="1" si="44"/>
        <v>#NAME?</v>
      </c>
      <c r="AL110" s="235"/>
      <c r="AM110" s="229"/>
      <c r="AN110" s="229"/>
      <c r="AP110" s="228" t="s">
        <v>3348</v>
      </c>
      <c r="AQ110" s="228" t="s">
        <v>3254</v>
      </c>
      <c r="AR110" s="228" t="s">
        <v>3063</v>
      </c>
      <c r="AS110" s="242">
        <f t="shared" si="48"/>
        <v>20.48</v>
      </c>
      <c r="AT110" s="242">
        <f t="shared" si="49"/>
        <v>2.0684800000000001</v>
      </c>
      <c r="AU110" s="242">
        <v>0</v>
      </c>
      <c r="AV110" s="242">
        <v>0</v>
      </c>
      <c r="AW110" s="242">
        <f t="shared" si="50"/>
        <v>22.548480000000001</v>
      </c>
      <c r="AX110" s="237">
        <f>+O110</f>
        <v>12</v>
      </c>
      <c r="AY110" s="242" t="s">
        <v>2781</v>
      </c>
      <c r="AZ110" s="242">
        <f t="shared" si="45"/>
        <v>1.87904</v>
      </c>
      <c r="BA110" s="242" t="s">
        <v>2779</v>
      </c>
      <c r="BB110" s="242" t="s">
        <v>2953</v>
      </c>
      <c r="BC110" s="242">
        <v>12</v>
      </c>
      <c r="BD110" s="242">
        <f t="shared" si="46"/>
        <v>22.548480000000001</v>
      </c>
      <c r="BF110" s="228" t="s">
        <v>3162</v>
      </c>
      <c r="BG110" s="227" t="s">
        <v>3040</v>
      </c>
    </row>
    <row r="111" spans="1:59" s="228" customFormat="1" ht="15" customHeight="1">
      <c r="A111" s="227">
        <v>43907</v>
      </c>
      <c r="B111" s="228" t="s">
        <v>3129</v>
      </c>
      <c r="C111" s="229" t="s">
        <v>93</v>
      </c>
      <c r="D111" s="244" t="s">
        <v>3234</v>
      </c>
      <c r="E111" s="229" t="s">
        <v>3235</v>
      </c>
      <c r="F111" s="231">
        <v>10</v>
      </c>
      <c r="G111" s="231">
        <f>F111*H111</f>
        <v>60</v>
      </c>
      <c r="H111" s="231">
        <v>6</v>
      </c>
      <c r="I111" s="229" t="s">
        <v>3132</v>
      </c>
      <c r="J111" s="229" t="s">
        <v>2846</v>
      </c>
      <c r="K111" s="229" t="s">
        <v>2846</v>
      </c>
      <c r="L111" s="232">
        <v>3</v>
      </c>
      <c r="M111" s="232" t="s">
        <v>2953</v>
      </c>
      <c r="N111" s="231">
        <f>L111*H111</f>
        <v>18</v>
      </c>
      <c r="O111" s="231" t="s">
        <v>2846</v>
      </c>
      <c r="P111" s="233">
        <v>34.19</v>
      </c>
      <c r="Q111" s="234">
        <f>P111*L111</f>
        <v>102.57</v>
      </c>
      <c r="R111" s="227">
        <v>43908</v>
      </c>
      <c r="S111" s="235" t="s">
        <v>3217</v>
      </c>
      <c r="T111" s="229" t="s">
        <v>3036</v>
      </c>
      <c r="U111" s="230" t="s">
        <v>3218</v>
      </c>
      <c r="V111" s="229"/>
      <c r="W111" s="232" t="str">
        <f t="shared" si="47"/>
        <v>Yes</v>
      </c>
      <c r="X111" s="456">
        <v>3</v>
      </c>
      <c r="Y111" s="230" t="s">
        <v>3219</v>
      </c>
      <c r="Z111" s="236">
        <v>43914</v>
      </c>
      <c r="AA111" s="237"/>
      <c r="AD111" s="237"/>
      <c r="AG111" s="238">
        <v>0</v>
      </c>
      <c r="AH111" s="239"/>
      <c r="AI111" s="240"/>
      <c r="AJ111" s="237"/>
      <c r="AK111" s="241" t="e">
        <f t="shared" ca="1" si="44"/>
        <v>#NAME?</v>
      </c>
      <c r="AL111" s="235"/>
      <c r="AM111" s="229"/>
      <c r="AN111" s="229"/>
      <c r="AP111" s="228" t="s">
        <v>3236</v>
      </c>
      <c r="AQ111" s="228" t="s">
        <v>3221</v>
      </c>
      <c r="AR111" s="228" t="s">
        <v>3063</v>
      </c>
      <c r="AS111" s="242">
        <f t="shared" si="48"/>
        <v>102.57</v>
      </c>
      <c r="AT111" s="242">
        <f t="shared" si="49"/>
        <v>10.35957</v>
      </c>
      <c r="AU111" s="242">
        <v>0</v>
      </c>
      <c r="AV111" s="242">
        <v>0</v>
      </c>
      <c r="AW111" s="242">
        <f t="shared" si="50"/>
        <v>112.92957</v>
      </c>
      <c r="AX111" s="237">
        <f>+N111</f>
        <v>18</v>
      </c>
      <c r="AY111" s="242" t="s">
        <v>2736</v>
      </c>
      <c r="AZ111" s="242">
        <f t="shared" si="45"/>
        <v>6.2738649999999998</v>
      </c>
      <c r="BA111" s="242" t="s">
        <v>2734</v>
      </c>
      <c r="BB111" s="242" t="s">
        <v>2953</v>
      </c>
      <c r="BC111" s="242">
        <v>12</v>
      </c>
      <c r="BD111" s="242">
        <f t="shared" si="46"/>
        <v>75.286379999999994</v>
      </c>
      <c r="BF111" s="228" t="s">
        <v>3137</v>
      </c>
      <c r="BG111" s="227" t="s">
        <v>3040</v>
      </c>
    </row>
    <row r="112" spans="1:59" s="228" customFormat="1" ht="15" customHeight="1">
      <c r="A112" s="227">
        <v>43907</v>
      </c>
      <c r="B112" s="228" t="s">
        <v>3129</v>
      </c>
      <c r="C112" s="229" t="s">
        <v>93</v>
      </c>
      <c r="D112" s="230" t="s">
        <v>3237</v>
      </c>
      <c r="E112" s="230" t="s">
        <v>3238</v>
      </c>
      <c r="F112" s="231">
        <v>10</v>
      </c>
      <c r="G112" s="231">
        <f>F112*H112</f>
        <v>60</v>
      </c>
      <c r="H112" s="231">
        <v>6</v>
      </c>
      <c r="I112" s="229" t="s">
        <v>3132</v>
      </c>
      <c r="J112" s="229" t="s">
        <v>2846</v>
      </c>
      <c r="K112" s="229" t="s">
        <v>2846</v>
      </c>
      <c r="L112" s="232">
        <v>3</v>
      </c>
      <c r="M112" s="232" t="s">
        <v>2953</v>
      </c>
      <c r="N112" s="231">
        <f>L112*H112</f>
        <v>18</v>
      </c>
      <c r="O112" s="231" t="s">
        <v>2846</v>
      </c>
      <c r="P112" s="233">
        <v>30.19</v>
      </c>
      <c r="Q112" s="234">
        <f>P112*L112</f>
        <v>90.570000000000007</v>
      </c>
      <c r="R112" s="227">
        <v>43908</v>
      </c>
      <c r="S112" s="235" t="s">
        <v>3217</v>
      </c>
      <c r="T112" s="229" t="s">
        <v>3036</v>
      </c>
      <c r="U112" s="230" t="s">
        <v>3218</v>
      </c>
      <c r="V112" s="229"/>
      <c r="W112" s="232" t="str">
        <f t="shared" si="47"/>
        <v>Yes</v>
      </c>
      <c r="X112" s="456">
        <v>3</v>
      </c>
      <c r="Y112" s="230" t="s">
        <v>3219</v>
      </c>
      <c r="Z112" s="236">
        <v>43914</v>
      </c>
      <c r="AA112" s="237"/>
      <c r="AB112" s="236"/>
      <c r="AC112" s="236"/>
      <c r="AD112" s="237"/>
      <c r="AE112" s="236"/>
      <c r="AF112" s="236"/>
      <c r="AG112" s="238">
        <v>0</v>
      </c>
      <c r="AH112" s="239"/>
      <c r="AI112" s="240"/>
      <c r="AJ112" s="237"/>
      <c r="AK112" s="241" t="e">
        <f t="shared" ca="1" si="44"/>
        <v>#NAME?</v>
      </c>
      <c r="AL112" s="235"/>
      <c r="AM112" s="229"/>
      <c r="AN112" s="229"/>
      <c r="AP112" s="228" t="s">
        <v>3239</v>
      </c>
      <c r="AQ112" s="228" t="s">
        <v>3221</v>
      </c>
      <c r="AR112" s="228" t="s">
        <v>3063</v>
      </c>
      <c r="AS112" s="242">
        <f t="shared" si="48"/>
        <v>90.570000000000007</v>
      </c>
      <c r="AT112" s="242">
        <f t="shared" si="49"/>
        <v>9.1475700000000018</v>
      </c>
      <c r="AU112" s="242">
        <v>0</v>
      </c>
      <c r="AV112" s="242">
        <v>0</v>
      </c>
      <c r="AW112" s="242">
        <f t="shared" si="50"/>
        <v>99.717570000000009</v>
      </c>
      <c r="AX112" s="237">
        <f>+N112</f>
        <v>18</v>
      </c>
      <c r="AY112" s="242" t="s">
        <v>2736</v>
      </c>
      <c r="AZ112" s="242">
        <f t="shared" si="45"/>
        <v>5.5398650000000007</v>
      </c>
      <c r="BA112" s="242" t="s">
        <v>2734</v>
      </c>
      <c r="BB112" s="242" t="s">
        <v>2953</v>
      </c>
      <c r="BC112" s="242">
        <v>12</v>
      </c>
      <c r="BD112" s="242">
        <f t="shared" si="46"/>
        <v>66.478380000000016</v>
      </c>
      <c r="BF112" s="228" t="s">
        <v>3137</v>
      </c>
      <c r="BG112" s="227" t="s">
        <v>3040</v>
      </c>
    </row>
    <row r="113" spans="1:59" s="228" customFormat="1" ht="15" customHeight="1">
      <c r="A113" s="227">
        <v>43907</v>
      </c>
      <c r="B113" s="228" t="s">
        <v>3129</v>
      </c>
      <c r="C113" s="229" t="s">
        <v>93</v>
      </c>
      <c r="D113" s="244" t="s">
        <v>3258</v>
      </c>
      <c r="E113" s="229" t="s">
        <v>3259</v>
      </c>
      <c r="F113" s="231">
        <v>10</v>
      </c>
      <c r="G113" s="231">
        <f>F113*H113</f>
        <v>30</v>
      </c>
      <c r="H113" s="231">
        <v>3</v>
      </c>
      <c r="I113" s="229" t="s">
        <v>3132</v>
      </c>
      <c r="J113" s="229" t="s">
        <v>2846</v>
      </c>
      <c r="K113" s="229" t="s">
        <v>2846</v>
      </c>
      <c r="L113" s="232">
        <v>1</v>
      </c>
      <c r="M113" s="232" t="s">
        <v>64</v>
      </c>
      <c r="N113" s="231">
        <f>H113</f>
        <v>3</v>
      </c>
      <c r="O113" s="231" t="s">
        <v>2846</v>
      </c>
      <c r="P113" s="233">
        <v>6.29</v>
      </c>
      <c r="Q113" s="234">
        <f>P113*3</f>
        <v>18.87</v>
      </c>
      <c r="R113" s="227">
        <v>43908</v>
      </c>
      <c r="S113" s="235" t="s">
        <v>3217</v>
      </c>
      <c r="T113" s="229" t="s">
        <v>3036</v>
      </c>
      <c r="U113" s="230" t="s">
        <v>3218</v>
      </c>
      <c r="V113" s="229"/>
      <c r="W113" s="232" t="str">
        <f t="shared" si="47"/>
        <v>Yes</v>
      </c>
      <c r="X113" s="456">
        <v>3</v>
      </c>
      <c r="Y113" s="230" t="s">
        <v>3219</v>
      </c>
      <c r="Z113" s="236">
        <v>43914</v>
      </c>
      <c r="AA113" s="237"/>
      <c r="AD113" s="237"/>
      <c r="AG113" s="238">
        <v>0</v>
      </c>
      <c r="AH113" s="239"/>
      <c r="AI113" s="240"/>
      <c r="AJ113" s="237"/>
      <c r="AK113" s="241" t="e">
        <f t="shared" ca="1" si="44"/>
        <v>#NAME?</v>
      </c>
      <c r="AL113" s="235"/>
      <c r="AM113" s="229"/>
      <c r="AN113" s="229"/>
      <c r="AP113" s="228" t="s">
        <v>3260</v>
      </c>
      <c r="AQ113" s="228" t="s">
        <v>3221</v>
      </c>
      <c r="AR113" s="228" t="s">
        <v>3063</v>
      </c>
      <c r="AS113" s="242">
        <f t="shared" si="48"/>
        <v>18.87</v>
      </c>
      <c r="AT113" s="242">
        <f t="shared" si="49"/>
        <v>1.9058700000000002</v>
      </c>
      <c r="AU113" s="242">
        <v>0</v>
      </c>
      <c r="AV113" s="242">
        <v>0</v>
      </c>
      <c r="AW113" s="242">
        <f t="shared" si="50"/>
        <v>20.775870000000001</v>
      </c>
      <c r="AX113" s="237">
        <f>+N113</f>
        <v>3</v>
      </c>
      <c r="AY113" s="242" t="s">
        <v>2736</v>
      </c>
      <c r="AZ113" s="242">
        <f t="shared" si="45"/>
        <v>6.9252900000000004</v>
      </c>
      <c r="BA113" s="242" t="s">
        <v>2734</v>
      </c>
      <c r="BB113" s="242" t="s">
        <v>2953</v>
      </c>
      <c r="BC113" s="242">
        <v>12</v>
      </c>
      <c r="BD113" s="242">
        <f t="shared" si="46"/>
        <v>83.103480000000005</v>
      </c>
      <c r="BF113" s="228" t="s">
        <v>3137</v>
      </c>
      <c r="BG113" s="227" t="s">
        <v>3040</v>
      </c>
    </row>
    <row r="114" spans="1:59" s="228" customFormat="1" ht="15" customHeight="1">
      <c r="A114" s="227">
        <v>43907</v>
      </c>
      <c r="B114" s="228" t="s">
        <v>3129</v>
      </c>
      <c r="C114" s="229" t="s">
        <v>93</v>
      </c>
      <c r="D114" s="244" t="s">
        <v>3243</v>
      </c>
      <c r="E114" s="229" t="s">
        <v>3244</v>
      </c>
      <c r="F114" s="231">
        <v>10</v>
      </c>
      <c r="G114" s="231">
        <f>F114*H114</f>
        <v>30</v>
      </c>
      <c r="H114" s="231">
        <v>3</v>
      </c>
      <c r="I114" s="229" t="s">
        <v>3132</v>
      </c>
      <c r="J114" s="229" t="s">
        <v>2846</v>
      </c>
      <c r="K114" s="229" t="s">
        <v>2846</v>
      </c>
      <c r="L114" s="232">
        <v>1</v>
      </c>
      <c r="M114" s="232" t="s">
        <v>64</v>
      </c>
      <c r="N114" s="231">
        <f>H114</f>
        <v>3</v>
      </c>
      <c r="O114" s="231" t="s">
        <v>2846</v>
      </c>
      <c r="P114" s="233">
        <v>6.29</v>
      </c>
      <c r="Q114" s="233">
        <f>P114*H114</f>
        <v>18.87</v>
      </c>
      <c r="R114" s="227">
        <v>43913</v>
      </c>
      <c r="S114" s="235" t="s">
        <v>3337</v>
      </c>
      <c r="T114" s="229" t="s">
        <v>3036</v>
      </c>
      <c r="U114" s="230" t="s">
        <v>3218</v>
      </c>
      <c r="V114" s="229"/>
      <c r="W114" s="232" t="str">
        <f t="shared" si="47"/>
        <v>Yes</v>
      </c>
      <c r="X114" s="456">
        <v>3</v>
      </c>
      <c r="Y114" s="230" t="s">
        <v>3252</v>
      </c>
      <c r="Z114" s="236">
        <v>43937</v>
      </c>
      <c r="AA114" s="237"/>
      <c r="AD114" s="237"/>
      <c r="AG114" s="238">
        <v>0</v>
      </c>
      <c r="AH114" s="239"/>
      <c r="AI114" s="229"/>
      <c r="AJ114" s="237"/>
      <c r="AK114" s="241" t="e">
        <f t="shared" ca="1" si="44"/>
        <v>#NAME?</v>
      </c>
      <c r="AL114" s="235"/>
      <c r="AM114" s="229"/>
      <c r="AN114" s="229"/>
      <c r="AP114" s="228" t="s">
        <v>3349</v>
      </c>
      <c r="AQ114" s="228" t="s">
        <v>3254</v>
      </c>
      <c r="AR114" s="228" t="s">
        <v>3063</v>
      </c>
      <c r="AS114" s="242">
        <f t="shared" si="48"/>
        <v>18.87</v>
      </c>
      <c r="AT114" s="242">
        <f t="shared" si="49"/>
        <v>1.9058700000000002</v>
      </c>
      <c r="AU114" s="242">
        <v>0</v>
      </c>
      <c r="AV114" s="242">
        <v>0</v>
      </c>
      <c r="AW114" s="242">
        <f t="shared" si="50"/>
        <v>20.775870000000001</v>
      </c>
      <c r="AX114" s="237">
        <f>+N114</f>
        <v>3</v>
      </c>
      <c r="AY114" s="242" t="s">
        <v>2736</v>
      </c>
      <c r="AZ114" s="242">
        <f t="shared" si="45"/>
        <v>6.9252900000000004</v>
      </c>
      <c r="BA114" s="242" t="s">
        <v>2734</v>
      </c>
      <c r="BB114" s="242" t="s">
        <v>2953</v>
      </c>
      <c r="BC114" s="242">
        <v>12</v>
      </c>
      <c r="BD114" s="242">
        <f t="shared" si="46"/>
        <v>83.103480000000005</v>
      </c>
      <c r="BF114" s="228" t="s">
        <v>3137</v>
      </c>
      <c r="BG114" s="227" t="s">
        <v>3040</v>
      </c>
    </row>
    <row r="115" spans="1:59" s="228" customFormat="1" ht="15" customHeight="1">
      <c r="A115" s="227">
        <v>43907</v>
      </c>
      <c r="B115" s="228" t="s">
        <v>3129</v>
      </c>
      <c r="C115" s="229" t="s">
        <v>93</v>
      </c>
      <c r="D115" s="230" t="s">
        <v>3246</v>
      </c>
      <c r="E115" s="230" t="s">
        <v>3340</v>
      </c>
      <c r="F115" s="231">
        <v>10</v>
      </c>
      <c r="G115" s="231">
        <f>F115*H115</f>
        <v>30</v>
      </c>
      <c r="H115" s="231">
        <v>3</v>
      </c>
      <c r="I115" s="229" t="s">
        <v>3132</v>
      </c>
      <c r="J115" s="229" t="s">
        <v>2846</v>
      </c>
      <c r="K115" s="229" t="s">
        <v>2846</v>
      </c>
      <c r="L115" s="232">
        <v>1</v>
      </c>
      <c r="M115" s="232" t="s">
        <v>64</v>
      </c>
      <c r="N115" s="231">
        <f>H115</f>
        <v>3</v>
      </c>
      <c r="O115" s="231" t="s">
        <v>2846</v>
      </c>
      <c r="P115" s="233">
        <v>6.29</v>
      </c>
      <c r="Q115" s="233">
        <f>P115*H115</f>
        <v>18.87</v>
      </c>
      <c r="R115" s="227">
        <v>43913</v>
      </c>
      <c r="S115" s="235" t="s">
        <v>3337</v>
      </c>
      <c r="T115" s="229" t="s">
        <v>3036</v>
      </c>
      <c r="U115" s="230" t="s">
        <v>3218</v>
      </c>
      <c r="V115" s="229"/>
      <c r="W115" s="232" t="str">
        <f t="shared" si="47"/>
        <v>Yes</v>
      </c>
      <c r="X115" s="456">
        <v>3</v>
      </c>
      <c r="Y115" s="230" t="s">
        <v>3252</v>
      </c>
      <c r="Z115" s="236">
        <v>43937</v>
      </c>
      <c r="AA115" s="237"/>
      <c r="AD115" s="237"/>
      <c r="AG115" s="238">
        <v>0</v>
      </c>
      <c r="AH115" s="239"/>
      <c r="AI115" s="229"/>
      <c r="AJ115" s="237"/>
      <c r="AK115" s="241" t="e">
        <f t="shared" ca="1" si="44"/>
        <v>#NAME?</v>
      </c>
      <c r="AL115" s="235"/>
      <c r="AM115" s="229"/>
      <c r="AN115" s="229"/>
      <c r="AP115" s="228" t="s">
        <v>3350</v>
      </c>
      <c r="AQ115" s="228" t="s">
        <v>3254</v>
      </c>
      <c r="AR115" s="228" t="s">
        <v>3063</v>
      </c>
      <c r="AS115" s="242">
        <f t="shared" si="48"/>
        <v>18.87</v>
      </c>
      <c r="AT115" s="242">
        <f t="shared" si="49"/>
        <v>1.9058700000000002</v>
      </c>
      <c r="AU115" s="242">
        <v>0</v>
      </c>
      <c r="AV115" s="242">
        <v>0</v>
      </c>
      <c r="AW115" s="242">
        <f t="shared" si="50"/>
        <v>20.775870000000001</v>
      </c>
      <c r="AX115" s="237">
        <f>+N115</f>
        <v>3</v>
      </c>
      <c r="AY115" s="242" t="s">
        <v>2736</v>
      </c>
      <c r="AZ115" s="242">
        <f t="shared" si="45"/>
        <v>6.9252900000000004</v>
      </c>
      <c r="BA115" s="242" t="s">
        <v>2734</v>
      </c>
      <c r="BB115" s="242" t="s">
        <v>2953</v>
      </c>
      <c r="BC115" s="242">
        <v>12</v>
      </c>
      <c r="BD115" s="242">
        <f t="shared" si="46"/>
        <v>83.103480000000005</v>
      </c>
      <c r="BF115" s="228" t="s">
        <v>3137</v>
      </c>
      <c r="BG115" s="227" t="s">
        <v>3040</v>
      </c>
    </row>
    <row r="116" spans="1:59" s="228" customFormat="1" ht="15" customHeight="1">
      <c r="A116" s="227">
        <v>43907</v>
      </c>
      <c r="B116" s="228" t="s">
        <v>3129</v>
      </c>
      <c r="C116" s="229" t="s">
        <v>95</v>
      </c>
      <c r="D116" s="245" t="s">
        <v>3240</v>
      </c>
      <c r="E116" s="230" t="s">
        <v>3241</v>
      </c>
      <c r="F116" s="231" t="s">
        <v>2846</v>
      </c>
      <c r="G116" s="231" t="s">
        <v>2846</v>
      </c>
      <c r="H116" s="231">
        <v>200</v>
      </c>
      <c r="I116" s="229" t="s">
        <v>3157</v>
      </c>
      <c r="J116" s="229">
        <v>12</v>
      </c>
      <c r="K116" s="229" t="s">
        <v>2781</v>
      </c>
      <c r="L116" s="232">
        <v>3</v>
      </c>
      <c r="M116" s="232" t="s">
        <v>2953</v>
      </c>
      <c r="N116" s="231">
        <f>H116*J116*L116</f>
        <v>7200</v>
      </c>
      <c r="O116" s="231">
        <f>J116*L116</f>
        <v>36</v>
      </c>
      <c r="P116" s="233">
        <v>28.48</v>
      </c>
      <c r="Q116" s="233">
        <f>P116*L116</f>
        <v>85.44</v>
      </c>
      <c r="R116" s="227">
        <v>43908</v>
      </c>
      <c r="S116" s="235" t="s">
        <v>3217</v>
      </c>
      <c r="T116" s="229" t="s">
        <v>3036</v>
      </c>
      <c r="U116" s="230" t="s">
        <v>3218</v>
      </c>
      <c r="V116" s="229"/>
      <c r="W116" s="232" t="str">
        <f t="shared" si="47"/>
        <v>Yes</v>
      </c>
      <c r="X116" s="456">
        <v>3</v>
      </c>
      <c r="Y116" s="230" t="s">
        <v>3219</v>
      </c>
      <c r="Z116" s="236">
        <v>43914</v>
      </c>
      <c r="AA116" s="237"/>
      <c r="AB116" s="236"/>
      <c r="AC116" s="236"/>
      <c r="AD116" s="237"/>
      <c r="AE116" s="236"/>
      <c r="AF116" s="236"/>
      <c r="AG116" s="238">
        <v>0</v>
      </c>
      <c r="AH116" s="239"/>
      <c r="AI116" s="240"/>
      <c r="AJ116" s="237"/>
      <c r="AK116" s="241" t="e">
        <f t="shared" ca="1" si="44"/>
        <v>#NAME?</v>
      </c>
      <c r="AL116" s="235"/>
      <c r="AM116" s="229"/>
      <c r="AN116" s="229"/>
      <c r="AP116" s="228" t="s">
        <v>3242</v>
      </c>
      <c r="AQ116" s="228" t="s">
        <v>3221</v>
      </c>
      <c r="AR116" s="228" t="s">
        <v>3063</v>
      </c>
      <c r="AS116" s="242">
        <f t="shared" si="48"/>
        <v>85.44</v>
      </c>
      <c r="AT116" s="242">
        <f t="shared" si="49"/>
        <v>8.6294400000000007</v>
      </c>
      <c r="AU116" s="242">
        <v>0</v>
      </c>
      <c r="AV116" s="242">
        <v>0</v>
      </c>
      <c r="AW116" s="242">
        <f t="shared" si="50"/>
        <v>94.06944</v>
      </c>
      <c r="AX116" s="237">
        <f>+O116</f>
        <v>36</v>
      </c>
      <c r="AY116" s="242" t="s">
        <v>2781</v>
      </c>
      <c r="AZ116" s="242">
        <f t="shared" si="45"/>
        <v>2.6130399999999998</v>
      </c>
      <c r="BA116" s="242" t="s">
        <v>2779</v>
      </c>
      <c r="BB116" s="242" t="s">
        <v>2953</v>
      </c>
      <c r="BC116" s="242">
        <v>12</v>
      </c>
      <c r="BD116" s="242">
        <f t="shared" si="46"/>
        <v>31.356479999999998</v>
      </c>
      <c r="BF116" s="228" t="s">
        <v>3162</v>
      </c>
      <c r="BG116" s="227" t="s">
        <v>3040</v>
      </c>
    </row>
    <row r="117" spans="1:59" s="228" customFormat="1" ht="15" customHeight="1">
      <c r="A117" s="227">
        <v>43907</v>
      </c>
      <c r="B117" s="228" t="s">
        <v>3129</v>
      </c>
      <c r="C117" s="229" t="s">
        <v>93</v>
      </c>
      <c r="D117" s="230" t="s">
        <v>3249</v>
      </c>
      <c r="E117" s="229" t="s">
        <v>3250</v>
      </c>
      <c r="F117" s="231">
        <v>10</v>
      </c>
      <c r="G117" s="231">
        <f>F117*H117</f>
        <v>60</v>
      </c>
      <c r="H117" s="231">
        <v>6</v>
      </c>
      <c r="I117" s="229" t="s">
        <v>3132</v>
      </c>
      <c r="J117" s="229" t="s">
        <v>2846</v>
      </c>
      <c r="K117" s="229" t="s">
        <v>2846</v>
      </c>
      <c r="L117" s="232">
        <v>1</v>
      </c>
      <c r="M117" s="232" t="s">
        <v>64</v>
      </c>
      <c r="N117" s="231">
        <f>H117</f>
        <v>6</v>
      </c>
      <c r="O117" s="231" t="s">
        <v>2846</v>
      </c>
      <c r="P117" s="233">
        <v>6.29</v>
      </c>
      <c r="Q117" s="234">
        <f>P117*6</f>
        <v>37.74</v>
      </c>
      <c r="R117" s="227">
        <v>43908</v>
      </c>
      <c r="S117" s="235" t="s">
        <v>3217</v>
      </c>
      <c r="T117" s="229" t="s">
        <v>3036</v>
      </c>
      <c r="U117" s="230" t="s">
        <v>3218</v>
      </c>
      <c r="V117" s="229"/>
      <c r="W117" s="232" t="str">
        <f t="shared" si="47"/>
        <v>Yes</v>
      </c>
      <c r="X117" s="456">
        <v>6</v>
      </c>
      <c r="Y117" s="230" t="s">
        <v>3219</v>
      </c>
      <c r="Z117" s="236">
        <v>43914</v>
      </c>
      <c r="AA117" s="237"/>
      <c r="AB117" s="236"/>
      <c r="AC117" s="236"/>
      <c r="AD117" s="237"/>
      <c r="AE117" s="236"/>
      <c r="AF117" s="236"/>
      <c r="AG117" s="238">
        <v>0</v>
      </c>
      <c r="AH117" s="239"/>
      <c r="AI117" s="240"/>
      <c r="AJ117" s="237"/>
      <c r="AK117" s="241" t="e">
        <f t="shared" ca="1" si="44"/>
        <v>#NAME?</v>
      </c>
      <c r="AL117" s="235"/>
      <c r="AM117" s="229"/>
      <c r="AN117" s="229"/>
      <c r="AP117" s="228" t="s">
        <v>3251</v>
      </c>
      <c r="AQ117" s="228" t="s">
        <v>3221</v>
      </c>
      <c r="AR117" s="228" t="s">
        <v>3063</v>
      </c>
      <c r="AS117" s="242">
        <f t="shared" si="48"/>
        <v>37.74</v>
      </c>
      <c r="AT117" s="242">
        <f t="shared" si="49"/>
        <v>3.8117400000000004</v>
      </c>
      <c r="AU117" s="242">
        <v>0</v>
      </c>
      <c r="AV117" s="242">
        <v>0</v>
      </c>
      <c r="AW117" s="242">
        <f t="shared" si="50"/>
        <v>41.551740000000002</v>
      </c>
      <c r="AX117" s="237">
        <f>+N117</f>
        <v>6</v>
      </c>
      <c r="AY117" s="242" t="s">
        <v>2736</v>
      </c>
      <c r="AZ117" s="242">
        <f t="shared" si="45"/>
        <v>6.9252900000000004</v>
      </c>
      <c r="BA117" s="242" t="s">
        <v>2734</v>
      </c>
      <c r="BB117" s="242" t="s">
        <v>2953</v>
      </c>
      <c r="BC117" s="242">
        <v>12</v>
      </c>
      <c r="BD117" s="242">
        <f t="shared" si="46"/>
        <v>83.103480000000005</v>
      </c>
      <c r="BF117" s="228" t="s">
        <v>3137</v>
      </c>
      <c r="BG117" s="227" t="s">
        <v>3040</v>
      </c>
    </row>
    <row r="118" spans="1:59" s="96" customFormat="1" ht="15" customHeight="1">
      <c r="A118" s="227">
        <v>43907</v>
      </c>
      <c r="B118" s="228" t="s">
        <v>3129</v>
      </c>
      <c r="C118" s="229" t="s">
        <v>93</v>
      </c>
      <c r="D118" s="244" t="s">
        <v>3258</v>
      </c>
      <c r="E118" s="229" t="s">
        <v>3259</v>
      </c>
      <c r="F118" s="231">
        <v>10</v>
      </c>
      <c r="G118" s="231">
        <f>F118*H118</f>
        <v>60</v>
      </c>
      <c r="H118" s="231">
        <v>6</v>
      </c>
      <c r="I118" s="229" t="s">
        <v>3132</v>
      </c>
      <c r="J118" s="229" t="s">
        <v>2846</v>
      </c>
      <c r="K118" s="229" t="s">
        <v>2846</v>
      </c>
      <c r="L118" s="232">
        <v>1</v>
      </c>
      <c r="M118" s="232" t="s">
        <v>64</v>
      </c>
      <c r="N118" s="231">
        <f>H118</f>
        <v>6</v>
      </c>
      <c r="O118" s="231" t="s">
        <v>2846</v>
      </c>
      <c r="P118" s="233">
        <v>6.29</v>
      </c>
      <c r="Q118" s="233">
        <f>P118*H118</f>
        <v>37.74</v>
      </c>
      <c r="R118" s="227">
        <v>43913</v>
      </c>
      <c r="S118" s="235" t="s">
        <v>3337</v>
      </c>
      <c r="T118" s="229" t="s">
        <v>3036</v>
      </c>
      <c r="U118" s="230" t="s">
        <v>3218</v>
      </c>
      <c r="V118" s="229"/>
      <c r="W118" s="232" t="str">
        <f t="shared" si="47"/>
        <v>Yes</v>
      </c>
      <c r="X118" s="456">
        <v>6</v>
      </c>
      <c r="Y118" s="230" t="s">
        <v>3252</v>
      </c>
      <c r="Z118" s="236">
        <v>43937</v>
      </c>
      <c r="AA118" s="237"/>
      <c r="AB118" s="228"/>
      <c r="AC118" s="228"/>
      <c r="AD118" s="237"/>
      <c r="AE118" s="228"/>
      <c r="AF118" s="228"/>
      <c r="AG118" s="238">
        <v>0</v>
      </c>
      <c r="AH118" s="239"/>
      <c r="AI118" s="229"/>
      <c r="AJ118" s="237"/>
      <c r="AK118" s="241" t="e">
        <f t="shared" ca="1" si="44"/>
        <v>#NAME?</v>
      </c>
      <c r="AL118" s="235"/>
      <c r="AM118" s="229"/>
      <c r="AN118" s="229"/>
      <c r="AO118" s="228"/>
      <c r="AP118" s="228" t="s">
        <v>3345</v>
      </c>
      <c r="AQ118" s="228" t="s">
        <v>3254</v>
      </c>
      <c r="AR118" s="228" t="s">
        <v>3063</v>
      </c>
      <c r="AS118" s="242">
        <f t="shared" si="48"/>
        <v>37.74</v>
      </c>
      <c r="AT118" s="242">
        <f t="shared" si="49"/>
        <v>3.8117400000000004</v>
      </c>
      <c r="AU118" s="242">
        <v>0</v>
      </c>
      <c r="AV118" s="242">
        <v>0</v>
      </c>
      <c r="AW118" s="242">
        <f t="shared" si="50"/>
        <v>41.551740000000002</v>
      </c>
      <c r="AX118" s="237">
        <f>+N118</f>
        <v>6</v>
      </c>
      <c r="AY118" s="242" t="s">
        <v>2736</v>
      </c>
      <c r="AZ118" s="242">
        <f t="shared" si="45"/>
        <v>6.9252900000000004</v>
      </c>
      <c r="BA118" s="242" t="s">
        <v>2734</v>
      </c>
      <c r="BB118" s="242" t="s">
        <v>2953</v>
      </c>
      <c r="BC118" s="242">
        <v>12</v>
      </c>
      <c r="BD118" s="242">
        <f t="shared" si="46"/>
        <v>83.103480000000005</v>
      </c>
      <c r="BE118" s="228"/>
      <c r="BF118" s="228" t="s">
        <v>3137</v>
      </c>
      <c r="BG118" s="227" t="s">
        <v>3040</v>
      </c>
    </row>
    <row r="119" spans="1:59" s="228" customFormat="1" ht="15" customHeight="1">
      <c r="A119" s="227">
        <v>43907</v>
      </c>
      <c r="B119" s="228" t="s">
        <v>3129</v>
      </c>
      <c r="C119" s="229" t="s">
        <v>93</v>
      </c>
      <c r="D119" s="230" t="s">
        <v>3246</v>
      </c>
      <c r="E119" s="230" t="s">
        <v>3340</v>
      </c>
      <c r="F119" s="231">
        <v>10</v>
      </c>
      <c r="G119" s="231">
        <f>F119*H119</f>
        <v>60</v>
      </c>
      <c r="H119" s="231">
        <v>6</v>
      </c>
      <c r="I119" s="229" t="s">
        <v>3132</v>
      </c>
      <c r="J119" s="229" t="s">
        <v>2846</v>
      </c>
      <c r="K119" s="229" t="s">
        <v>2846</v>
      </c>
      <c r="L119" s="232">
        <v>1</v>
      </c>
      <c r="M119" s="232" t="s">
        <v>64</v>
      </c>
      <c r="N119" s="231">
        <f>H119</f>
        <v>6</v>
      </c>
      <c r="O119" s="231" t="s">
        <v>2846</v>
      </c>
      <c r="P119" s="233">
        <v>6.29</v>
      </c>
      <c r="Q119" s="233">
        <f>P119*H119</f>
        <v>37.74</v>
      </c>
      <c r="R119" s="227">
        <v>43913</v>
      </c>
      <c r="S119" s="235" t="s">
        <v>3337</v>
      </c>
      <c r="T119" s="229" t="s">
        <v>3036</v>
      </c>
      <c r="U119" s="230" t="s">
        <v>3218</v>
      </c>
      <c r="V119" s="229"/>
      <c r="W119" s="232" t="str">
        <f t="shared" si="47"/>
        <v>Yes</v>
      </c>
      <c r="X119" s="456">
        <v>6</v>
      </c>
      <c r="Y119" s="230" t="s">
        <v>3252</v>
      </c>
      <c r="Z119" s="236">
        <v>43937</v>
      </c>
      <c r="AA119" s="237"/>
      <c r="AD119" s="237"/>
      <c r="AG119" s="238">
        <v>0</v>
      </c>
      <c r="AH119" s="239"/>
      <c r="AI119" s="229"/>
      <c r="AJ119" s="237"/>
      <c r="AK119" s="241" t="e">
        <f t="shared" ca="1" si="44"/>
        <v>#NAME?</v>
      </c>
      <c r="AL119" s="235"/>
      <c r="AM119" s="229"/>
      <c r="AN119" s="229"/>
      <c r="AP119" s="228" t="s">
        <v>3346</v>
      </c>
      <c r="AQ119" s="228" t="s">
        <v>3254</v>
      </c>
      <c r="AR119" s="228" t="s">
        <v>3063</v>
      </c>
      <c r="AS119" s="242">
        <f t="shared" si="48"/>
        <v>37.74</v>
      </c>
      <c r="AT119" s="242">
        <f t="shared" si="49"/>
        <v>3.8117400000000004</v>
      </c>
      <c r="AU119" s="242">
        <v>0</v>
      </c>
      <c r="AV119" s="242">
        <v>0</v>
      </c>
      <c r="AW119" s="242">
        <f t="shared" si="50"/>
        <v>41.551740000000002</v>
      </c>
      <c r="AX119" s="237">
        <f>+N119</f>
        <v>6</v>
      </c>
      <c r="AY119" s="242" t="s">
        <v>2736</v>
      </c>
      <c r="AZ119" s="242">
        <f t="shared" si="45"/>
        <v>6.9252900000000004</v>
      </c>
      <c r="BA119" s="242" t="s">
        <v>2734</v>
      </c>
      <c r="BB119" s="242" t="s">
        <v>2953</v>
      </c>
      <c r="BC119" s="242">
        <v>12</v>
      </c>
      <c r="BD119" s="242">
        <f t="shared" si="46"/>
        <v>83.103480000000005</v>
      </c>
      <c r="BF119" s="228" t="s">
        <v>3137</v>
      </c>
      <c r="BG119" s="227" t="s">
        <v>3040</v>
      </c>
    </row>
    <row r="120" spans="1:59" s="228" customFormat="1" ht="15" customHeight="1">
      <c r="A120" s="227">
        <v>43907</v>
      </c>
      <c r="B120" s="228" t="s">
        <v>3129</v>
      </c>
      <c r="C120" s="229" t="s">
        <v>95</v>
      </c>
      <c r="D120" s="230" t="s">
        <v>3215</v>
      </c>
      <c r="E120" s="230" t="s">
        <v>3216</v>
      </c>
      <c r="F120" s="231" t="s">
        <v>2846</v>
      </c>
      <c r="G120" s="231" t="s">
        <v>2846</v>
      </c>
      <c r="H120" s="231">
        <v>200</v>
      </c>
      <c r="I120" s="229" t="s">
        <v>3157</v>
      </c>
      <c r="J120" s="229">
        <v>12</v>
      </c>
      <c r="K120" s="229" t="s">
        <v>2781</v>
      </c>
      <c r="L120" s="232">
        <v>6</v>
      </c>
      <c r="M120" s="232" t="s">
        <v>2953</v>
      </c>
      <c r="N120" s="231">
        <f>L120*J120*H120</f>
        <v>14400</v>
      </c>
      <c r="O120" s="231">
        <f>J120*L120</f>
        <v>72</v>
      </c>
      <c r="P120" s="233">
        <v>43</v>
      </c>
      <c r="Q120" s="233">
        <f>P120*L120</f>
        <v>258</v>
      </c>
      <c r="R120" s="227">
        <v>43913</v>
      </c>
      <c r="S120" s="235" t="s">
        <v>3337</v>
      </c>
      <c r="T120" s="229" t="s">
        <v>3036</v>
      </c>
      <c r="U120" s="230" t="s">
        <v>3218</v>
      </c>
      <c r="V120" s="229"/>
      <c r="W120" s="232" t="str">
        <f t="shared" si="47"/>
        <v>Yes</v>
      </c>
      <c r="X120" s="456">
        <v>6</v>
      </c>
      <c r="Y120" s="230" t="s">
        <v>3252</v>
      </c>
      <c r="Z120" s="236">
        <v>43937</v>
      </c>
      <c r="AA120" s="237"/>
      <c r="AD120" s="237"/>
      <c r="AG120" s="238">
        <v>0</v>
      </c>
      <c r="AH120" s="239"/>
      <c r="AI120" s="229"/>
      <c r="AJ120" s="237"/>
      <c r="AK120" s="241" t="e">
        <f t="shared" ca="1" si="44"/>
        <v>#NAME?</v>
      </c>
      <c r="AL120" s="235"/>
      <c r="AM120" s="229"/>
      <c r="AN120" s="229"/>
      <c r="AP120" s="228" t="s">
        <v>3338</v>
      </c>
      <c r="AQ120" s="228" t="s">
        <v>3254</v>
      </c>
      <c r="AR120" s="228" t="s">
        <v>3063</v>
      </c>
      <c r="AS120" s="242">
        <f t="shared" si="48"/>
        <v>258</v>
      </c>
      <c r="AT120" s="242">
        <f t="shared" si="49"/>
        <v>26.058000000000003</v>
      </c>
      <c r="AU120" s="242">
        <v>0</v>
      </c>
      <c r="AV120" s="242">
        <v>0</v>
      </c>
      <c r="AW120" s="242">
        <f t="shared" si="50"/>
        <v>284.05799999999999</v>
      </c>
      <c r="AX120" s="237">
        <f>+O120</f>
        <v>72</v>
      </c>
      <c r="AY120" s="242" t="s">
        <v>2781</v>
      </c>
      <c r="AZ120" s="242">
        <f t="shared" si="45"/>
        <v>3.9452499999999997</v>
      </c>
      <c r="BA120" s="242" t="s">
        <v>2779</v>
      </c>
      <c r="BB120" s="242" t="s">
        <v>2953</v>
      </c>
      <c r="BC120" s="242">
        <v>12</v>
      </c>
      <c r="BD120" s="242">
        <f t="shared" si="46"/>
        <v>47.342999999999996</v>
      </c>
      <c r="BF120" s="228" t="s">
        <v>3162</v>
      </c>
      <c r="BG120" s="227" t="s">
        <v>3040</v>
      </c>
    </row>
    <row r="121" spans="1:59" s="228" customFormat="1" ht="15" customHeight="1">
      <c r="A121" s="227">
        <v>43907</v>
      </c>
      <c r="B121" s="228" t="s">
        <v>3129</v>
      </c>
      <c r="C121" s="229" t="s">
        <v>93</v>
      </c>
      <c r="D121" s="244" t="s">
        <v>3258</v>
      </c>
      <c r="E121" s="229" t="s">
        <v>3259</v>
      </c>
      <c r="F121" s="231">
        <v>10</v>
      </c>
      <c r="G121" s="231">
        <f t="shared" ref="G121:G126" si="51">F121*H121</f>
        <v>80</v>
      </c>
      <c r="H121" s="231">
        <v>8</v>
      </c>
      <c r="I121" s="229" t="s">
        <v>3132</v>
      </c>
      <c r="J121" s="229" t="s">
        <v>2846</v>
      </c>
      <c r="K121" s="229" t="s">
        <v>2846</v>
      </c>
      <c r="L121" s="232">
        <v>1</v>
      </c>
      <c r="M121" s="232" t="s">
        <v>64</v>
      </c>
      <c r="N121" s="231">
        <f t="shared" ref="N121:N126" si="52">H121</f>
        <v>8</v>
      </c>
      <c r="O121" s="231" t="s">
        <v>2846</v>
      </c>
      <c r="P121" s="233">
        <v>6.29</v>
      </c>
      <c r="Q121" s="233">
        <f>P121*H121</f>
        <v>50.32</v>
      </c>
      <c r="R121" s="227">
        <v>43913</v>
      </c>
      <c r="S121" s="235" t="s">
        <v>3337</v>
      </c>
      <c r="T121" s="229" t="s">
        <v>3036</v>
      </c>
      <c r="U121" s="230" t="s">
        <v>3218</v>
      </c>
      <c r="V121" s="229"/>
      <c r="W121" s="232" t="str">
        <f t="shared" si="47"/>
        <v>Yes</v>
      </c>
      <c r="X121" s="456">
        <v>8</v>
      </c>
      <c r="Y121" s="230" t="s">
        <v>3252</v>
      </c>
      <c r="Z121" s="236">
        <v>43937</v>
      </c>
      <c r="AA121" s="237"/>
      <c r="AD121" s="237"/>
      <c r="AG121" s="238">
        <v>0</v>
      </c>
      <c r="AH121" s="239"/>
      <c r="AI121" s="229"/>
      <c r="AJ121" s="237"/>
      <c r="AK121" s="241" t="e">
        <f t="shared" ca="1" si="44"/>
        <v>#NAME?</v>
      </c>
      <c r="AL121" s="235"/>
      <c r="AM121" s="229"/>
      <c r="AN121" s="229"/>
      <c r="AP121" s="228" t="s">
        <v>3344</v>
      </c>
      <c r="AQ121" s="228" t="s">
        <v>3254</v>
      </c>
      <c r="AR121" s="228" t="s">
        <v>3063</v>
      </c>
      <c r="AS121" s="242">
        <f t="shared" si="48"/>
        <v>50.32</v>
      </c>
      <c r="AT121" s="242">
        <f t="shared" si="49"/>
        <v>5.0823200000000002</v>
      </c>
      <c r="AU121" s="242">
        <v>0</v>
      </c>
      <c r="AV121" s="242">
        <v>0</v>
      </c>
      <c r="AW121" s="242">
        <f t="shared" si="50"/>
        <v>55.402320000000003</v>
      </c>
      <c r="AX121" s="237">
        <f t="shared" ref="AX121:AX126" si="53">+N121</f>
        <v>8</v>
      </c>
      <c r="AY121" s="242" t="s">
        <v>2736</v>
      </c>
      <c r="AZ121" s="242">
        <f t="shared" si="45"/>
        <v>6.9252900000000004</v>
      </c>
      <c r="BA121" s="242" t="s">
        <v>2734</v>
      </c>
      <c r="BB121" s="242" t="s">
        <v>2953</v>
      </c>
      <c r="BC121" s="242">
        <v>12</v>
      </c>
      <c r="BD121" s="242">
        <f t="shared" si="46"/>
        <v>83.103480000000005</v>
      </c>
      <c r="BF121" s="228" t="s">
        <v>3137</v>
      </c>
      <c r="BG121" s="227" t="s">
        <v>3040</v>
      </c>
    </row>
    <row r="122" spans="1:59" s="228" customFormat="1" ht="15" customHeight="1">
      <c r="A122" s="227">
        <v>43907</v>
      </c>
      <c r="B122" s="228" t="s">
        <v>3129</v>
      </c>
      <c r="C122" s="229" t="s">
        <v>93</v>
      </c>
      <c r="D122" s="244" t="s">
        <v>3243</v>
      </c>
      <c r="E122" s="229" t="s">
        <v>3244</v>
      </c>
      <c r="F122" s="231">
        <v>10</v>
      </c>
      <c r="G122" s="231">
        <f t="shared" si="51"/>
        <v>90</v>
      </c>
      <c r="H122" s="231">
        <v>9</v>
      </c>
      <c r="I122" s="229" t="s">
        <v>3132</v>
      </c>
      <c r="J122" s="229" t="s">
        <v>2846</v>
      </c>
      <c r="K122" s="229" t="s">
        <v>2846</v>
      </c>
      <c r="L122" s="232">
        <v>1</v>
      </c>
      <c r="M122" s="232" t="s">
        <v>64</v>
      </c>
      <c r="N122" s="231">
        <f t="shared" si="52"/>
        <v>9</v>
      </c>
      <c r="O122" s="231" t="s">
        <v>2846</v>
      </c>
      <c r="P122" s="233">
        <v>6.29</v>
      </c>
      <c r="Q122" s="234">
        <f>P122*9</f>
        <v>56.61</v>
      </c>
      <c r="R122" s="227">
        <v>43908</v>
      </c>
      <c r="S122" s="235" t="s">
        <v>3217</v>
      </c>
      <c r="T122" s="229" t="s">
        <v>3036</v>
      </c>
      <c r="U122" s="230" t="s">
        <v>3218</v>
      </c>
      <c r="V122" s="229"/>
      <c r="W122" s="232" t="str">
        <f t="shared" si="47"/>
        <v>Yes</v>
      </c>
      <c r="X122" s="456">
        <v>9</v>
      </c>
      <c r="Y122" s="230" t="s">
        <v>3219</v>
      </c>
      <c r="Z122" s="236">
        <v>43914</v>
      </c>
      <c r="AA122" s="237"/>
      <c r="AD122" s="237"/>
      <c r="AG122" s="238">
        <v>0</v>
      </c>
      <c r="AH122" s="239"/>
      <c r="AI122" s="240"/>
      <c r="AJ122" s="237"/>
      <c r="AK122" s="241" t="e">
        <f t="shared" ca="1" si="44"/>
        <v>#NAME?</v>
      </c>
      <c r="AL122" s="235"/>
      <c r="AM122" s="229"/>
      <c r="AN122" s="229"/>
      <c r="AP122" s="228" t="s">
        <v>3245</v>
      </c>
      <c r="AQ122" s="228" t="s">
        <v>3221</v>
      </c>
      <c r="AR122" s="228" t="s">
        <v>3063</v>
      </c>
      <c r="AS122" s="242">
        <f t="shared" si="48"/>
        <v>56.61</v>
      </c>
      <c r="AT122" s="242">
        <f t="shared" si="49"/>
        <v>5.7176100000000005</v>
      </c>
      <c r="AU122" s="242">
        <v>0</v>
      </c>
      <c r="AV122" s="242">
        <v>0</v>
      </c>
      <c r="AW122" s="242">
        <f t="shared" si="50"/>
        <v>62.32761</v>
      </c>
      <c r="AX122" s="237">
        <f t="shared" si="53"/>
        <v>9</v>
      </c>
      <c r="AY122" s="242" t="s">
        <v>2736</v>
      </c>
      <c r="AZ122" s="242">
        <f t="shared" si="45"/>
        <v>6.9252900000000004</v>
      </c>
      <c r="BA122" s="242" t="s">
        <v>2734</v>
      </c>
      <c r="BB122" s="242" t="s">
        <v>2953</v>
      </c>
      <c r="BC122" s="242">
        <v>12</v>
      </c>
      <c r="BD122" s="242">
        <f t="shared" si="46"/>
        <v>83.103480000000005</v>
      </c>
      <c r="BF122" s="228" t="s">
        <v>3137</v>
      </c>
      <c r="BG122" s="227" t="s">
        <v>3040</v>
      </c>
    </row>
    <row r="123" spans="1:59" s="228" customFormat="1" ht="15" customHeight="1">
      <c r="A123" s="227">
        <v>43907</v>
      </c>
      <c r="B123" s="228" t="s">
        <v>3129</v>
      </c>
      <c r="C123" s="229" t="s">
        <v>93</v>
      </c>
      <c r="D123" s="230" t="s">
        <v>3246</v>
      </c>
      <c r="E123" s="230" t="s">
        <v>3247</v>
      </c>
      <c r="F123" s="231">
        <v>10</v>
      </c>
      <c r="G123" s="231">
        <f t="shared" si="51"/>
        <v>90</v>
      </c>
      <c r="H123" s="231">
        <v>9</v>
      </c>
      <c r="I123" s="229" t="s">
        <v>3132</v>
      </c>
      <c r="J123" s="229" t="s">
        <v>2846</v>
      </c>
      <c r="K123" s="229" t="s">
        <v>2846</v>
      </c>
      <c r="L123" s="232">
        <v>1</v>
      </c>
      <c r="M123" s="232" t="s">
        <v>64</v>
      </c>
      <c r="N123" s="231">
        <f t="shared" si="52"/>
        <v>9</v>
      </c>
      <c r="O123" s="231" t="s">
        <v>2846</v>
      </c>
      <c r="P123" s="233">
        <v>6.29</v>
      </c>
      <c r="Q123" s="233">
        <f>P123*H123</f>
        <v>56.61</v>
      </c>
      <c r="R123" s="227">
        <v>43908</v>
      </c>
      <c r="S123" s="235" t="s">
        <v>3217</v>
      </c>
      <c r="T123" s="229" t="s">
        <v>3036</v>
      </c>
      <c r="U123" s="230" t="s">
        <v>3218</v>
      </c>
      <c r="V123" s="229"/>
      <c r="W123" s="232" t="str">
        <f t="shared" si="47"/>
        <v>Yes</v>
      </c>
      <c r="X123" s="456">
        <v>9</v>
      </c>
      <c r="Y123" s="230" t="s">
        <v>3219</v>
      </c>
      <c r="Z123" s="236">
        <v>43914</v>
      </c>
      <c r="AA123" s="237"/>
      <c r="AB123" s="236"/>
      <c r="AC123" s="236"/>
      <c r="AD123" s="237"/>
      <c r="AE123" s="236"/>
      <c r="AF123" s="236"/>
      <c r="AG123" s="238">
        <v>0</v>
      </c>
      <c r="AH123" s="239"/>
      <c r="AI123" s="240"/>
      <c r="AJ123" s="237"/>
      <c r="AK123" s="241" t="e">
        <f t="shared" ca="1" si="44"/>
        <v>#NAME?</v>
      </c>
      <c r="AL123" s="235"/>
      <c r="AM123" s="229"/>
      <c r="AN123" s="229"/>
      <c r="AP123" s="228" t="s">
        <v>3248</v>
      </c>
      <c r="AQ123" s="228" t="s">
        <v>3221</v>
      </c>
      <c r="AR123" s="228" t="s">
        <v>3063</v>
      </c>
      <c r="AS123" s="242">
        <f t="shared" si="48"/>
        <v>56.61</v>
      </c>
      <c r="AT123" s="242">
        <f t="shared" si="49"/>
        <v>5.7176100000000005</v>
      </c>
      <c r="AU123" s="242">
        <v>0</v>
      </c>
      <c r="AV123" s="242">
        <v>0</v>
      </c>
      <c r="AW123" s="242">
        <f t="shared" si="50"/>
        <v>62.32761</v>
      </c>
      <c r="AX123" s="237">
        <f t="shared" si="53"/>
        <v>9</v>
      </c>
      <c r="AY123" s="242" t="s">
        <v>2736</v>
      </c>
      <c r="AZ123" s="242">
        <f t="shared" si="45"/>
        <v>6.9252900000000004</v>
      </c>
      <c r="BA123" s="242" t="s">
        <v>2734</v>
      </c>
      <c r="BB123" s="242" t="s">
        <v>2953</v>
      </c>
      <c r="BC123" s="242">
        <v>12</v>
      </c>
      <c r="BD123" s="242">
        <f t="shared" si="46"/>
        <v>83.103480000000005</v>
      </c>
      <c r="BF123" s="228" t="s">
        <v>3137</v>
      </c>
      <c r="BG123" s="227" t="s">
        <v>3040</v>
      </c>
    </row>
    <row r="124" spans="1:59" s="228" customFormat="1" ht="15" customHeight="1">
      <c r="A124" s="227">
        <v>43907</v>
      </c>
      <c r="B124" s="228" t="s">
        <v>3129</v>
      </c>
      <c r="C124" s="229" t="s">
        <v>93</v>
      </c>
      <c r="D124" s="244" t="s">
        <v>3243</v>
      </c>
      <c r="E124" s="229" t="s">
        <v>3244</v>
      </c>
      <c r="F124" s="231">
        <v>10</v>
      </c>
      <c r="G124" s="231">
        <f t="shared" si="51"/>
        <v>90</v>
      </c>
      <c r="H124" s="231">
        <v>9</v>
      </c>
      <c r="I124" s="229" t="s">
        <v>3132</v>
      </c>
      <c r="J124" s="229" t="s">
        <v>2846</v>
      </c>
      <c r="K124" s="229" t="s">
        <v>2846</v>
      </c>
      <c r="L124" s="232">
        <v>1</v>
      </c>
      <c r="M124" s="232" t="s">
        <v>64</v>
      </c>
      <c r="N124" s="231">
        <f t="shared" si="52"/>
        <v>9</v>
      </c>
      <c r="O124" s="231" t="s">
        <v>2846</v>
      </c>
      <c r="P124" s="233">
        <v>6.29</v>
      </c>
      <c r="Q124" s="233">
        <f>P124*H124</f>
        <v>56.61</v>
      </c>
      <c r="R124" s="227">
        <v>43913</v>
      </c>
      <c r="S124" s="235" t="s">
        <v>3337</v>
      </c>
      <c r="T124" s="229" t="s">
        <v>3036</v>
      </c>
      <c r="U124" s="230" t="s">
        <v>3218</v>
      </c>
      <c r="V124" s="229"/>
      <c r="W124" s="232" t="str">
        <f t="shared" si="47"/>
        <v>Yes</v>
      </c>
      <c r="X124" s="456">
        <v>9</v>
      </c>
      <c r="Y124" s="230" t="s">
        <v>3252</v>
      </c>
      <c r="Z124" s="236">
        <v>43937</v>
      </c>
      <c r="AA124" s="237"/>
      <c r="AD124" s="237"/>
      <c r="AG124" s="238">
        <v>0</v>
      </c>
      <c r="AH124" s="239"/>
      <c r="AI124" s="229"/>
      <c r="AJ124" s="237"/>
      <c r="AK124" s="241" t="e">
        <f t="shared" ca="1" si="44"/>
        <v>#NAME?</v>
      </c>
      <c r="AL124" s="235"/>
      <c r="AM124" s="229"/>
      <c r="AN124" s="229"/>
      <c r="AP124" s="228" t="s">
        <v>3343</v>
      </c>
      <c r="AQ124" s="228" t="s">
        <v>3254</v>
      </c>
      <c r="AR124" s="228" t="s">
        <v>3063</v>
      </c>
      <c r="AS124" s="242">
        <f t="shared" si="48"/>
        <v>56.61</v>
      </c>
      <c r="AT124" s="242">
        <f t="shared" si="49"/>
        <v>5.7176100000000005</v>
      </c>
      <c r="AU124" s="242">
        <v>0</v>
      </c>
      <c r="AV124" s="242">
        <v>0</v>
      </c>
      <c r="AW124" s="242">
        <f t="shared" si="50"/>
        <v>62.32761</v>
      </c>
      <c r="AX124" s="237">
        <f t="shared" si="53"/>
        <v>9</v>
      </c>
      <c r="AY124" s="242" t="s">
        <v>2736</v>
      </c>
      <c r="AZ124" s="242">
        <f t="shared" si="45"/>
        <v>6.9252900000000004</v>
      </c>
      <c r="BA124" s="242" t="s">
        <v>2734</v>
      </c>
      <c r="BB124" s="242" t="s">
        <v>2953</v>
      </c>
      <c r="BC124" s="242">
        <v>12</v>
      </c>
      <c r="BD124" s="242">
        <f t="shared" si="46"/>
        <v>83.103480000000005</v>
      </c>
      <c r="BF124" s="228" t="s">
        <v>3137</v>
      </c>
      <c r="BG124" s="227" t="s">
        <v>3040</v>
      </c>
    </row>
    <row r="125" spans="1:59" s="228" customFormat="1" ht="15" customHeight="1">
      <c r="A125" s="227">
        <v>43907</v>
      </c>
      <c r="B125" s="228" t="s">
        <v>3129</v>
      </c>
      <c r="C125" s="229" t="s">
        <v>93</v>
      </c>
      <c r="D125" s="244" t="s">
        <v>3249</v>
      </c>
      <c r="E125" s="229" t="s">
        <v>3250</v>
      </c>
      <c r="F125" s="231">
        <v>10</v>
      </c>
      <c r="G125" s="231">
        <f t="shared" si="51"/>
        <v>120</v>
      </c>
      <c r="H125" s="231">
        <v>12</v>
      </c>
      <c r="I125" s="229" t="s">
        <v>3132</v>
      </c>
      <c r="J125" s="229" t="s">
        <v>2846</v>
      </c>
      <c r="K125" s="229" t="s">
        <v>2846</v>
      </c>
      <c r="L125" s="232">
        <v>1</v>
      </c>
      <c r="M125" s="232" t="s">
        <v>64</v>
      </c>
      <c r="N125" s="231">
        <f t="shared" si="52"/>
        <v>12</v>
      </c>
      <c r="O125" s="231" t="s">
        <v>2846</v>
      </c>
      <c r="P125" s="233">
        <v>6.29</v>
      </c>
      <c r="Q125" s="234">
        <f>P125*H125</f>
        <v>75.48</v>
      </c>
      <c r="R125" s="227">
        <v>43913</v>
      </c>
      <c r="S125" s="235" t="s">
        <v>3337</v>
      </c>
      <c r="T125" s="229" t="s">
        <v>3036</v>
      </c>
      <c r="U125" s="230" t="s">
        <v>3218</v>
      </c>
      <c r="V125" s="229"/>
      <c r="W125" s="232" t="str">
        <f t="shared" si="47"/>
        <v>Yes</v>
      </c>
      <c r="X125" s="456">
        <v>12</v>
      </c>
      <c r="Y125" s="230" t="s">
        <v>3252</v>
      </c>
      <c r="Z125" s="236">
        <v>43937</v>
      </c>
      <c r="AA125" s="237"/>
      <c r="AD125" s="237"/>
      <c r="AG125" s="238">
        <v>0</v>
      </c>
      <c r="AH125" s="239"/>
      <c r="AI125" s="229"/>
      <c r="AJ125" s="237"/>
      <c r="AK125" s="241" t="e">
        <f t="shared" ca="1" si="44"/>
        <v>#NAME?</v>
      </c>
      <c r="AL125" s="235"/>
      <c r="AM125" s="229"/>
      <c r="AN125" s="229"/>
      <c r="AP125" s="228" t="s">
        <v>3342</v>
      </c>
      <c r="AQ125" s="228" t="s">
        <v>3254</v>
      </c>
      <c r="AR125" s="228" t="s">
        <v>3063</v>
      </c>
      <c r="AS125" s="242">
        <f t="shared" si="48"/>
        <v>75.48</v>
      </c>
      <c r="AT125" s="242">
        <f t="shared" si="49"/>
        <v>7.6234800000000007</v>
      </c>
      <c r="AU125" s="242">
        <v>0</v>
      </c>
      <c r="AV125" s="242">
        <v>0</v>
      </c>
      <c r="AW125" s="242">
        <f t="shared" si="50"/>
        <v>83.103480000000005</v>
      </c>
      <c r="AX125" s="237">
        <f t="shared" si="53"/>
        <v>12</v>
      </c>
      <c r="AY125" s="242" t="s">
        <v>2736</v>
      </c>
      <c r="AZ125" s="242">
        <f t="shared" si="45"/>
        <v>6.9252900000000004</v>
      </c>
      <c r="BA125" s="242" t="s">
        <v>2734</v>
      </c>
      <c r="BB125" s="242" t="s">
        <v>2953</v>
      </c>
      <c r="BC125" s="242">
        <v>12</v>
      </c>
      <c r="BD125" s="242">
        <f t="shared" si="46"/>
        <v>83.103480000000005</v>
      </c>
      <c r="BF125" s="228" t="s">
        <v>3137</v>
      </c>
      <c r="BG125" s="227" t="s">
        <v>3040</v>
      </c>
    </row>
    <row r="126" spans="1:59" s="228" customFormat="1" ht="15" customHeight="1">
      <c r="A126" s="227">
        <v>43907</v>
      </c>
      <c r="B126" s="228" t="s">
        <v>3129</v>
      </c>
      <c r="C126" s="229" t="s">
        <v>93</v>
      </c>
      <c r="D126" s="230" t="s">
        <v>3246</v>
      </c>
      <c r="E126" s="230" t="s">
        <v>3340</v>
      </c>
      <c r="F126" s="231">
        <v>10</v>
      </c>
      <c r="G126" s="231">
        <f t="shared" si="51"/>
        <v>180</v>
      </c>
      <c r="H126" s="231">
        <v>18</v>
      </c>
      <c r="I126" s="229" t="s">
        <v>3132</v>
      </c>
      <c r="J126" s="229" t="s">
        <v>2846</v>
      </c>
      <c r="K126" s="229" t="s">
        <v>2846</v>
      </c>
      <c r="L126" s="232">
        <v>1</v>
      </c>
      <c r="M126" s="232" t="s">
        <v>64</v>
      </c>
      <c r="N126" s="231">
        <f t="shared" si="52"/>
        <v>18</v>
      </c>
      <c r="O126" s="231" t="s">
        <v>2846</v>
      </c>
      <c r="P126" s="233">
        <v>6.29</v>
      </c>
      <c r="Q126" s="233">
        <f>P126*H126</f>
        <v>113.22</v>
      </c>
      <c r="R126" s="227">
        <v>43913</v>
      </c>
      <c r="S126" s="235" t="s">
        <v>3337</v>
      </c>
      <c r="T126" s="229" t="s">
        <v>3036</v>
      </c>
      <c r="U126" s="230" t="s">
        <v>3218</v>
      </c>
      <c r="V126" s="229"/>
      <c r="W126" s="232" t="str">
        <f t="shared" si="47"/>
        <v>Yes</v>
      </c>
      <c r="X126" s="456">
        <v>18</v>
      </c>
      <c r="Y126" s="230" t="s">
        <v>3252</v>
      </c>
      <c r="Z126" s="236">
        <v>43937</v>
      </c>
      <c r="AA126" s="237"/>
      <c r="AD126" s="237"/>
      <c r="AG126" s="238">
        <v>0</v>
      </c>
      <c r="AH126" s="239"/>
      <c r="AI126" s="229"/>
      <c r="AJ126" s="237"/>
      <c r="AK126" s="241" t="e">
        <f t="shared" ca="1" si="44"/>
        <v>#NAME?</v>
      </c>
      <c r="AL126" s="235"/>
      <c r="AM126" s="229"/>
      <c r="AN126" s="229"/>
      <c r="AP126" s="228" t="s">
        <v>3341</v>
      </c>
      <c r="AQ126" s="228" t="s">
        <v>3254</v>
      </c>
      <c r="AR126" s="228" t="s">
        <v>3063</v>
      </c>
      <c r="AS126" s="242">
        <f t="shared" si="48"/>
        <v>113.22</v>
      </c>
      <c r="AT126" s="242">
        <f t="shared" si="49"/>
        <v>11.435220000000001</v>
      </c>
      <c r="AU126" s="242">
        <v>0</v>
      </c>
      <c r="AV126" s="242">
        <v>0</v>
      </c>
      <c r="AW126" s="242">
        <f t="shared" si="50"/>
        <v>124.65522</v>
      </c>
      <c r="AX126" s="237">
        <f t="shared" si="53"/>
        <v>18</v>
      </c>
      <c r="AY126" s="242" t="s">
        <v>2736</v>
      </c>
      <c r="AZ126" s="242">
        <f t="shared" si="45"/>
        <v>6.9252900000000004</v>
      </c>
      <c r="BA126" s="242" t="s">
        <v>2734</v>
      </c>
      <c r="BB126" s="242" t="s">
        <v>2953</v>
      </c>
      <c r="BC126" s="242">
        <v>12</v>
      </c>
      <c r="BD126" s="242">
        <f t="shared" si="46"/>
        <v>83.103480000000005</v>
      </c>
      <c r="BF126" s="228" t="s">
        <v>3137</v>
      </c>
      <c r="BG126" s="227" t="s">
        <v>3040</v>
      </c>
    </row>
    <row r="127" spans="1:59" s="228" customFormat="1" ht="15" customHeight="1">
      <c r="A127" s="227">
        <v>43907</v>
      </c>
      <c r="B127" s="228" t="s">
        <v>3129</v>
      </c>
      <c r="C127" s="229" t="s">
        <v>95</v>
      </c>
      <c r="D127" s="230" t="s">
        <v>3231</v>
      </c>
      <c r="E127" s="230" t="s">
        <v>3232</v>
      </c>
      <c r="F127" s="231" t="s">
        <v>2846</v>
      </c>
      <c r="G127" s="231" t="s">
        <v>2846</v>
      </c>
      <c r="H127" s="231">
        <v>200</v>
      </c>
      <c r="I127" s="229" t="s">
        <v>3157</v>
      </c>
      <c r="J127" s="229">
        <v>6</v>
      </c>
      <c r="K127" s="229" t="s">
        <v>2781</v>
      </c>
      <c r="L127" s="232">
        <v>18</v>
      </c>
      <c r="M127" s="232" t="s">
        <v>2953</v>
      </c>
      <c r="N127" s="231">
        <f>H127*J127*L127</f>
        <v>21600</v>
      </c>
      <c r="O127" s="231">
        <f>J127*L127</f>
        <v>108</v>
      </c>
      <c r="P127" s="233">
        <v>27.57</v>
      </c>
      <c r="Q127" s="233">
        <f>P127*L127</f>
        <v>496.26</v>
      </c>
      <c r="R127" s="227">
        <v>43908</v>
      </c>
      <c r="S127" s="235" t="s">
        <v>3217</v>
      </c>
      <c r="T127" s="229" t="s">
        <v>3036</v>
      </c>
      <c r="U127" s="230" t="s">
        <v>3218</v>
      </c>
      <c r="V127" s="229"/>
      <c r="W127" s="232" t="str">
        <f t="shared" si="47"/>
        <v>Yes</v>
      </c>
      <c r="X127" s="456">
        <v>18</v>
      </c>
      <c r="Y127" s="230" t="s">
        <v>3219</v>
      </c>
      <c r="Z127" s="236">
        <v>43914</v>
      </c>
      <c r="AA127" s="237"/>
      <c r="AB127" s="236"/>
      <c r="AC127" s="236"/>
      <c r="AD127" s="237"/>
      <c r="AE127" s="236"/>
      <c r="AF127" s="236"/>
      <c r="AG127" s="238">
        <v>0</v>
      </c>
      <c r="AH127" s="239"/>
      <c r="AI127" s="240"/>
      <c r="AJ127" s="237"/>
      <c r="AK127" s="241" t="e">
        <f t="shared" ca="1" si="44"/>
        <v>#NAME?</v>
      </c>
      <c r="AL127" s="235"/>
      <c r="AM127" s="229"/>
      <c r="AN127" s="229"/>
      <c r="AP127" s="228" t="s">
        <v>3233</v>
      </c>
      <c r="AQ127" s="228" t="s">
        <v>3221</v>
      </c>
      <c r="AR127" s="228" t="s">
        <v>3063</v>
      </c>
      <c r="AS127" s="242">
        <f t="shared" si="48"/>
        <v>496.26</v>
      </c>
      <c r="AT127" s="242">
        <f t="shared" si="49"/>
        <v>50.122260000000004</v>
      </c>
      <c r="AU127" s="242">
        <v>0</v>
      </c>
      <c r="AV127" s="242">
        <v>0</v>
      </c>
      <c r="AW127" s="242">
        <f t="shared" si="50"/>
        <v>546.38225999999997</v>
      </c>
      <c r="AX127" s="237">
        <f>+O127</f>
        <v>108</v>
      </c>
      <c r="AY127" s="242" t="s">
        <v>2781</v>
      </c>
      <c r="AZ127" s="242">
        <f t="shared" si="45"/>
        <v>5.0590950000000001</v>
      </c>
      <c r="BA127" s="242" t="s">
        <v>2779</v>
      </c>
      <c r="BB127" s="242" t="s">
        <v>2953</v>
      </c>
      <c r="BC127" s="242">
        <v>12</v>
      </c>
      <c r="BD127" s="242">
        <f t="shared" si="46"/>
        <v>60.709140000000005</v>
      </c>
      <c r="BF127" s="228" t="s">
        <v>3162</v>
      </c>
      <c r="BG127" s="227" t="s">
        <v>3040</v>
      </c>
    </row>
    <row r="128" spans="1:59" s="228" customFormat="1" ht="15" customHeight="1">
      <c r="A128" s="227">
        <v>43907</v>
      </c>
      <c r="B128" s="228" t="s">
        <v>3129</v>
      </c>
      <c r="C128" s="229" t="s">
        <v>93</v>
      </c>
      <c r="D128" s="244" t="s">
        <v>3249</v>
      </c>
      <c r="E128" s="229" t="s">
        <v>3250</v>
      </c>
      <c r="F128" s="231">
        <v>10</v>
      </c>
      <c r="G128" s="231">
        <f>F128*H128</f>
        <v>380</v>
      </c>
      <c r="H128" s="231">
        <v>38</v>
      </c>
      <c r="I128" s="229" t="s">
        <v>3132</v>
      </c>
      <c r="J128" s="229" t="s">
        <v>2846</v>
      </c>
      <c r="K128" s="229" t="s">
        <v>2846</v>
      </c>
      <c r="L128" s="232">
        <v>1</v>
      </c>
      <c r="M128" s="232" t="s">
        <v>64</v>
      </c>
      <c r="N128" s="231">
        <f>H128</f>
        <v>38</v>
      </c>
      <c r="O128" s="231" t="s">
        <v>2846</v>
      </c>
      <c r="P128" s="233">
        <v>6.29</v>
      </c>
      <c r="Q128" s="234">
        <f>P128*H128</f>
        <v>239.02</v>
      </c>
      <c r="R128" s="227">
        <v>43913</v>
      </c>
      <c r="S128" s="235" t="s">
        <v>3337</v>
      </c>
      <c r="T128" s="229" t="s">
        <v>3036</v>
      </c>
      <c r="U128" s="230" t="s">
        <v>3218</v>
      </c>
      <c r="V128" s="229"/>
      <c r="W128" s="232" t="str">
        <f t="shared" si="47"/>
        <v>Yes</v>
      </c>
      <c r="X128" s="456">
        <v>38</v>
      </c>
      <c r="Y128" s="230" t="s">
        <v>3252</v>
      </c>
      <c r="Z128" s="236">
        <v>43937</v>
      </c>
      <c r="AA128" s="237"/>
      <c r="AD128" s="237"/>
      <c r="AG128" s="238">
        <v>0</v>
      </c>
      <c r="AH128" s="239"/>
      <c r="AI128" s="229"/>
      <c r="AJ128" s="237"/>
      <c r="AK128" s="241" t="e">
        <f t="shared" ca="1" si="44"/>
        <v>#NAME?</v>
      </c>
      <c r="AL128" s="235"/>
      <c r="AM128" s="229"/>
      <c r="AN128" s="229"/>
      <c r="AP128" s="228" t="s">
        <v>3339</v>
      </c>
      <c r="AQ128" s="228" t="s">
        <v>3254</v>
      </c>
      <c r="AR128" s="228" t="s">
        <v>3063</v>
      </c>
      <c r="AS128" s="242">
        <f t="shared" si="48"/>
        <v>239.02</v>
      </c>
      <c r="AT128" s="242">
        <f t="shared" si="49"/>
        <v>24.141020000000001</v>
      </c>
      <c r="AU128" s="242">
        <v>0</v>
      </c>
      <c r="AV128" s="242">
        <v>0</v>
      </c>
      <c r="AW128" s="242">
        <f t="shared" si="50"/>
        <v>263.16102000000001</v>
      </c>
      <c r="AX128" s="237">
        <f>+N128</f>
        <v>38</v>
      </c>
      <c r="AY128" s="242" t="s">
        <v>2736</v>
      </c>
      <c r="AZ128" s="242">
        <f t="shared" si="45"/>
        <v>6.9252900000000004</v>
      </c>
      <c r="BA128" s="242" t="s">
        <v>2734</v>
      </c>
      <c r="BB128" s="242" t="s">
        <v>2953</v>
      </c>
      <c r="BC128" s="242">
        <v>12</v>
      </c>
      <c r="BD128" s="242">
        <f t="shared" si="46"/>
        <v>83.103480000000005</v>
      </c>
      <c r="BF128" s="228" t="s">
        <v>3137</v>
      </c>
      <c r="BG128" s="227" t="s">
        <v>3040</v>
      </c>
    </row>
    <row r="129" spans="1:59" s="228" customFormat="1" ht="15" customHeight="1">
      <c r="A129" s="227">
        <v>43907</v>
      </c>
      <c r="B129" s="228" t="s">
        <v>3129</v>
      </c>
      <c r="C129" s="229" t="s">
        <v>95</v>
      </c>
      <c r="D129" s="230" t="s">
        <v>3228</v>
      </c>
      <c r="E129" s="230" t="s">
        <v>3229</v>
      </c>
      <c r="F129" s="231" t="s">
        <v>2846</v>
      </c>
      <c r="G129" s="231" t="s">
        <v>2846</v>
      </c>
      <c r="H129" s="231">
        <v>200</v>
      </c>
      <c r="I129" s="229" t="s">
        <v>3157</v>
      </c>
      <c r="J129" s="229">
        <v>12</v>
      </c>
      <c r="K129" s="229" t="s">
        <v>2781</v>
      </c>
      <c r="L129" s="232">
        <v>39</v>
      </c>
      <c r="M129" s="232" t="s">
        <v>2953</v>
      </c>
      <c r="N129" s="231">
        <f>H129*J129*L129</f>
        <v>93600</v>
      </c>
      <c r="O129" s="231">
        <f t="shared" ref="O129:O138" si="54">J129*L129</f>
        <v>468</v>
      </c>
      <c r="P129" s="233">
        <v>28.76</v>
      </c>
      <c r="Q129" s="233">
        <f>P129*L129</f>
        <v>1121.6400000000001</v>
      </c>
      <c r="R129" s="227">
        <v>43908</v>
      </c>
      <c r="S129" s="235" t="s">
        <v>3217</v>
      </c>
      <c r="T129" s="229" t="s">
        <v>3036</v>
      </c>
      <c r="U129" s="230" t="s">
        <v>3218</v>
      </c>
      <c r="V129" s="229"/>
      <c r="W129" s="232" t="str">
        <f t="shared" si="47"/>
        <v>Yes</v>
      </c>
      <c r="X129" s="456">
        <v>39</v>
      </c>
      <c r="Y129" s="230" t="s">
        <v>3219</v>
      </c>
      <c r="Z129" s="236">
        <v>43914</v>
      </c>
      <c r="AA129" s="237"/>
      <c r="AB129" s="236"/>
      <c r="AC129" s="236"/>
      <c r="AD129" s="237"/>
      <c r="AE129" s="236"/>
      <c r="AF129" s="236"/>
      <c r="AG129" s="238">
        <v>0</v>
      </c>
      <c r="AH129" s="239"/>
      <c r="AI129" s="240"/>
      <c r="AJ129" s="237"/>
      <c r="AK129" s="241" t="e">
        <f t="shared" ca="1" si="44"/>
        <v>#NAME?</v>
      </c>
      <c r="AL129" s="235"/>
      <c r="AM129" s="229"/>
      <c r="AN129" s="229"/>
      <c r="AP129" s="228" t="s">
        <v>3230</v>
      </c>
      <c r="AQ129" s="228" t="s">
        <v>3221</v>
      </c>
      <c r="AR129" s="228" t="s">
        <v>3063</v>
      </c>
      <c r="AS129" s="242">
        <f t="shared" si="48"/>
        <v>1121.6400000000001</v>
      </c>
      <c r="AT129" s="242">
        <f t="shared" si="49"/>
        <v>113.28564000000001</v>
      </c>
      <c r="AU129" s="242">
        <v>0</v>
      </c>
      <c r="AV129" s="242">
        <v>0</v>
      </c>
      <c r="AW129" s="242">
        <f t="shared" si="50"/>
        <v>1234.9256400000002</v>
      </c>
      <c r="AX129" s="237">
        <f>+O129</f>
        <v>468</v>
      </c>
      <c r="AY129" s="242" t="s">
        <v>2781</v>
      </c>
      <c r="AZ129" s="242">
        <f t="shared" si="45"/>
        <v>2.6387300000000002</v>
      </c>
      <c r="BA129" s="242" t="s">
        <v>2779</v>
      </c>
      <c r="BB129" s="242" t="s">
        <v>2953</v>
      </c>
      <c r="BC129" s="242">
        <v>12</v>
      </c>
      <c r="BD129" s="242">
        <f t="shared" si="46"/>
        <v>31.664760000000001</v>
      </c>
      <c r="BF129" s="228" t="s">
        <v>3162</v>
      </c>
      <c r="BG129" s="227" t="s">
        <v>3040</v>
      </c>
    </row>
    <row r="130" spans="1:59" s="228" customFormat="1" ht="15" customHeight="1">
      <c r="A130" s="227">
        <v>43907</v>
      </c>
      <c r="B130" s="228" t="s">
        <v>3129</v>
      </c>
      <c r="C130" s="229" t="s">
        <v>95</v>
      </c>
      <c r="D130" s="230" t="s">
        <v>3225</v>
      </c>
      <c r="E130" s="244" t="s">
        <v>3226</v>
      </c>
      <c r="F130" s="231" t="s">
        <v>2846</v>
      </c>
      <c r="G130" s="231" t="s">
        <v>2846</v>
      </c>
      <c r="H130" s="231">
        <v>200</v>
      </c>
      <c r="I130" s="229" t="s">
        <v>3157</v>
      </c>
      <c r="J130" s="229">
        <v>12</v>
      </c>
      <c r="K130" s="229" t="s">
        <v>2781</v>
      </c>
      <c r="L130" s="232">
        <v>59</v>
      </c>
      <c r="M130" s="232" t="s">
        <v>2953</v>
      </c>
      <c r="N130" s="231">
        <f>H130*J130*L130</f>
        <v>141600</v>
      </c>
      <c r="O130" s="231">
        <f t="shared" si="54"/>
        <v>708</v>
      </c>
      <c r="P130" s="233">
        <v>44.33</v>
      </c>
      <c r="Q130" s="233">
        <f>P130*L130</f>
        <v>2615.4699999999998</v>
      </c>
      <c r="R130" s="227">
        <v>43908</v>
      </c>
      <c r="S130" s="235" t="s">
        <v>3217</v>
      </c>
      <c r="T130" s="229" t="s">
        <v>3036</v>
      </c>
      <c r="U130" s="230" t="s">
        <v>3218</v>
      </c>
      <c r="V130" s="229"/>
      <c r="W130" s="232" t="str">
        <f t="shared" si="47"/>
        <v>Yes</v>
      </c>
      <c r="X130" s="456">
        <v>59</v>
      </c>
      <c r="Y130" s="230" t="s">
        <v>3219</v>
      </c>
      <c r="Z130" s="236">
        <v>43914</v>
      </c>
      <c r="AA130" s="237"/>
      <c r="AB130" s="236"/>
      <c r="AC130" s="236"/>
      <c r="AD130" s="237"/>
      <c r="AE130" s="236"/>
      <c r="AF130" s="236"/>
      <c r="AG130" s="238">
        <v>0</v>
      </c>
      <c r="AH130" s="239"/>
      <c r="AI130" s="240"/>
      <c r="AJ130" s="237"/>
      <c r="AK130" s="241" t="e">
        <f t="shared" ca="1" si="44"/>
        <v>#NAME?</v>
      </c>
      <c r="AL130" s="235"/>
      <c r="AM130" s="229"/>
      <c r="AN130" s="229"/>
      <c r="AP130" s="228" t="s">
        <v>3227</v>
      </c>
      <c r="AQ130" s="228" t="s">
        <v>3221</v>
      </c>
      <c r="AR130" s="228" t="s">
        <v>3063</v>
      </c>
      <c r="AS130" s="242">
        <f t="shared" si="48"/>
        <v>2615.4699999999998</v>
      </c>
      <c r="AT130" s="242">
        <f t="shared" si="49"/>
        <v>264.16246999999998</v>
      </c>
      <c r="AU130" s="242">
        <v>0</v>
      </c>
      <c r="AV130" s="242">
        <v>0</v>
      </c>
      <c r="AW130" s="242">
        <f t="shared" si="50"/>
        <v>2879.6324699999996</v>
      </c>
      <c r="AX130" s="237">
        <f>+O130</f>
        <v>708</v>
      </c>
      <c r="AY130" s="242" t="s">
        <v>2781</v>
      </c>
      <c r="AZ130" s="242">
        <f t="shared" si="45"/>
        <v>4.0672774999999994</v>
      </c>
      <c r="BA130" s="242" t="s">
        <v>2779</v>
      </c>
      <c r="BB130" s="242" t="s">
        <v>2953</v>
      </c>
      <c r="BC130" s="242">
        <v>12</v>
      </c>
      <c r="BD130" s="242">
        <f t="shared" si="46"/>
        <v>48.807329999999993</v>
      </c>
      <c r="BF130" s="228" t="s">
        <v>3162</v>
      </c>
      <c r="BG130" s="227" t="s">
        <v>3040</v>
      </c>
    </row>
    <row r="131" spans="1:59" s="228" customFormat="1" ht="15" customHeight="1">
      <c r="A131" s="227">
        <v>43907</v>
      </c>
      <c r="B131" s="228" t="s">
        <v>3310</v>
      </c>
      <c r="C131" s="229" t="s">
        <v>78</v>
      </c>
      <c r="D131" s="230" t="s">
        <v>3318</v>
      </c>
      <c r="E131" s="229" t="s">
        <v>3319</v>
      </c>
      <c r="F131" s="231" t="s">
        <v>2846</v>
      </c>
      <c r="G131" s="231" t="s">
        <v>2846</v>
      </c>
      <c r="H131" s="231">
        <v>75</v>
      </c>
      <c r="I131" s="229" t="s">
        <v>3313</v>
      </c>
      <c r="J131" s="229">
        <v>60</v>
      </c>
      <c r="K131" s="229" t="s">
        <v>3314</v>
      </c>
      <c r="L131" s="232">
        <v>1</v>
      </c>
      <c r="M131" s="232" t="s">
        <v>64</v>
      </c>
      <c r="N131" s="231">
        <f>H131*J131</f>
        <v>4500</v>
      </c>
      <c r="O131" s="231">
        <f t="shared" si="54"/>
        <v>60</v>
      </c>
      <c r="P131" s="233">
        <v>7.22</v>
      </c>
      <c r="Q131" s="233">
        <f>P131*J131</f>
        <v>433.2</v>
      </c>
      <c r="R131" s="227">
        <v>43910</v>
      </c>
      <c r="S131" s="235" t="s">
        <v>3263</v>
      </c>
      <c r="T131" s="229" t="s">
        <v>3036</v>
      </c>
      <c r="U131" s="230" t="s">
        <v>3315</v>
      </c>
      <c r="V131" s="229"/>
      <c r="W131" s="232" t="str">
        <f t="shared" si="47"/>
        <v>Yes</v>
      </c>
      <c r="X131" s="456">
        <v>60</v>
      </c>
      <c r="Y131" s="230">
        <v>118889</v>
      </c>
      <c r="Z131" s="236">
        <v>43969</v>
      </c>
      <c r="AA131" s="237"/>
      <c r="AD131" s="237"/>
      <c r="AG131" s="238">
        <v>0</v>
      </c>
      <c r="AH131" s="239"/>
      <c r="AI131" s="229"/>
      <c r="AJ131" s="237"/>
      <c r="AK131" s="241" t="e">
        <f t="shared" ca="1" si="44"/>
        <v>#NAME?</v>
      </c>
      <c r="AL131" s="235"/>
      <c r="AM131" s="229"/>
      <c r="AN131" s="229"/>
      <c r="AP131" s="228" t="s">
        <v>3320</v>
      </c>
      <c r="AQ131" s="228" t="s">
        <v>3317</v>
      </c>
      <c r="AR131" s="228" t="s">
        <v>3063</v>
      </c>
      <c r="AS131" s="242">
        <f t="shared" si="48"/>
        <v>433.2</v>
      </c>
      <c r="AT131" s="242">
        <f t="shared" si="49"/>
        <v>43.7532</v>
      </c>
      <c r="AU131" s="242">
        <v>0</v>
      </c>
      <c r="AV131" s="242">
        <v>0</v>
      </c>
      <c r="AW131" s="242">
        <f t="shared" si="50"/>
        <v>476.95319999999998</v>
      </c>
      <c r="AX131" s="237">
        <v>60</v>
      </c>
      <c r="AY131" s="237"/>
      <c r="AZ131" s="242">
        <f t="shared" si="45"/>
        <v>7.9492199999999995</v>
      </c>
      <c r="BA131" s="242" t="s">
        <v>2721</v>
      </c>
      <c r="BB131" s="237" t="s">
        <v>2739</v>
      </c>
      <c r="BC131" s="242">
        <v>1</v>
      </c>
      <c r="BD131" s="242">
        <f t="shared" si="46"/>
        <v>7.9492199999999995</v>
      </c>
      <c r="BF131" s="228" t="s">
        <v>3137</v>
      </c>
      <c r="BG131" s="227" t="s">
        <v>3040</v>
      </c>
    </row>
    <row r="132" spans="1:59" s="228" customFormat="1" ht="15" customHeight="1">
      <c r="A132" s="227">
        <v>43907</v>
      </c>
      <c r="B132" s="228" t="s">
        <v>3129</v>
      </c>
      <c r="C132" s="229" t="s">
        <v>95</v>
      </c>
      <c r="D132" s="230" t="s">
        <v>3222</v>
      </c>
      <c r="E132" s="230" t="s">
        <v>3223</v>
      </c>
      <c r="F132" s="231" t="s">
        <v>2846</v>
      </c>
      <c r="G132" s="231" t="s">
        <v>2846</v>
      </c>
      <c r="H132" s="231">
        <v>240</v>
      </c>
      <c r="I132" s="229" t="s">
        <v>3157</v>
      </c>
      <c r="J132" s="229">
        <v>10</v>
      </c>
      <c r="K132" s="229" t="s">
        <v>2781</v>
      </c>
      <c r="L132" s="232">
        <v>72</v>
      </c>
      <c r="M132" s="232" t="s">
        <v>2953</v>
      </c>
      <c r="N132" s="231">
        <f>H132*J132*L132</f>
        <v>172800</v>
      </c>
      <c r="O132" s="231">
        <f t="shared" si="54"/>
        <v>720</v>
      </c>
      <c r="P132" s="233">
        <v>42</v>
      </c>
      <c r="Q132" s="233">
        <f>P132*L132</f>
        <v>3024</v>
      </c>
      <c r="R132" s="227">
        <v>43908</v>
      </c>
      <c r="S132" s="235" t="s">
        <v>3217</v>
      </c>
      <c r="T132" s="229" t="s">
        <v>3036</v>
      </c>
      <c r="U132" s="230" t="s">
        <v>3218</v>
      </c>
      <c r="V132" s="229"/>
      <c r="W132" s="232" t="str">
        <f t="shared" si="47"/>
        <v>Yes</v>
      </c>
      <c r="X132" s="456">
        <v>72</v>
      </c>
      <c r="Y132" s="230" t="s">
        <v>3219</v>
      </c>
      <c r="Z132" s="236">
        <v>43914</v>
      </c>
      <c r="AA132" s="237"/>
      <c r="AB132" s="236"/>
      <c r="AC132" s="236"/>
      <c r="AD132" s="237"/>
      <c r="AE132" s="236"/>
      <c r="AF132" s="236"/>
      <c r="AG132" s="238">
        <v>0</v>
      </c>
      <c r="AH132" s="239"/>
      <c r="AI132" s="240"/>
      <c r="AJ132" s="237"/>
      <c r="AK132" s="241" t="e">
        <f t="shared" ca="1" si="44"/>
        <v>#NAME?</v>
      </c>
      <c r="AL132" s="235"/>
      <c r="AM132" s="229"/>
      <c r="AN132" s="229"/>
      <c r="AP132" s="228" t="s">
        <v>3224</v>
      </c>
      <c r="AQ132" s="228" t="s">
        <v>3221</v>
      </c>
      <c r="AR132" s="228" t="s">
        <v>3063</v>
      </c>
      <c r="AS132" s="242">
        <f t="shared" si="48"/>
        <v>3024</v>
      </c>
      <c r="AT132" s="242">
        <f t="shared" si="49"/>
        <v>305.42400000000004</v>
      </c>
      <c r="AU132" s="242">
        <v>0</v>
      </c>
      <c r="AV132" s="242">
        <v>0</v>
      </c>
      <c r="AW132" s="242">
        <f t="shared" si="50"/>
        <v>3329.424</v>
      </c>
      <c r="AX132" s="237">
        <f>+O132</f>
        <v>720</v>
      </c>
      <c r="AY132" s="242" t="s">
        <v>2781</v>
      </c>
      <c r="AZ132" s="242">
        <f t="shared" si="45"/>
        <v>4.6242000000000001</v>
      </c>
      <c r="BA132" s="242" t="s">
        <v>2779</v>
      </c>
      <c r="BB132" s="242" t="s">
        <v>2953</v>
      </c>
      <c r="BC132" s="242">
        <v>12</v>
      </c>
      <c r="BD132" s="242">
        <f t="shared" si="46"/>
        <v>55.490400000000001</v>
      </c>
      <c r="BF132" s="228" t="s">
        <v>3162</v>
      </c>
      <c r="BG132" s="227" t="s">
        <v>3040</v>
      </c>
    </row>
    <row r="133" spans="1:59" s="228" customFormat="1" ht="15" customHeight="1">
      <c r="A133" s="227">
        <v>43907</v>
      </c>
      <c r="B133" s="228" t="s">
        <v>3056</v>
      </c>
      <c r="C133" s="229" t="s">
        <v>3390</v>
      </c>
      <c r="D133" s="230" t="s">
        <v>3519</v>
      </c>
      <c r="E133" s="229">
        <v>8511</v>
      </c>
      <c r="F133" s="231" t="s">
        <v>2846</v>
      </c>
      <c r="G133" s="231" t="s">
        <v>2846</v>
      </c>
      <c r="H133" s="231">
        <v>10</v>
      </c>
      <c r="I133" s="229" t="s">
        <v>1269</v>
      </c>
      <c r="J133" s="229">
        <v>96</v>
      </c>
      <c r="K133" s="229" t="s">
        <v>2733</v>
      </c>
      <c r="L133" s="232">
        <v>1</v>
      </c>
      <c r="M133" s="232" t="s">
        <v>64</v>
      </c>
      <c r="N133" s="231">
        <f>H133*J133*L133</f>
        <v>960</v>
      </c>
      <c r="O133" s="231">
        <f t="shared" si="54"/>
        <v>96</v>
      </c>
      <c r="P133" s="233">
        <v>20.95</v>
      </c>
      <c r="Q133" s="233">
        <f>P133*L133*J133</f>
        <v>2011.1999999999998</v>
      </c>
      <c r="R133" s="227" t="s">
        <v>2970</v>
      </c>
      <c r="S133" s="235" t="s">
        <v>3263</v>
      </c>
      <c r="T133" s="229" t="s">
        <v>3036</v>
      </c>
      <c r="U133" s="230" t="s">
        <v>3515</v>
      </c>
      <c r="V133" s="229"/>
      <c r="W133" s="232" t="str">
        <f t="shared" si="47"/>
        <v>Yes</v>
      </c>
      <c r="X133" s="456">
        <v>96</v>
      </c>
      <c r="Y133" s="230" t="s">
        <v>3516</v>
      </c>
      <c r="Z133" s="236">
        <v>43915</v>
      </c>
      <c r="AA133" s="237"/>
      <c r="AB133" s="236"/>
      <c r="AC133" s="236"/>
      <c r="AD133" s="237"/>
      <c r="AE133" s="236"/>
      <c r="AF133" s="236"/>
      <c r="AG133" s="238">
        <v>0</v>
      </c>
      <c r="AH133" s="248"/>
      <c r="AI133" s="229"/>
      <c r="AJ133" s="237"/>
      <c r="AK133" s="241" t="e">
        <f t="shared" ca="1" si="44"/>
        <v>#NAME?</v>
      </c>
      <c r="AL133" s="235"/>
      <c r="AM133" s="229"/>
      <c r="AN133" s="229"/>
      <c r="AP133" s="228" t="s">
        <v>3520</v>
      </c>
      <c r="AQ133" s="228" t="s">
        <v>3518</v>
      </c>
      <c r="AR133" s="228" t="s">
        <v>3063</v>
      </c>
      <c r="AS133" s="242">
        <f t="shared" si="48"/>
        <v>2011.1999999999998</v>
      </c>
      <c r="AT133" s="242">
        <f t="shared" si="49"/>
        <v>203.13120000000001</v>
      </c>
      <c r="AU133" s="242">
        <v>0</v>
      </c>
      <c r="AV133" s="242">
        <v>0</v>
      </c>
      <c r="AW133" s="242">
        <f t="shared" si="50"/>
        <v>2214.3311999999996</v>
      </c>
      <c r="AX133" s="237">
        <f>+N133</f>
        <v>960</v>
      </c>
      <c r="AY133" s="242" t="s">
        <v>2739</v>
      </c>
      <c r="AZ133" s="242">
        <f t="shared" si="45"/>
        <v>2.3065949999999997</v>
      </c>
      <c r="BA133" s="242" t="s">
        <v>2742</v>
      </c>
      <c r="BB133" s="242" t="s">
        <v>2733</v>
      </c>
      <c r="BC133" s="242">
        <v>10</v>
      </c>
      <c r="BD133" s="242">
        <f t="shared" si="46"/>
        <v>23.065949999999997</v>
      </c>
      <c r="BF133" s="228" t="s">
        <v>36</v>
      </c>
      <c r="BG133" s="227" t="s">
        <v>3040</v>
      </c>
    </row>
    <row r="134" spans="1:59" s="228" customFormat="1" ht="15" customHeight="1">
      <c r="A134" s="227">
        <v>43907</v>
      </c>
      <c r="B134" s="228" t="s">
        <v>3129</v>
      </c>
      <c r="C134" s="229" t="s">
        <v>95</v>
      </c>
      <c r="D134" s="230" t="s">
        <v>3215</v>
      </c>
      <c r="E134" s="244" t="s">
        <v>3216</v>
      </c>
      <c r="F134" s="231" t="s">
        <v>2846</v>
      </c>
      <c r="G134" s="231" t="s">
        <v>2846</v>
      </c>
      <c r="H134" s="231">
        <v>200</v>
      </c>
      <c r="I134" s="229" t="s">
        <v>3157</v>
      </c>
      <c r="J134" s="229">
        <v>12</v>
      </c>
      <c r="K134" s="229" t="s">
        <v>2781</v>
      </c>
      <c r="L134" s="232">
        <v>132</v>
      </c>
      <c r="M134" s="232" t="s">
        <v>2953</v>
      </c>
      <c r="N134" s="231">
        <f>L134*J134*H134</f>
        <v>316800</v>
      </c>
      <c r="O134" s="231">
        <f t="shared" si="54"/>
        <v>1584</v>
      </c>
      <c r="P134" s="233">
        <v>43</v>
      </c>
      <c r="Q134" s="233">
        <f>P134*L134</f>
        <v>5676</v>
      </c>
      <c r="R134" s="227">
        <v>43908</v>
      </c>
      <c r="S134" s="235" t="s">
        <v>3217</v>
      </c>
      <c r="T134" s="229" t="s">
        <v>3036</v>
      </c>
      <c r="U134" s="230" t="s">
        <v>3218</v>
      </c>
      <c r="V134" s="229"/>
      <c r="W134" s="232" t="str">
        <f t="shared" si="47"/>
        <v>Yes</v>
      </c>
      <c r="X134" s="456">
        <v>132</v>
      </c>
      <c r="Y134" s="230" t="s">
        <v>3219</v>
      </c>
      <c r="Z134" s="236">
        <v>43914</v>
      </c>
      <c r="AA134" s="237"/>
      <c r="AB134" s="236"/>
      <c r="AC134" s="236"/>
      <c r="AD134" s="237"/>
      <c r="AE134" s="236"/>
      <c r="AF134" s="236"/>
      <c r="AG134" s="238">
        <v>0</v>
      </c>
      <c r="AH134" s="239"/>
      <c r="AI134" s="240"/>
      <c r="AJ134" s="237"/>
      <c r="AK134" s="241" t="e">
        <f t="shared" ca="1" si="44"/>
        <v>#NAME?</v>
      </c>
      <c r="AL134" s="235"/>
      <c r="AM134" s="229"/>
      <c r="AN134" s="229"/>
      <c r="AP134" s="228" t="s">
        <v>3220</v>
      </c>
      <c r="AQ134" s="228" t="s">
        <v>3221</v>
      </c>
      <c r="AR134" s="228" t="s">
        <v>3063</v>
      </c>
      <c r="AS134" s="242">
        <f t="shared" si="48"/>
        <v>5676</v>
      </c>
      <c r="AT134" s="242">
        <f t="shared" si="49"/>
        <v>573.27600000000007</v>
      </c>
      <c r="AU134" s="242">
        <v>0</v>
      </c>
      <c r="AV134" s="242">
        <v>0</v>
      </c>
      <c r="AW134" s="242">
        <f t="shared" si="50"/>
        <v>6249.2759999999998</v>
      </c>
      <c r="AX134" s="237">
        <f>+O134</f>
        <v>1584</v>
      </c>
      <c r="AY134" s="242" t="s">
        <v>2781</v>
      </c>
      <c r="AZ134" s="242">
        <f t="shared" si="45"/>
        <v>3.9452499999999997</v>
      </c>
      <c r="BA134" s="242" t="s">
        <v>2779</v>
      </c>
      <c r="BB134" s="242" t="s">
        <v>2953</v>
      </c>
      <c r="BC134" s="242">
        <v>12</v>
      </c>
      <c r="BD134" s="242">
        <f t="shared" si="46"/>
        <v>47.342999999999996</v>
      </c>
      <c r="BF134" s="228" t="s">
        <v>3162</v>
      </c>
      <c r="BG134" s="227" t="s">
        <v>3040</v>
      </c>
    </row>
    <row r="135" spans="1:59" s="228" customFormat="1" ht="15" customHeight="1">
      <c r="A135" s="227">
        <v>43907</v>
      </c>
      <c r="B135" s="228" t="s">
        <v>3056</v>
      </c>
      <c r="C135" s="229" t="s">
        <v>3384</v>
      </c>
      <c r="D135" s="230" t="s">
        <v>3514</v>
      </c>
      <c r="E135" s="229">
        <v>8210</v>
      </c>
      <c r="F135" s="231" t="s">
        <v>2846</v>
      </c>
      <c r="G135" s="231" t="s">
        <v>2846</v>
      </c>
      <c r="H135" s="231">
        <v>20</v>
      </c>
      <c r="I135" s="229" t="s">
        <v>1269</v>
      </c>
      <c r="J135" s="229">
        <v>192</v>
      </c>
      <c r="K135" s="229" t="s">
        <v>2733</v>
      </c>
      <c r="L135" s="232">
        <v>1</v>
      </c>
      <c r="M135" s="232" t="s">
        <v>64</v>
      </c>
      <c r="N135" s="231">
        <f>H135*J135*L135</f>
        <v>3840</v>
      </c>
      <c r="O135" s="231">
        <f t="shared" si="54"/>
        <v>192</v>
      </c>
      <c r="P135" s="233">
        <v>15.95</v>
      </c>
      <c r="Q135" s="233">
        <f>P135*L135*J135</f>
        <v>3062.3999999999996</v>
      </c>
      <c r="R135" s="227" t="s">
        <v>2970</v>
      </c>
      <c r="S135" s="235" t="s">
        <v>3263</v>
      </c>
      <c r="T135" s="229" t="s">
        <v>3036</v>
      </c>
      <c r="U135" s="230" t="s">
        <v>3515</v>
      </c>
      <c r="V135" s="229"/>
      <c r="W135" s="232" t="str">
        <f t="shared" si="47"/>
        <v>Yes</v>
      </c>
      <c r="X135" s="456">
        <v>192</v>
      </c>
      <c r="Y135" s="230" t="s">
        <v>3516</v>
      </c>
      <c r="Z135" s="236">
        <v>43915</v>
      </c>
      <c r="AA135" s="237"/>
      <c r="AB135" s="236"/>
      <c r="AC135" s="236"/>
      <c r="AD135" s="237"/>
      <c r="AE135" s="236"/>
      <c r="AF135" s="236"/>
      <c r="AG135" s="238">
        <v>0</v>
      </c>
      <c r="AH135" s="248"/>
      <c r="AI135" s="229"/>
      <c r="AJ135" s="237"/>
      <c r="AK135" s="241" t="e">
        <f t="shared" ca="1" si="44"/>
        <v>#NAME?</v>
      </c>
      <c r="AL135" s="235"/>
      <c r="AM135" s="229"/>
      <c r="AN135" s="229"/>
      <c r="AP135" s="228" t="s">
        <v>3517</v>
      </c>
      <c r="AQ135" s="228" t="s">
        <v>3518</v>
      </c>
      <c r="AR135" s="228" t="s">
        <v>3063</v>
      </c>
      <c r="AS135" s="242">
        <f t="shared" si="48"/>
        <v>3062.3999999999996</v>
      </c>
      <c r="AT135" s="242">
        <f t="shared" si="49"/>
        <v>309.30239999999998</v>
      </c>
      <c r="AU135" s="242">
        <v>0</v>
      </c>
      <c r="AV135" s="242">
        <v>0</v>
      </c>
      <c r="AW135" s="242">
        <f t="shared" si="50"/>
        <v>3371.7023999999997</v>
      </c>
      <c r="AX135" s="237">
        <f>+N135</f>
        <v>3840</v>
      </c>
      <c r="AY135" s="242" t="s">
        <v>2739</v>
      </c>
      <c r="AZ135" s="242">
        <f t="shared" si="45"/>
        <v>0.87804749999999987</v>
      </c>
      <c r="BA135" s="242" t="s">
        <v>2742</v>
      </c>
      <c r="BB135" s="242" t="s">
        <v>2733</v>
      </c>
      <c r="BC135" s="242">
        <v>10</v>
      </c>
      <c r="BD135" s="242">
        <f t="shared" si="46"/>
        <v>8.7804749999999991</v>
      </c>
      <c r="BF135" s="228" t="s">
        <v>36</v>
      </c>
      <c r="BG135" s="227" t="s">
        <v>3040</v>
      </c>
    </row>
    <row r="136" spans="1:59" s="228" customFormat="1" ht="15" customHeight="1">
      <c r="A136" s="227">
        <v>43907</v>
      </c>
      <c r="B136" s="228" t="s">
        <v>3310</v>
      </c>
      <c r="C136" s="229" t="s">
        <v>78</v>
      </c>
      <c r="D136" s="230" t="s">
        <v>3311</v>
      </c>
      <c r="E136" s="229" t="s">
        <v>3312</v>
      </c>
      <c r="F136" s="231" t="s">
        <v>2846</v>
      </c>
      <c r="G136" s="231" t="s">
        <v>2846</v>
      </c>
      <c r="H136" s="231">
        <v>75</v>
      </c>
      <c r="I136" s="229" t="s">
        <v>3313</v>
      </c>
      <c r="J136" s="229">
        <v>240</v>
      </c>
      <c r="K136" s="229" t="s">
        <v>3314</v>
      </c>
      <c r="L136" s="232">
        <v>1</v>
      </c>
      <c r="M136" s="232" t="s">
        <v>64</v>
      </c>
      <c r="N136" s="231">
        <f>H136*J136</f>
        <v>18000</v>
      </c>
      <c r="O136" s="231">
        <f t="shared" si="54"/>
        <v>240</v>
      </c>
      <c r="P136" s="233">
        <v>3.5</v>
      </c>
      <c r="Q136" s="233">
        <f>P136*J136</f>
        <v>840</v>
      </c>
      <c r="R136" s="227">
        <v>43910</v>
      </c>
      <c r="S136" s="235" t="s">
        <v>3263</v>
      </c>
      <c r="T136" s="229" t="s">
        <v>3036</v>
      </c>
      <c r="U136" s="230" t="s">
        <v>3315</v>
      </c>
      <c r="V136" s="229"/>
      <c r="W136" s="232" t="str">
        <f t="shared" si="47"/>
        <v>Yes</v>
      </c>
      <c r="X136" s="456">
        <v>240</v>
      </c>
      <c r="Y136" s="230">
        <v>118889</v>
      </c>
      <c r="Z136" s="236">
        <v>43969</v>
      </c>
      <c r="AA136" s="237"/>
      <c r="AD136" s="237"/>
      <c r="AG136" s="238">
        <v>0</v>
      </c>
      <c r="AH136" s="239"/>
      <c r="AI136" s="229"/>
      <c r="AJ136" s="237"/>
      <c r="AK136" s="241" t="e">
        <f t="shared" ca="1" si="44"/>
        <v>#NAME?</v>
      </c>
      <c r="AL136" s="235"/>
      <c r="AM136" s="229"/>
      <c r="AN136" s="229"/>
      <c r="AP136" s="228" t="s">
        <v>3316</v>
      </c>
      <c r="AQ136" s="228" t="s">
        <v>3317</v>
      </c>
      <c r="AR136" s="228" t="s">
        <v>3063</v>
      </c>
      <c r="AS136" s="242">
        <f t="shared" si="48"/>
        <v>840</v>
      </c>
      <c r="AT136" s="242">
        <f t="shared" si="49"/>
        <v>84.84</v>
      </c>
      <c r="AU136" s="242">
        <v>0</v>
      </c>
      <c r="AV136" s="242">
        <v>0</v>
      </c>
      <c r="AW136" s="242">
        <f t="shared" si="50"/>
        <v>924.84</v>
      </c>
      <c r="AX136" s="237">
        <v>240</v>
      </c>
      <c r="AY136" s="237"/>
      <c r="AZ136" s="242">
        <f t="shared" si="45"/>
        <v>3.8534999999999999</v>
      </c>
      <c r="BA136" s="242" t="s">
        <v>2721</v>
      </c>
      <c r="BB136" s="237" t="s">
        <v>2739</v>
      </c>
      <c r="BC136" s="242">
        <v>1</v>
      </c>
      <c r="BD136" s="242">
        <f t="shared" si="46"/>
        <v>3.8534999999999999</v>
      </c>
      <c r="BF136" s="228" t="s">
        <v>3137</v>
      </c>
      <c r="BG136" s="227" t="s">
        <v>3040</v>
      </c>
    </row>
    <row r="137" spans="1:59" s="228" customFormat="1" ht="15" customHeight="1">
      <c r="A137" s="227">
        <v>43909</v>
      </c>
      <c r="B137" s="228" t="s">
        <v>3056</v>
      </c>
      <c r="C137" s="229" t="s">
        <v>3384</v>
      </c>
      <c r="D137" s="230" t="s">
        <v>3394</v>
      </c>
      <c r="E137" s="229">
        <v>8210</v>
      </c>
      <c r="F137" s="231" t="s">
        <v>2846</v>
      </c>
      <c r="G137" s="231" t="s">
        <v>2846</v>
      </c>
      <c r="H137" s="231">
        <v>20</v>
      </c>
      <c r="I137" s="229" t="s">
        <v>1269</v>
      </c>
      <c r="J137" s="229">
        <v>96</v>
      </c>
      <c r="K137" s="229" t="s">
        <v>2733</v>
      </c>
      <c r="L137" s="232">
        <v>1</v>
      </c>
      <c r="M137" s="232" t="s">
        <v>64</v>
      </c>
      <c r="N137" s="231">
        <f>H137*J137</f>
        <v>1920</v>
      </c>
      <c r="O137" s="231">
        <f t="shared" si="54"/>
        <v>96</v>
      </c>
      <c r="P137" s="233">
        <v>15.95</v>
      </c>
      <c r="Q137" s="233">
        <f>P137*J137</f>
        <v>1531.1999999999998</v>
      </c>
      <c r="R137" s="227">
        <v>43940</v>
      </c>
      <c r="S137" s="235" t="s">
        <v>3217</v>
      </c>
      <c r="T137" s="229" t="s">
        <v>3036</v>
      </c>
      <c r="U137" s="230" t="s">
        <v>3395</v>
      </c>
      <c r="V137" s="229"/>
      <c r="W137" s="232" t="str">
        <f t="shared" si="47"/>
        <v>Yes</v>
      </c>
      <c r="X137" s="456">
        <v>96</v>
      </c>
      <c r="Y137" s="230" t="s">
        <v>3396</v>
      </c>
      <c r="Z137" s="236">
        <v>43948</v>
      </c>
      <c r="AA137" s="237"/>
      <c r="AD137" s="237"/>
      <c r="AG137" s="238">
        <v>0</v>
      </c>
      <c r="AH137" s="239" t="s">
        <v>66</v>
      </c>
      <c r="AI137" s="229" t="s">
        <v>2739</v>
      </c>
      <c r="AJ137" s="237">
        <f>+AG137*H137</f>
        <v>0</v>
      </c>
      <c r="AK137" s="241" t="e">
        <f t="shared" ca="1" si="44"/>
        <v>#NAME?</v>
      </c>
      <c r="AL137" s="235"/>
      <c r="AM137" s="229"/>
      <c r="AN137" s="229"/>
      <c r="AP137" s="228" t="s">
        <v>3397</v>
      </c>
      <c r="AQ137" s="228" t="s">
        <v>3398</v>
      </c>
      <c r="AR137" s="228" t="s">
        <v>3063</v>
      </c>
      <c r="AS137" s="242">
        <f t="shared" si="48"/>
        <v>1531.1999999999998</v>
      </c>
      <c r="AT137" s="242">
        <f t="shared" si="49"/>
        <v>154.65119999999999</v>
      </c>
      <c r="AU137" s="242">
        <v>0</v>
      </c>
      <c r="AV137" s="242">
        <v>0</v>
      </c>
      <c r="AW137" s="242">
        <f t="shared" si="50"/>
        <v>1685.8511999999998</v>
      </c>
      <c r="AX137" s="237">
        <f>+N137</f>
        <v>1920</v>
      </c>
      <c r="AY137" s="242" t="s">
        <v>2739</v>
      </c>
      <c r="AZ137" s="242">
        <f t="shared" si="45"/>
        <v>0.87804749999999987</v>
      </c>
      <c r="BA137" s="242" t="s">
        <v>2742</v>
      </c>
      <c r="BB137" s="242" t="s">
        <v>2733</v>
      </c>
      <c r="BC137" s="242">
        <v>10</v>
      </c>
      <c r="BD137" s="242">
        <f t="shared" si="46"/>
        <v>8.7804749999999991</v>
      </c>
      <c r="BF137" s="228" t="s">
        <v>36</v>
      </c>
      <c r="BG137" s="227" t="s">
        <v>3040</v>
      </c>
    </row>
    <row r="138" spans="1:59" s="228" customFormat="1" ht="15" customHeight="1">
      <c r="A138" s="213">
        <v>43909</v>
      </c>
      <c r="B138" s="197" t="s">
        <v>3056</v>
      </c>
      <c r="C138" s="214" t="s">
        <v>3390</v>
      </c>
      <c r="D138" s="215" t="s">
        <v>3391</v>
      </c>
      <c r="E138" s="214">
        <v>8511</v>
      </c>
      <c r="F138" s="216" t="s">
        <v>2846</v>
      </c>
      <c r="G138" s="216" t="s">
        <v>2846</v>
      </c>
      <c r="H138" s="216">
        <v>10</v>
      </c>
      <c r="I138" s="214" t="s">
        <v>1269</v>
      </c>
      <c r="J138" s="214">
        <v>96</v>
      </c>
      <c r="K138" s="214" t="s">
        <v>2733</v>
      </c>
      <c r="L138" s="217">
        <v>1</v>
      </c>
      <c r="M138" s="217" t="s">
        <v>64</v>
      </c>
      <c r="N138" s="216">
        <f>H138*J138</f>
        <v>960</v>
      </c>
      <c r="O138" s="216">
        <f t="shared" si="54"/>
        <v>96</v>
      </c>
      <c r="P138" s="218">
        <v>20.95</v>
      </c>
      <c r="Q138" s="218"/>
      <c r="R138" s="213" t="s">
        <v>2970</v>
      </c>
      <c r="S138" s="219" t="s">
        <v>3217</v>
      </c>
      <c r="T138" s="214" t="s">
        <v>3036</v>
      </c>
      <c r="U138" s="215" t="s">
        <v>3392</v>
      </c>
      <c r="V138" s="214"/>
      <c r="W138" s="217" t="s">
        <v>183</v>
      </c>
      <c r="X138" s="456">
        <v>0</v>
      </c>
      <c r="Y138" s="215"/>
      <c r="Z138" s="197"/>
      <c r="AA138" s="220"/>
      <c r="AB138" s="197"/>
      <c r="AC138" s="197"/>
      <c r="AD138" s="220"/>
      <c r="AE138" s="197"/>
      <c r="AF138" s="197"/>
      <c r="AG138" s="221"/>
      <c r="AH138" s="222" t="s">
        <v>66</v>
      </c>
      <c r="AI138" s="214" t="s">
        <v>2739</v>
      </c>
      <c r="AJ138" s="220"/>
      <c r="AK138" s="211"/>
      <c r="AL138" s="219"/>
      <c r="AM138" s="214"/>
      <c r="AN138" s="214"/>
      <c r="AO138" s="197"/>
      <c r="AP138" s="197" t="s">
        <v>3393</v>
      </c>
      <c r="AQ138" s="197"/>
      <c r="AR138" s="197" t="s">
        <v>3063</v>
      </c>
      <c r="AS138" s="197"/>
      <c r="AT138" s="197"/>
      <c r="AU138" s="197"/>
      <c r="AV138" s="197"/>
      <c r="AW138" s="197"/>
      <c r="AX138" s="220"/>
      <c r="AY138" s="197"/>
      <c r="AZ138" s="212"/>
      <c r="BA138" s="212"/>
      <c r="BB138" s="197"/>
      <c r="BC138" s="294"/>
      <c r="BD138" s="294">
        <f t="shared" si="46"/>
        <v>0</v>
      </c>
      <c r="BE138" s="197"/>
      <c r="BF138" s="196" t="s">
        <v>3108</v>
      </c>
      <c r="BG138" s="213" t="s">
        <v>3040</v>
      </c>
    </row>
    <row r="139" spans="1:59" s="228" customFormat="1" ht="15" customHeight="1">
      <c r="A139" s="227">
        <v>43910</v>
      </c>
      <c r="B139" s="228" t="s">
        <v>3367</v>
      </c>
      <c r="C139" s="229" t="s">
        <v>3368</v>
      </c>
      <c r="D139" s="230" t="s">
        <v>3369</v>
      </c>
      <c r="E139" s="229" t="s">
        <v>3370</v>
      </c>
      <c r="F139" s="231" t="s">
        <v>2846</v>
      </c>
      <c r="G139" s="231" t="s">
        <v>2846</v>
      </c>
      <c r="H139" s="231">
        <v>100000</v>
      </c>
      <c r="I139" s="229" t="s">
        <v>1269</v>
      </c>
      <c r="J139" s="229" t="s">
        <v>2846</v>
      </c>
      <c r="K139" s="229" t="s">
        <v>2846</v>
      </c>
      <c r="L139" s="232">
        <v>1</v>
      </c>
      <c r="M139" s="232" t="s">
        <v>64</v>
      </c>
      <c r="N139" s="231">
        <f>L139*H139</f>
        <v>100000</v>
      </c>
      <c r="O139" s="231" t="s">
        <v>2846</v>
      </c>
      <c r="P139" s="233">
        <v>4.05</v>
      </c>
      <c r="Q139" s="233">
        <f>P139*H139</f>
        <v>405000</v>
      </c>
      <c r="R139" s="227">
        <v>43917</v>
      </c>
      <c r="S139" s="235" t="s">
        <v>3217</v>
      </c>
      <c r="T139" s="229" t="s">
        <v>3036</v>
      </c>
      <c r="U139" s="230" t="s">
        <v>3371</v>
      </c>
      <c r="V139" s="229"/>
      <c r="W139" s="232" t="str">
        <f>IF(AG139=0,"Yes","No")</f>
        <v>Yes</v>
      </c>
      <c r="X139" s="456">
        <v>100000</v>
      </c>
      <c r="Y139" s="246" t="s">
        <v>3372</v>
      </c>
      <c r="Z139" s="236">
        <v>43935</v>
      </c>
      <c r="AA139" s="237"/>
      <c r="AD139" s="237"/>
      <c r="AG139" s="238">
        <v>0</v>
      </c>
      <c r="AH139" s="239"/>
      <c r="AI139" s="229"/>
      <c r="AJ139" s="237"/>
      <c r="AK139" s="241" t="e">
        <f ca="1">_xlfn.SINGLE(IF(R139="TBD",49674,R139))</f>
        <v>#NAME?</v>
      </c>
      <c r="AL139" s="235" t="s">
        <v>3373</v>
      </c>
      <c r="AM139" s="229"/>
      <c r="AN139" s="229"/>
      <c r="AP139" s="228" t="s">
        <v>3374</v>
      </c>
      <c r="AQ139" s="228" t="s">
        <v>3375</v>
      </c>
      <c r="AR139" s="228" t="s">
        <v>3039</v>
      </c>
      <c r="AS139" s="242">
        <f>+Q139</f>
        <v>405000</v>
      </c>
      <c r="AT139" s="242">
        <f>+AS139*0.101</f>
        <v>40905</v>
      </c>
      <c r="AU139" s="242">
        <v>0</v>
      </c>
      <c r="AV139" s="242">
        <v>0</v>
      </c>
      <c r="AW139" s="242">
        <f>SUBTOTAL(9,AS139:AV139)</f>
        <v>445905</v>
      </c>
      <c r="AX139" s="237">
        <f>+N139</f>
        <v>100000</v>
      </c>
      <c r="AY139" s="242" t="s">
        <v>2739</v>
      </c>
      <c r="AZ139" s="242">
        <f>+AW139/AX139</f>
        <v>4.4590500000000004</v>
      </c>
      <c r="BA139" s="242" t="s">
        <v>2744</v>
      </c>
      <c r="BB139" s="242" t="s">
        <v>2733</v>
      </c>
      <c r="BC139" s="242">
        <v>50</v>
      </c>
      <c r="BD139" s="242">
        <f t="shared" si="46"/>
        <v>222.95250000000001</v>
      </c>
      <c r="BF139" s="228" t="s">
        <v>36</v>
      </c>
      <c r="BG139" s="227" t="s">
        <v>3040</v>
      </c>
    </row>
    <row r="140" spans="1:59" s="228" customFormat="1" ht="15" customHeight="1">
      <c r="A140" s="227">
        <v>43910</v>
      </c>
      <c r="B140" s="228" t="s">
        <v>3521</v>
      </c>
      <c r="C140" s="229" t="s">
        <v>3368</v>
      </c>
      <c r="D140" s="230" t="s">
        <v>3522</v>
      </c>
      <c r="E140" s="229" t="s">
        <v>3523</v>
      </c>
      <c r="F140" s="231" t="s">
        <v>2846</v>
      </c>
      <c r="G140" s="231" t="s">
        <v>2846</v>
      </c>
      <c r="H140" s="231">
        <v>180000</v>
      </c>
      <c r="I140" s="229" t="s">
        <v>1269</v>
      </c>
      <c r="J140" s="229" t="s">
        <v>2846</v>
      </c>
      <c r="K140" s="229" t="s">
        <v>2846</v>
      </c>
      <c r="L140" s="232">
        <v>1</v>
      </c>
      <c r="M140" s="232" t="s">
        <v>64</v>
      </c>
      <c r="N140" s="231">
        <f>L140*H140</f>
        <v>180000</v>
      </c>
      <c r="O140" s="231" t="s">
        <v>2846</v>
      </c>
      <c r="P140" s="233">
        <v>1.08</v>
      </c>
      <c r="Q140" s="233">
        <f>P140*H140</f>
        <v>194400</v>
      </c>
      <c r="R140" s="229" t="s">
        <v>2970</v>
      </c>
      <c r="S140" s="235" t="s">
        <v>3217</v>
      </c>
      <c r="T140" s="229" t="s">
        <v>3036</v>
      </c>
      <c r="U140" s="230" t="s">
        <v>3524</v>
      </c>
      <c r="V140" s="229"/>
      <c r="W140" s="232" t="str">
        <f>IF(AG140=0,"Yes","No")</f>
        <v>Yes</v>
      </c>
      <c r="X140" s="456">
        <v>180000</v>
      </c>
      <c r="Y140" s="230" t="s">
        <v>3525</v>
      </c>
      <c r="Z140" s="236">
        <v>43945</v>
      </c>
      <c r="AA140" s="237"/>
      <c r="AD140" s="237"/>
      <c r="AG140" s="238">
        <f>(Q140/P140)-X140-AA140-AD140</f>
        <v>0</v>
      </c>
      <c r="AH140" s="248" t="s">
        <v>68</v>
      </c>
      <c r="AI140" s="229" t="s">
        <v>2739</v>
      </c>
      <c r="AJ140" s="237">
        <f>+AG140</f>
        <v>0</v>
      </c>
      <c r="AK140" s="241" t="e">
        <f ca="1">_xlfn.SINGLE(IF(R140="TBD",49674,R140))</f>
        <v>#NAME?</v>
      </c>
      <c r="AL140" s="235" t="s">
        <v>3526</v>
      </c>
      <c r="AM140" s="229"/>
      <c r="AN140" s="229"/>
      <c r="AP140" s="228" t="s">
        <v>3527</v>
      </c>
      <c r="AQ140" s="228" t="s">
        <v>3528</v>
      </c>
      <c r="AR140" s="228" t="s">
        <v>3063</v>
      </c>
      <c r="AS140" s="242">
        <f>+Q140</f>
        <v>194400</v>
      </c>
      <c r="AT140" s="242">
        <f>+AS140*0.101</f>
        <v>19634.400000000001</v>
      </c>
      <c r="AU140" s="242">
        <v>0</v>
      </c>
      <c r="AV140" s="242">
        <v>0</v>
      </c>
      <c r="AW140" s="242">
        <f>SUBTOTAL(9,AS140:AV140)</f>
        <v>214034.4</v>
      </c>
      <c r="AX140" s="237">
        <f>+N140</f>
        <v>180000</v>
      </c>
      <c r="AY140" s="242" t="s">
        <v>2739</v>
      </c>
      <c r="AZ140" s="242">
        <f>+AW140/AX140</f>
        <v>1.1890799999999999</v>
      </c>
      <c r="BA140" s="242" t="s">
        <v>2744</v>
      </c>
      <c r="BB140" s="242" t="s">
        <v>2733</v>
      </c>
      <c r="BC140" s="242">
        <v>50</v>
      </c>
      <c r="BD140" s="242">
        <f t="shared" si="46"/>
        <v>59.453999999999994</v>
      </c>
      <c r="BF140" s="228" t="s">
        <v>36</v>
      </c>
      <c r="BG140" s="227" t="s">
        <v>3040</v>
      </c>
    </row>
    <row r="141" spans="1:59" s="228" customFormat="1" ht="15" customHeight="1">
      <c r="A141" s="227">
        <v>43910</v>
      </c>
      <c r="B141" s="228" t="s">
        <v>3129</v>
      </c>
      <c r="C141" s="229" t="s">
        <v>78</v>
      </c>
      <c r="D141" s="230" t="s">
        <v>3529</v>
      </c>
      <c r="E141" s="229" t="s">
        <v>3530</v>
      </c>
      <c r="F141" s="231" t="s">
        <v>2846</v>
      </c>
      <c r="G141" s="231" t="s">
        <v>2846</v>
      </c>
      <c r="H141" s="231">
        <v>75</v>
      </c>
      <c r="I141" s="229" t="s">
        <v>3313</v>
      </c>
      <c r="J141" s="229">
        <v>6</v>
      </c>
      <c r="K141" s="229" t="s">
        <v>3314</v>
      </c>
      <c r="L141" s="232">
        <v>667</v>
      </c>
      <c r="M141" s="232" t="s">
        <v>2953</v>
      </c>
      <c r="N141" s="231">
        <f>L141*J141*H141</f>
        <v>300150</v>
      </c>
      <c r="O141" s="231">
        <f>J141*L141</f>
        <v>4002</v>
      </c>
      <c r="P141" s="233">
        <v>5.65</v>
      </c>
      <c r="Q141" s="233"/>
      <c r="R141" s="227">
        <v>44012</v>
      </c>
      <c r="S141" s="235" t="s">
        <v>3217</v>
      </c>
      <c r="T141" s="229" t="s">
        <v>3036</v>
      </c>
      <c r="U141" s="230"/>
      <c r="V141" s="229" t="s">
        <v>3531</v>
      </c>
      <c r="W141" s="232" t="s">
        <v>183</v>
      </c>
      <c r="X141" s="456">
        <v>0</v>
      </c>
      <c r="Y141" s="230"/>
      <c r="AA141" s="237"/>
      <c r="AD141" s="237"/>
      <c r="AG141" s="238"/>
      <c r="AH141" s="248"/>
      <c r="AI141" s="229"/>
      <c r="AJ141" s="237"/>
      <c r="AK141" s="241"/>
      <c r="AL141" s="235"/>
      <c r="AM141" s="229"/>
      <c r="AN141" s="229"/>
      <c r="AS141" s="242"/>
      <c r="AT141" s="242"/>
      <c r="AU141" s="242"/>
      <c r="AV141" s="242"/>
      <c r="AW141" s="197"/>
      <c r="AX141" s="220"/>
      <c r="AY141" s="197"/>
      <c r="AZ141" s="212"/>
      <c r="BA141" s="212"/>
      <c r="BB141" s="197"/>
      <c r="BC141" s="294"/>
      <c r="BD141" s="294">
        <f t="shared" si="46"/>
        <v>0</v>
      </c>
      <c r="BE141" s="197"/>
      <c r="BF141" s="196" t="s">
        <v>3108</v>
      </c>
      <c r="BG141" s="227"/>
    </row>
    <row r="142" spans="1:59" s="228" customFormat="1" ht="15" customHeight="1">
      <c r="A142" s="200">
        <v>43910</v>
      </c>
      <c r="B142" s="196" t="s">
        <v>3129</v>
      </c>
      <c r="C142" s="201" t="s">
        <v>78</v>
      </c>
      <c r="D142" s="202" t="s">
        <v>3761</v>
      </c>
      <c r="E142" s="201" t="s">
        <v>3762</v>
      </c>
      <c r="F142" s="203" t="s">
        <v>2846</v>
      </c>
      <c r="G142" s="203" t="s">
        <v>2846</v>
      </c>
      <c r="H142" s="203">
        <v>80</v>
      </c>
      <c r="I142" s="201" t="s">
        <v>3313</v>
      </c>
      <c r="J142" s="201">
        <v>6</v>
      </c>
      <c r="K142" s="201" t="s">
        <v>3314</v>
      </c>
      <c r="L142" s="204">
        <v>667</v>
      </c>
      <c r="M142" s="204" t="s">
        <v>2953</v>
      </c>
      <c r="N142" s="203">
        <f>L142*J142*H142</f>
        <v>320160</v>
      </c>
      <c r="O142" s="203">
        <f>J142*L142</f>
        <v>4002</v>
      </c>
      <c r="P142" s="205">
        <v>6.66</v>
      </c>
      <c r="Q142" s="205"/>
      <c r="R142" s="200">
        <v>44012</v>
      </c>
      <c r="S142" s="206" t="s">
        <v>3217</v>
      </c>
      <c r="T142" s="201" t="s">
        <v>3036</v>
      </c>
      <c r="U142" s="202"/>
      <c r="V142" s="201" t="s">
        <v>3531</v>
      </c>
      <c r="W142" s="204" t="s">
        <v>183</v>
      </c>
      <c r="X142" s="456">
        <v>0</v>
      </c>
      <c r="Y142" s="202"/>
      <c r="Z142" s="196"/>
      <c r="AA142" s="207"/>
      <c r="AB142" s="196"/>
      <c r="AC142" s="196"/>
      <c r="AD142" s="207"/>
      <c r="AE142" s="196"/>
      <c r="AF142" s="196"/>
      <c r="AG142" s="208">
        <v>0</v>
      </c>
      <c r="AH142" s="223"/>
      <c r="AI142" s="201"/>
      <c r="AJ142" s="207"/>
      <c r="AK142" s="211"/>
      <c r="AL142" s="206"/>
      <c r="AM142" s="201"/>
      <c r="AN142" s="201"/>
      <c r="AO142" s="196"/>
      <c r="AP142" s="196" t="s">
        <v>3763</v>
      </c>
      <c r="AQ142" s="196"/>
      <c r="AR142" s="196" t="s">
        <v>3063</v>
      </c>
      <c r="AS142" s="212"/>
      <c r="AT142" s="212"/>
      <c r="AU142" s="212"/>
      <c r="AV142" s="212"/>
      <c r="AW142" s="197"/>
      <c r="AX142" s="220"/>
      <c r="AY142" s="197"/>
      <c r="AZ142" s="212"/>
      <c r="BA142" s="212"/>
      <c r="BB142" s="197"/>
      <c r="BC142" s="294"/>
      <c r="BD142" s="294">
        <f t="shared" si="46"/>
        <v>0</v>
      </c>
      <c r="BE142" s="197"/>
      <c r="BF142" s="196" t="s">
        <v>3108</v>
      </c>
      <c r="BG142" s="200" t="s">
        <v>3628</v>
      </c>
    </row>
    <row r="143" spans="1:59" s="228" customFormat="1" ht="15" customHeight="1">
      <c r="A143" s="227">
        <v>43913</v>
      </c>
      <c r="B143" s="228" t="s">
        <v>3056</v>
      </c>
      <c r="C143" s="229" t="s">
        <v>3436</v>
      </c>
      <c r="D143" s="230" t="s">
        <v>3538</v>
      </c>
      <c r="E143" s="229" t="s">
        <v>3438</v>
      </c>
      <c r="F143" s="231" t="s">
        <v>2846</v>
      </c>
      <c r="G143" s="231" t="s">
        <v>2846</v>
      </c>
      <c r="H143" s="231">
        <v>200</v>
      </c>
      <c r="I143" s="229" t="s">
        <v>2739</v>
      </c>
      <c r="J143" s="229" t="s">
        <v>2846</v>
      </c>
      <c r="K143" s="229" t="s">
        <v>2846</v>
      </c>
      <c r="L143" s="232">
        <v>1</v>
      </c>
      <c r="M143" s="232" t="s">
        <v>64</v>
      </c>
      <c r="N143" s="231">
        <f t="shared" ref="N143:N149" si="55">H143*L143</f>
        <v>200</v>
      </c>
      <c r="O143" s="231" t="s">
        <v>2846</v>
      </c>
      <c r="P143" s="233">
        <v>5.8</v>
      </c>
      <c r="Q143" s="233">
        <f t="shared" ref="Q143:Q149" si="56">P143*H143</f>
        <v>1160</v>
      </c>
      <c r="R143" s="229" t="s">
        <v>2970</v>
      </c>
      <c r="S143" s="235" t="s">
        <v>3217</v>
      </c>
      <c r="T143" s="229" t="s">
        <v>3036</v>
      </c>
      <c r="U143" s="230" t="s">
        <v>3533</v>
      </c>
      <c r="V143" s="229"/>
      <c r="W143" s="232" t="e">
        <f ca="1">_xlfn.SINGLE(IF(AG143=0,"Yes","No"))</f>
        <v>#NAME?</v>
      </c>
      <c r="X143" s="456">
        <v>200</v>
      </c>
      <c r="Y143" s="230" t="s">
        <v>3534</v>
      </c>
      <c r="Z143" s="236">
        <v>43969</v>
      </c>
      <c r="AA143" s="237"/>
      <c r="AD143" s="237"/>
      <c r="AG143" s="238">
        <f>(Q143/P143)-X143-AA143-AD143</f>
        <v>0</v>
      </c>
      <c r="AH143" s="248" t="s">
        <v>75</v>
      </c>
      <c r="AI143" s="229" t="s">
        <v>2739</v>
      </c>
      <c r="AJ143" s="237">
        <f>+AG143</f>
        <v>0</v>
      </c>
      <c r="AK143" s="241" t="e">
        <f t="shared" ref="AK143:AK149" ca="1" si="57">_xlfn.SINGLE(IF(R143="TBD",49674,R143))</f>
        <v>#NAME?</v>
      </c>
      <c r="AL143" s="235" t="s">
        <v>3535</v>
      </c>
      <c r="AM143" s="229"/>
      <c r="AN143" s="229"/>
      <c r="AP143" s="228" t="s">
        <v>3539</v>
      </c>
      <c r="AQ143" s="228" t="s">
        <v>3537</v>
      </c>
      <c r="AR143" s="228" t="s">
        <v>3063</v>
      </c>
      <c r="AS143" s="242">
        <f t="shared" ref="AS143:AS149" si="58">+Q143</f>
        <v>1160</v>
      </c>
      <c r="AT143" s="242">
        <f t="shared" ref="AT143:AT149" si="59">+AS143*0.101</f>
        <v>117.16000000000001</v>
      </c>
      <c r="AU143" s="242">
        <v>0</v>
      </c>
      <c r="AV143" s="242">
        <v>0</v>
      </c>
      <c r="AW143" s="242">
        <f t="shared" ref="AW143:AW149" si="60">SUBTOTAL(9,AS143:AV143)</f>
        <v>1277.1600000000001</v>
      </c>
      <c r="AX143" s="237">
        <f t="shared" ref="AX143:AX149" si="61">+N143</f>
        <v>200</v>
      </c>
      <c r="AY143" s="242" t="s">
        <v>2739</v>
      </c>
      <c r="AZ143" s="242">
        <f t="shared" ref="AZ143:AZ149" si="62">+AW143/AX143</f>
        <v>6.3858000000000006</v>
      </c>
      <c r="BA143" s="242" t="s">
        <v>2804</v>
      </c>
      <c r="BB143" s="242" t="s">
        <v>2739</v>
      </c>
      <c r="BC143" s="242">
        <v>1</v>
      </c>
      <c r="BD143" s="242">
        <f t="shared" si="46"/>
        <v>6.3858000000000006</v>
      </c>
      <c r="BF143" s="228" t="s">
        <v>36</v>
      </c>
      <c r="BG143" s="227" t="s">
        <v>3040</v>
      </c>
    </row>
    <row r="144" spans="1:59" s="228" customFormat="1" ht="15" customHeight="1">
      <c r="A144" s="227">
        <v>43913</v>
      </c>
      <c r="B144" s="228" t="s">
        <v>3056</v>
      </c>
      <c r="C144" s="229" t="s">
        <v>3430</v>
      </c>
      <c r="D144" s="230" t="s">
        <v>3532</v>
      </c>
      <c r="E144" s="229" t="s">
        <v>3432</v>
      </c>
      <c r="F144" s="231" t="s">
        <v>2846</v>
      </c>
      <c r="G144" s="231" t="s">
        <v>2846</v>
      </c>
      <c r="H144" s="231">
        <v>200</v>
      </c>
      <c r="I144" s="229" t="s">
        <v>2739</v>
      </c>
      <c r="J144" s="229" t="s">
        <v>2846</v>
      </c>
      <c r="K144" s="229" t="s">
        <v>2846</v>
      </c>
      <c r="L144" s="232">
        <v>1</v>
      </c>
      <c r="M144" s="232" t="s">
        <v>64</v>
      </c>
      <c r="N144" s="231">
        <f t="shared" si="55"/>
        <v>200</v>
      </c>
      <c r="O144" s="231" t="s">
        <v>2846</v>
      </c>
      <c r="P144" s="233">
        <v>6</v>
      </c>
      <c r="Q144" s="233">
        <f t="shared" si="56"/>
        <v>1200</v>
      </c>
      <c r="R144" s="229" t="s">
        <v>2970</v>
      </c>
      <c r="S144" s="235" t="s">
        <v>3217</v>
      </c>
      <c r="T144" s="229" t="s">
        <v>3036</v>
      </c>
      <c r="U144" s="230" t="s">
        <v>3533</v>
      </c>
      <c r="V144" s="229"/>
      <c r="W144" s="232" t="e">
        <f ca="1">_xlfn.SINGLE(IF(AG144=0,"Yes","No"))</f>
        <v>#NAME?</v>
      </c>
      <c r="X144" s="456">
        <v>200</v>
      </c>
      <c r="Y144" s="230" t="s">
        <v>3534</v>
      </c>
      <c r="Z144" s="236">
        <v>43969</v>
      </c>
      <c r="AA144" s="237"/>
      <c r="AD144" s="237"/>
      <c r="AG144" s="238">
        <f>(Q144/P144)-X144-AA144-AD144</f>
        <v>0</v>
      </c>
      <c r="AH144" s="248" t="s">
        <v>75</v>
      </c>
      <c r="AI144" s="229" t="s">
        <v>2739</v>
      </c>
      <c r="AJ144" s="237">
        <f>+AG144</f>
        <v>0</v>
      </c>
      <c r="AK144" s="241" t="e">
        <f t="shared" ca="1" si="57"/>
        <v>#NAME?</v>
      </c>
      <c r="AL144" s="235" t="s">
        <v>3535</v>
      </c>
      <c r="AM144" s="229"/>
      <c r="AN144" s="229"/>
      <c r="AP144" s="228" t="s">
        <v>3536</v>
      </c>
      <c r="AQ144" s="228" t="s">
        <v>3537</v>
      </c>
      <c r="AR144" s="228" t="s">
        <v>3063</v>
      </c>
      <c r="AS144" s="242">
        <f t="shared" si="58"/>
        <v>1200</v>
      </c>
      <c r="AT144" s="242">
        <f t="shared" si="59"/>
        <v>121.2</v>
      </c>
      <c r="AU144" s="242">
        <v>0</v>
      </c>
      <c r="AV144" s="242">
        <v>0</v>
      </c>
      <c r="AW144" s="242">
        <f t="shared" si="60"/>
        <v>1321.2</v>
      </c>
      <c r="AX144" s="237">
        <f t="shared" si="61"/>
        <v>200</v>
      </c>
      <c r="AY144" s="242" t="s">
        <v>2739</v>
      </c>
      <c r="AZ144" s="242">
        <f t="shared" si="62"/>
        <v>6.6059999999999999</v>
      </c>
      <c r="BA144" s="242" t="s">
        <v>2806</v>
      </c>
      <c r="BB144" s="242" t="s">
        <v>2739</v>
      </c>
      <c r="BC144" s="242">
        <v>1</v>
      </c>
      <c r="BD144" s="242">
        <f t="shared" si="46"/>
        <v>6.6059999999999999</v>
      </c>
      <c r="BF144" s="228" t="s">
        <v>36</v>
      </c>
      <c r="BG144" s="227" t="s">
        <v>3040</v>
      </c>
    </row>
    <row r="145" spans="1:59" s="228" customFormat="1" ht="15" customHeight="1">
      <c r="A145" s="227">
        <v>43913</v>
      </c>
      <c r="B145" s="228" t="s">
        <v>3056</v>
      </c>
      <c r="C145" s="229" t="s">
        <v>3548</v>
      </c>
      <c r="D145" s="230" t="s">
        <v>3549</v>
      </c>
      <c r="E145" s="229" t="s">
        <v>3550</v>
      </c>
      <c r="F145" s="231" t="s">
        <v>2846</v>
      </c>
      <c r="G145" s="231" t="s">
        <v>2846</v>
      </c>
      <c r="H145" s="231">
        <v>200</v>
      </c>
      <c r="I145" s="229" t="s">
        <v>2739</v>
      </c>
      <c r="J145" s="229" t="s">
        <v>2846</v>
      </c>
      <c r="K145" s="229" t="s">
        <v>2846</v>
      </c>
      <c r="L145" s="232">
        <v>1</v>
      </c>
      <c r="M145" s="232" t="s">
        <v>64</v>
      </c>
      <c r="N145" s="231">
        <f t="shared" si="55"/>
        <v>200</v>
      </c>
      <c r="O145" s="231" t="s">
        <v>2846</v>
      </c>
      <c r="P145" s="233">
        <v>5.25</v>
      </c>
      <c r="Q145" s="233">
        <f t="shared" si="56"/>
        <v>1050</v>
      </c>
      <c r="R145" s="229" t="s">
        <v>2970</v>
      </c>
      <c r="S145" s="235" t="s">
        <v>3217</v>
      </c>
      <c r="T145" s="229" t="s">
        <v>3036</v>
      </c>
      <c r="U145" s="230" t="s">
        <v>3543</v>
      </c>
      <c r="V145" s="229"/>
      <c r="W145" s="232" t="e">
        <f ca="1">_xlfn.SINGLE(IF(AG145=0,"Yes","No"))</f>
        <v>#NAME?</v>
      </c>
      <c r="X145" s="456">
        <v>200</v>
      </c>
      <c r="Y145" s="230" t="s">
        <v>3544</v>
      </c>
      <c r="Z145" s="236">
        <v>43964</v>
      </c>
      <c r="AA145" s="237"/>
      <c r="AD145" s="237"/>
      <c r="AG145" s="238">
        <f>(Q145/P145)-X145-AA145-AD145</f>
        <v>0</v>
      </c>
      <c r="AH145" s="248"/>
      <c r="AI145" s="229"/>
      <c r="AJ145" s="237"/>
      <c r="AK145" s="241" t="e">
        <f t="shared" ca="1" si="57"/>
        <v>#NAME?</v>
      </c>
      <c r="AL145" s="235" t="s">
        <v>3545</v>
      </c>
      <c r="AM145" s="229"/>
      <c r="AN145" s="229"/>
      <c r="AP145" s="228" t="s">
        <v>3551</v>
      </c>
      <c r="AQ145" s="228" t="s">
        <v>3547</v>
      </c>
      <c r="AR145" s="228" t="s">
        <v>3063</v>
      </c>
      <c r="AS145" s="242">
        <f t="shared" si="58"/>
        <v>1050</v>
      </c>
      <c r="AT145" s="242">
        <f t="shared" si="59"/>
        <v>106.05000000000001</v>
      </c>
      <c r="AU145" s="242">
        <v>0</v>
      </c>
      <c r="AV145" s="242">
        <v>0</v>
      </c>
      <c r="AW145" s="242">
        <f t="shared" si="60"/>
        <v>1156.05</v>
      </c>
      <c r="AX145" s="237">
        <f t="shared" si="61"/>
        <v>200</v>
      </c>
      <c r="AY145" s="242" t="s">
        <v>2739</v>
      </c>
      <c r="AZ145" s="242">
        <f t="shared" si="62"/>
        <v>5.7802499999999997</v>
      </c>
      <c r="BA145" s="242" t="s">
        <v>2808</v>
      </c>
      <c r="BB145" s="242" t="s">
        <v>2739</v>
      </c>
      <c r="BC145" s="242">
        <v>1</v>
      </c>
      <c r="BD145" s="242">
        <f t="shared" si="46"/>
        <v>5.7802499999999997</v>
      </c>
      <c r="BF145" s="228" t="s">
        <v>36</v>
      </c>
      <c r="BG145" s="227" t="s">
        <v>3040</v>
      </c>
    </row>
    <row r="146" spans="1:59" s="228" customFormat="1" ht="15" customHeight="1">
      <c r="A146" s="227">
        <v>43913</v>
      </c>
      <c r="B146" s="228" t="s">
        <v>3056</v>
      </c>
      <c r="C146" s="229" t="s">
        <v>3540</v>
      </c>
      <c r="D146" s="230" t="s">
        <v>3541</v>
      </c>
      <c r="E146" s="229" t="s">
        <v>3542</v>
      </c>
      <c r="F146" s="231" t="s">
        <v>2846</v>
      </c>
      <c r="G146" s="231" t="s">
        <v>2846</v>
      </c>
      <c r="H146" s="231">
        <v>200</v>
      </c>
      <c r="I146" s="229" t="s">
        <v>2739</v>
      </c>
      <c r="J146" s="229" t="s">
        <v>2846</v>
      </c>
      <c r="K146" s="229" t="s">
        <v>2846</v>
      </c>
      <c r="L146" s="232">
        <v>1</v>
      </c>
      <c r="M146" s="232" t="s">
        <v>64</v>
      </c>
      <c r="N146" s="231">
        <f t="shared" si="55"/>
        <v>200</v>
      </c>
      <c r="O146" s="231" t="s">
        <v>2846</v>
      </c>
      <c r="P146" s="233">
        <v>5.45</v>
      </c>
      <c r="Q146" s="233">
        <f t="shared" si="56"/>
        <v>1090</v>
      </c>
      <c r="R146" s="229" t="s">
        <v>2970</v>
      </c>
      <c r="S146" s="235" t="s">
        <v>3217</v>
      </c>
      <c r="T146" s="229" t="s">
        <v>3036</v>
      </c>
      <c r="U146" s="230" t="s">
        <v>3543</v>
      </c>
      <c r="V146" s="229"/>
      <c r="W146" s="232" t="e">
        <f ca="1">_xlfn.SINGLE(IF(AG146=0,"Yes","No"))</f>
        <v>#NAME?</v>
      </c>
      <c r="X146" s="456">
        <v>200</v>
      </c>
      <c r="Y146" s="230" t="s">
        <v>3544</v>
      </c>
      <c r="Z146" s="236">
        <v>43964</v>
      </c>
      <c r="AA146" s="237"/>
      <c r="AD146" s="237"/>
      <c r="AG146" s="238">
        <f>(Q146/P146)-X146-AA146-AD146</f>
        <v>0</v>
      </c>
      <c r="AH146" s="248"/>
      <c r="AI146" s="229"/>
      <c r="AJ146" s="237"/>
      <c r="AK146" s="241" t="e">
        <f t="shared" ca="1" si="57"/>
        <v>#NAME?</v>
      </c>
      <c r="AL146" s="235" t="s">
        <v>3545</v>
      </c>
      <c r="AM146" s="229"/>
      <c r="AN146" s="229"/>
      <c r="AP146" s="228" t="s">
        <v>3546</v>
      </c>
      <c r="AQ146" s="228" t="s">
        <v>3547</v>
      </c>
      <c r="AR146" s="228" t="s">
        <v>3063</v>
      </c>
      <c r="AS146" s="242">
        <f t="shared" si="58"/>
        <v>1090</v>
      </c>
      <c r="AT146" s="242">
        <f t="shared" si="59"/>
        <v>110.09</v>
      </c>
      <c r="AU146" s="242">
        <v>0</v>
      </c>
      <c r="AV146" s="242">
        <v>0</v>
      </c>
      <c r="AW146" s="242">
        <f t="shared" si="60"/>
        <v>1200.0899999999999</v>
      </c>
      <c r="AX146" s="237">
        <f t="shared" si="61"/>
        <v>200</v>
      </c>
      <c r="AY146" s="242" t="s">
        <v>2739</v>
      </c>
      <c r="AZ146" s="242">
        <f t="shared" si="62"/>
        <v>6.0004499999999998</v>
      </c>
      <c r="BA146" s="242" t="s">
        <v>2810</v>
      </c>
      <c r="BB146" s="242" t="s">
        <v>2739</v>
      </c>
      <c r="BC146" s="242">
        <v>1</v>
      </c>
      <c r="BD146" s="242">
        <f t="shared" si="46"/>
        <v>6.0004499999999998</v>
      </c>
      <c r="BF146" s="228" t="s">
        <v>36</v>
      </c>
      <c r="BG146" s="227" t="s">
        <v>3040</v>
      </c>
    </row>
    <row r="147" spans="1:59" s="228" customFormat="1" ht="15" customHeight="1">
      <c r="A147" s="227">
        <v>43915</v>
      </c>
      <c r="B147" s="228" t="s">
        <v>3056</v>
      </c>
      <c r="C147" s="230" t="s">
        <v>3355</v>
      </c>
      <c r="D147" s="230" t="s">
        <v>3356</v>
      </c>
      <c r="E147" s="229" t="s">
        <v>3357</v>
      </c>
      <c r="F147" s="231" t="s">
        <v>2846</v>
      </c>
      <c r="G147" s="231" t="s">
        <v>2846</v>
      </c>
      <c r="H147" s="231">
        <v>200</v>
      </c>
      <c r="I147" s="229" t="s">
        <v>2739</v>
      </c>
      <c r="J147" s="229" t="s">
        <v>2846</v>
      </c>
      <c r="K147" s="229" t="s">
        <v>2846</v>
      </c>
      <c r="L147" s="232">
        <v>1</v>
      </c>
      <c r="M147" s="232" t="s">
        <v>64</v>
      </c>
      <c r="N147" s="231">
        <f t="shared" si="55"/>
        <v>200</v>
      </c>
      <c r="O147" s="231" t="s">
        <v>2846</v>
      </c>
      <c r="P147" s="233">
        <v>2.95</v>
      </c>
      <c r="Q147" s="233">
        <f t="shared" si="56"/>
        <v>590</v>
      </c>
      <c r="R147" s="227">
        <v>43916</v>
      </c>
      <c r="S147" s="235" t="s">
        <v>3217</v>
      </c>
      <c r="T147" s="229" t="s">
        <v>3036</v>
      </c>
      <c r="U147" s="230" t="s">
        <v>3358</v>
      </c>
      <c r="V147" s="229"/>
      <c r="W147" s="232" t="str">
        <f>IF(AG147=0,"Yes","No")</f>
        <v>Yes</v>
      </c>
      <c r="X147" s="456">
        <v>200</v>
      </c>
      <c r="Y147" s="230" t="s">
        <v>3359</v>
      </c>
      <c r="Z147" s="236">
        <v>43964</v>
      </c>
      <c r="AA147" s="237"/>
      <c r="AD147" s="237"/>
      <c r="AG147" s="238">
        <v>0</v>
      </c>
      <c r="AH147" s="239"/>
      <c r="AI147" s="229"/>
      <c r="AJ147" s="237"/>
      <c r="AK147" s="241" t="e">
        <f t="shared" ca="1" si="57"/>
        <v>#NAME?</v>
      </c>
      <c r="AL147" s="235" t="s">
        <v>3360</v>
      </c>
      <c r="AM147" s="229"/>
      <c r="AN147" s="229"/>
      <c r="AP147" s="228" t="s">
        <v>3361</v>
      </c>
      <c r="AQ147" s="228" t="s">
        <v>3362</v>
      </c>
      <c r="AR147" s="228" t="s">
        <v>3063</v>
      </c>
      <c r="AS147" s="242">
        <f t="shared" si="58"/>
        <v>590</v>
      </c>
      <c r="AT147" s="242">
        <f t="shared" si="59"/>
        <v>59.59</v>
      </c>
      <c r="AU147" s="242">
        <v>0</v>
      </c>
      <c r="AV147" s="242">
        <v>0</v>
      </c>
      <c r="AW147" s="242">
        <f t="shared" si="60"/>
        <v>649.59</v>
      </c>
      <c r="AX147" s="237">
        <f t="shared" si="61"/>
        <v>200</v>
      </c>
      <c r="AY147" s="242" t="s">
        <v>2739</v>
      </c>
      <c r="AZ147" s="242">
        <f t="shared" si="62"/>
        <v>3.2479500000000003</v>
      </c>
      <c r="BA147" s="242" t="s">
        <v>2746</v>
      </c>
      <c r="BB147" s="242" t="s">
        <v>2953</v>
      </c>
      <c r="BC147" s="242">
        <v>1</v>
      </c>
      <c r="BD147" s="242">
        <f t="shared" si="46"/>
        <v>3.2479500000000003</v>
      </c>
      <c r="BF147" s="228" t="s">
        <v>36</v>
      </c>
      <c r="BG147" s="227" t="s">
        <v>3040</v>
      </c>
    </row>
    <row r="148" spans="1:59" s="228" customFormat="1" ht="15" customHeight="1">
      <c r="A148" s="227">
        <v>43916</v>
      </c>
      <c r="B148" s="228" t="s">
        <v>3056</v>
      </c>
      <c r="C148" s="229" t="s">
        <v>3548</v>
      </c>
      <c r="D148" s="230" t="s">
        <v>3549</v>
      </c>
      <c r="E148" s="229" t="s">
        <v>3550</v>
      </c>
      <c r="F148" s="231" t="s">
        <v>2846</v>
      </c>
      <c r="G148" s="231" t="s">
        <v>2846</v>
      </c>
      <c r="H148" s="231">
        <v>1050</v>
      </c>
      <c r="I148" s="229" t="s">
        <v>2739</v>
      </c>
      <c r="J148" s="229" t="s">
        <v>2846</v>
      </c>
      <c r="K148" s="229" t="s">
        <v>2846</v>
      </c>
      <c r="L148" s="232">
        <v>1</v>
      </c>
      <c r="M148" s="232" t="s">
        <v>64</v>
      </c>
      <c r="N148" s="231">
        <f t="shared" si="55"/>
        <v>1050</v>
      </c>
      <c r="O148" s="231" t="s">
        <v>2846</v>
      </c>
      <c r="P148" s="233">
        <v>6.2</v>
      </c>
      <c r="Q148" s="233">
        <f t="shared" si="56"/>
        <v>6510</v>
      </c>
      <c r="R148" s="229" t="s">
        <v>2970</v>
      </c>
      <c r="S148" s="235" t="s">
        <v>3217</v>
      </c>
      <c r="T148" s="229" t="s">
        <v>3036</v>
      </c>
      <c r="U148" s="230" t="s">
        <v>3574</v>
      </c>
      <c r="V148" s="229"/>
      <c r="W148" s="232" t="e">
        <f ca="1">_xlfn.SINGLE(IF(AG148=0,"Yes","No"))</f>
        <v>#NAME?</v>
      </c>
      <c r="X148" s="456">
        <v>1050</v>
      </c>
      <c r="Y148" s="230" t="s">
        <v>3575</v>
      </c>
      <c r="Z148" s="236">
        <v>43948</v>
      </c>
      <c r="AA148" s="237"/>
      <c r="AD148" s="237"/>
      <c r="AG148" s="238">
        <f>(Q148/P148)-X148-AA148-AD148</f>
        <v>0</v>
      </c>
      <c r="AH148" s="248"/>
      <c r="AI148" s="229"/>
      <c r="AJ148" s="237"/>
      <c r="AK148" s="241" t="e">
        <f t="shared" ca="1" si="57"/>
        <v>#NAME?</v>
      </c>
      <c r="AL148" s="235"/>
      <c r="AM148" s="229"/>
      <c r="AN148" s="229"/>
      <c r="AP148" s="228" t="s">
        <v>3578</v>
      </c>
      <c r="AQ148" s="228" t="s">
        <v>3577</v>
      </c>
      <c r="AR148" s="228" t="s">
        <v>3063</v>
      </c>
      <c r="AS148" s="242">
        <f t="shared" si="58"/>
        <v>6510</v>
      </c>
      <c r="AT148" s="242">
        <f t="shared" si="59"/>
        <v>657.51</v>
      </c>
      <c r="AU148" s="242">
        <v>0</v>
      </c>
      <c r="AV148" s="242">
        <v>0</v>
      </c>
      <c r="AW148" s="242">
        <f t="shared" si="60"/>
        <v>7167.51</v>
      </c>
      <c r="AX148" s="237">
        <f t="shared" si="61"/>
        <v>1050</v>
      </c>
      <c r="AY148" s="242" t="s">
        <v>2739</v>
      </c>
      <c r="AZ148" s="242">
        <f t="shared" si="62"/>
        <v>6.8262</v>
      </c>
      <c r="BA148" s="242" t="s">
        <v>2808</v>
      </c>
      <c r="BB148" s="242" t="s">
        <v>2739</v>
      </c>
      <c r="BC148" s="242">
        <v>1</v>
      </c>
      <c r="BD148" s="242">
        <f t="shared" si="46"/>
        <v>6.8262</v>
      </c>
      <c r="BF148" s="228" t="s">
        <v>36</v>
      </c>
      <c r="BG148" s="227" t="s">
        <v>3040</v>
      </c>
    </row>
    <row r="149" spans="1:59" s="228" customFormat="1" ht="15" customHeight="1">
      <c r="A149" s="227">
        <v>43916</v>
      </c>
      <c r="B149" s="228" t="s">
        <v>3056</v>
      </c>
      <c r="C149" s="229" t="s">
        <v>3540</v>
      </c>
      <c r="D149" s="230" t="s">
        <v>3541</v>
      </c>
      <c r="E149" s="229" t="s">
        <v>3542</v>
      </c>
      <c r="F149" s="231" t="s">
        <v>2846</v>
      </c>
      <c r="G149" s="231" t="s">
        <v>2846</v>
      </c>
      <c r="H149" s="231">
        <v>1050</v>
      </c>
      <c r="I149" s="229" t="s">
        <v>2739</v>
      </c>
      <c r="J149" s="229" t="s">
        <v>2846</v>
      </c>
      <c r="K149" s="229" t="s">
        <v>2846</v>
      </c>
      <c r="L149" s="232">
        <v>1</v>
      </c>
      <c r="M149" s="232" t="s">
        <v>64</v>
      </c>
      <c r="N149" s="231">
        <f t="shared" si="55"/>
        <v>1050</v>
      </c>
      <c r="O149" s="231" t="s">
        <v>2846</v>
      </c>
      <c r="P149" s="233">
        <v>6.4</v>
      </c>
      <c r="Q149" s="233">
        <f t="shared" si="56"/>
        <v>6720</v>
      </c>
      <c r="R149" s="229" t="s">
        <v>2970</v>
      </c>
      <c r="S149" s="235" t="s">
        <v>3573</v>
      </c>
      <c r="T149" s="229" t="s">
        <v>3036</v>
      </c>
      <c r="U149" s="230" t="s">
        <v>3574</v>
      </c>
      <c r="V149" s="229"/>
      <c r="W149" s="232" t="e">
        <f ca="1">_xlfn.SINGLE(IF(AG149=0,"Yes","No"))</f>
        <v>#NAME?</v>
      </c>
      <c r="X149" s="456">
        <v>1050</v>
      </c>
      <c r="Y149" s="230" t="s">
        <v>3575</v>
      </c>
      <c r="Z149" s="236">
        <v>43948</v>
      </c>
      <c r="AA149" s="237"/>
      <c r="AD149" s="237"/>
      <c r="AG149" s="238">
        <f>(Q149/P149)-X149-AA149-AD149</f>
        <v>0</v>
      </c>
      <c r="AH149" s="248"/>
      <c r="AI149" s="229"/>
      <c r="AJ149" s="237"/>
      <c r="AK149" s="241" t="e">
        <f t="shared" ca="1" si="57"/>
        <v>#NAME?</v>
      </c>
      <c r="AL149" s="235"/>
      <c r="AM149" s="229"/>
      <c r="AN149" s="229"/>
      <c r="AP149" s="228" t="s">
        <v>3576</v>
      </c>
      <c r="AQ149" s="228" t="s">
        <v>3577</v>
      </c>
      <c r="AR149" s="228" t="s">
        <v>3063</v>
      </c>
      <c r="AS149" s="242">
        <f t="shared" si="58"/>
        <v>6720</v>
      </c>
      <c r="AT149" s="242">
        <f t="shared" si="59"/>
        <v>678.72</v>
      </c>
      <c r="AU149" s="242">
        <v>0</v>
      </c>
      <c r="AV149" s="242">
        <v>0</v>
      </c>
      <c r="AW149" s="242">
        <f t="shared" si="60"/>
        <v>7398.72</v>
      </c>
      <c r="AX149" s="237">
        <f t="shared" si="61"/>
        <v>1050</v>
      </c>
      <c r="AY149" s="242" t="s">
        <v>2739</v>
      </c>
      <c r="AZ149" s="242">
        <f t="shared" si="62"/>
        <v>7.0464000000000002</v>
      </c>
      <c r="BA149" s="242" t="s">
        <v>2810</v>
      </c>
      <c r="BB149" s="242" t="s">
        <v>2739</v>
      </c>
      <c r="BC149" s="242">
        <v>1</v>
      </c>
      <c r="BD149" s="242">
        <f t="shared" si="46"/>
        <v>7.0464000000000002</v>
      </c>
      <c r="BF149" s="228" t="s">
        <v>36</v>
      </c>
      <c r="BG149" s="227" t="s">
        <v>3040</v>
      </c>
    </row>
    <row r="150" spans="1:59" s="228" customFormat="1" ht="15" customHeight="1">
      <c r="A150" s="200">
        <v>43916</v>
      </c>
      <c r="B150" s="196" t="s">
        <v>3056</v>
      </c>
      <c r="C150" s="201" t="s">
        <v>1584</v>
      </c>
      <c r="D150" s="202" t="s">
        <v>3617</v>
      </c>
      <c r="E150" s="201" t="s">
        <v>3411</v>
      </c>
      <c r="F150" s="203">
        <v>128</v>
      </c>
      <c r="G150" s="203">
        <f>F150*N150</f>
        <v>30720</v>
      </c>
      <c r="H150" s="203">
        <v>4</v>
      </c>
      <c r="I150" s="201" t="s">
        <v>2959</v>
      </c>
      <c r="J150" s="201" t="s">
        <v>2846</v>
      </c>
      <c r="K150" s="201" t="s">
        <v>2846</v>
      </c>
      <c r="L150" s="204">
        <v>60</v>
      </c>
      <c r="M150" s="204" t="s">
        <v>2953</v>
      </c>
      <c r="N150" s="203">
        <f>L150*H150</f>
        <v>240</v>
      </c>
      <c r="O150" s="203" t="s">
        <v>2846</v>
      </c>
      <c r="P150" s="205">
        <v>39.1</v>
      </c>
      <c r="Q150" s="205"/>
      <c r="R150" s="200">
        <v>43924</v>
      </c>
      <c r="S150" s="206" t="s">
        <v>3217</v>
      </c>
      <c r="T150" s="201" t="s">
        <v>3036</v>
      </c>
      <c r="U150" s="202" t="s">
        <v>3618</v>
      </c>
      <c r="V150" s="201"/>
      <c r="W150" s="204" t="s">
        <v>183</v>
      </c>
      <c r="X150" s="456">
        <v>0</v>
      </c>
      <c r="Y150" s="202"/>
      <c r="Z150" s="196"/>
      <c r="AA150" s="207"/>
      <c r="AB150" s="196"/>
      <c r="AC150" s="196"/>
      <c r="AD150" s="207"/>
      <c r="AE150" s="196"/>
      <c r="AF150" s="196"/>
      <c r="AG150" s="208"/>
      <c r="AH150" s="224" t="s">
        <v>82</v>
      </c>
      <c r="AI150" s="201" t="s">
        <v>2736</v>
      </c>
      <c r="AJ150" s="207"/>
      <c r="AK150" s="211"/>
      <c r="AL150" s="206"/>
      <c r="AM150" s="201"/>
      <c r="AN150" s="201"/>
      <c r="AO150" s="196"/>
      <c r="AP150" s="196" t="s">
        <v>3619</v>
      </c>
      <c r="AQ150" s="196"/>
      <c r="AR150" s="196" t="s">
        <v>3063</v>
      </c>
      <c r="AS150" s="212"/>
      <c r="AT150" s="212"/>
      <c r="AU150" s="212"/>
      <c r="AV150" s="212"/>
      <c r="AW150" s="197"/>
      <c r="AX150" s="220"/>
      <c r="AY150" s="197"/>
      <c r="AZ150" s="212"/>
      <c r="BA150" s="212"/>
      <c r="BB150" s="197"/>
      <c r="BC150" s="294"/>
      <c r="BD150" s="294"/>
      <c r="BE150" s="197"/>
      <c r="BF150" s="196" t="s">
        <v>3108</v>
      </c>
      <c r="BG150" s="200" t="s">
        <v>3040</v>
      </c>
    </row>
    <row r="151" spans="1:59" s="228" customFormat="1" ht="15" customHeight="1">
      <c r="A151" s="227">
        <v>43917</v>
      </c>
      <c r="B151" s="228" t="s">
        <v>3056</v>
      </c>
      <c r="C151" s="229" t="s">
        <v>1584</v>
      </c>
      <c r="D151" s="230" t="s">
        <v>3579</v>
      </c>
      <c r="E151" s="229" t="s">
        <v>3411</v>
      </c>
      <c r="F151" s="231">
        <v>128</v>
      </c>
      <c r="G151" s="231">
        <f>F151*N151</f>
        <v>11264</v>
      </c>
      <c r="H151" s="231">
        <v>4</v>
      </c>
      <c r="I151" s="229" t="s">
        <v>2959</v>
      </c>
      <c r="J151" s="229" t="s">
        <v>2846</v>
      </c>
      <c r="K151" s="229" t="s">
        <v>2846</v>
      </c>
      <c r="L151" s="232">
        <f>N151/4</f>
        <v>22</v>
      </c>
      <c r="M151" s="232" t="s">
        <v>2953</v>
      </c>
      <c r="N151" s="231">
        <v>88</v>
      </c>
      <c r="O151" s="231" t="s">
        <v>2846</v>
      </c>
      <c r="P151" s="233">
        <v>39.1</v>
      </c>
      <c r="Q151" s="233">
        <f t="shared" ref="Q151:Q156" si="63">P151*N151</f>
        <v>3440.8</v>
      </c>
      <c r="R151" s="227">
        <v>43924</v>
      </c>
      <c r="S151" s="235" t="s">
        <v>3217</v>
      </c>
      <c r="T151" s="229" t="s">
        <v>3036</v>
      </c>
      <c r="U151" s="230" t="s">
        <v>3580</v>
      </c>
      <c r="V151" s="229"/>
      <c r="W151" s="232" t="e">
        <f t="shared" ref="W151:W163" ca="1" si="64">_xlfn.SINGLE(IF(AG151=0,"Yes","No"))</f>
        <v>#NAME?</v>
      </c>
      <c r="X151" s="458">
        <v>88</v>
      </c>
      <c r="Y151" s="249" t="s">
        <v>3581</v>
      </c>
      <c r="Z151" s="236">
        <v>43922</v>
      </c>
      <c r="AA151" s="237"/>
      <c r="AB151" s="236"/>
      <c r="AC151" s="236"/>
      <c r="AD151" s="237"/>
      <c r="AE151" s="236"/>
      <c r="AF151" s="236"/>
      <c r="AG151" s="238">
        <f t="shared" ref="AG151:AG169" si="65">(Q151/P151)-X151-AA151-AD151</f>
        <v>0</v>
      </c>
      <c r="AH151" s="248"/>
      <c r="AI151" s="229"/>
      <c r="AJ151" s="237"/>
      <c r="AK151" s="241" t="e">
        <f t="shared" ref="AK151:AK169" ca="1" si="66">_xlfn.SINGLE(IF(R151="TBD",49674,R151))</f>
        <v>#NAME?</v>
      </c>
      <c r="AL151" s="235" t="s">
        <v>3582</v>
      </c>
      <c r="AM151" s="229"/>
      <c r="AN151" s="229"/>
      <c r="AP151" s="228" t="s">
        <v>3583</v>
      </c>
      <c r="AQ151" s="228" t="s">
        <v>3584</v>
      </c>
      <c r="AR151" s="228" t="s">
        <v>3063</v>
      </c>
      <c r="AS151" s="242">
        <f t="shared" ref="AS151:AS169" si="67">+Q151</f>
        <v>3440.8</v>
      </c>
      <c r="AT151" s="242">
        <f t="shared" ref="AT151:AT169" si="68">+AS151*0.101</f>
        <v>347.52080000000007</v>
      </c>
      <c r="AU151" s="242">
        <v>0</v>
      </c>
      <c r="AV151" s="242">
        <v>0</v>
      </c>
      <c r="AW151" s="242">
        <f t="shared" ref="AW151:AW169" si="69">SUBTOTAL(9,AS151:AV151)</f>
        <v>3788.3208000000004</v>
      </c>
      <c r="AX151" s="237">
        <f t="shared" ref="AX151:AX156" si="70">+N151</f>
        <v>88</v>
      </c>
      <c r="AY151" s="242" t="s">
        <v>2739</v>
      </c>
      <c r="AZ151" s="242">
        <f t="shared" ref="AZ151:AZ159" si="71">+AW151/AX151</f>
        <v>43.049100000000003</v>
      </c>
      <c r="BA151" s="242" t="s">
        <v>2824</v>
      </c>
      <c r="BB151" s="242" t="s">
        <v>2739</v>
      </c>
      <c r="BC151" s="242">
        <v>10</v>
      </c>
      <c r="BD151" s="242">
        <f t="shared" ref="BD151:BD182" si="72">+AZ151*BC151</f>
        <v>430.49100000000004</v>
      </c>
      <c r="BF151" s="228" t="s">
        <v>3137</v>
      </c>
      <c r="BG151" s="227" t="s">
        <v>3040</v>
      </c>
    </row>
    <row r="152" spans="1:59" s="228" customFormat="1" ht="15" customHeight="1">
      <c r="A152" s="227">
        <v>43917</v>
      </c>
      <c r="B152" s="228" t="s">
        <v>3056</v>
      </c>
      <c r="C152" s="229" t="s">
        <v>3436</v>
      </c>
      <c r="D152" s="230" t="s">
        <v>3590</v>
      </c>
      <c r="E152" s="229" t="s">
        <v>3438</v>
      </c>
      <c r="F152" s="231" t="s">
        <v>2846</v>
      </c>
      <c r="G152" s="231" t="s">
        <v>2846</v>
      </c>
      <c r="H152" s="231">
        <v>25</v>
      </c>
      <c r="I152" s="229" t="s">
        <v>2739</v>
      </c>
      <c r="J152" s="229" t="s">
        <v>2846</v>
      </c>
      <c r="K152" s="229" t="s">
        <v>2846</v>
      </c>
      <c r="L152" s="232">
        <v>8</v>
      </c>
      <c r="M152" s="232" t="s">
        <v>2953</v>
      </c>
      <c r="N152" s="231">
        <f t="shared" ref="N152:N157" si="73">L152*H152</f>
        <v>200</v>
      </c>
      <c r="O152" s="231" t="s">
        <v>2846</v>
      </c>
      <c r="P152" s="233">
        <v>5.8</v>
      </c>
      <c r="Q152" s="233">
        <f t="shared" si="63"/>
        <v>1160</v>
      </c>
      <c r="R152" s="227">
        <v>43921</v>
      </c>
      <c r="S152" s="235" t="s">
        <v>3217</v>
      </c>
      <c r="T152" s="229" t="s">
        <v>3036</v>
      </c>
      <c r="U152" s="230" t="s">
        <v>3591</v>
      </c>
      <c r="V152" s="229"/>
      <c r="W152" s="232" t="e">
        <f t="shared" ca="1" si="64"/>
        <v>#NAME?</v>
      </c>
      <c r="X152" s="456">
        <v>200</v>
      </c>
      <c r="Y152" s="230" t="s">
        <v>3592</v>
      </c>
      <c r="Z152" s="236">
        <v>43922</v>
      </c>
      <c r="AA152" s="237"/>
      <c r="AB152" s="236"/>
      <c r="AC152" s="236"/>
      <c r="AD152" s="237"/>
      <c r="AE152" s="236"/>
      <c r="AF152" s="236"/>
      <c r="AG152" s="238">
        <f t="shared" si="65"/>
        <v>0</v>
      </c>
      <c r="AH152" s="248"/>
      <c r="AI152" s="229"/>
      <c r="AJ152" s="237"/>
      <c r="AK152" s="241" t="e">
        <f t="shared" ca="1" si="66"/>
        <v>#NAME?</v>
      </c>
      <c r="AL152" s="235"/>
      <c r="AM152" s="229"/>
      <c r="AN152" s="229"/>
      <c r="AP152" s="228" t="s">
        <v>3593</v>
      </c>
      <c r="AQ152" s="228" t="s">
        <v>3594</v>
      </c>
      <c r="AR152" s="228" t="s">
        <v>3063</v>
      </c>
      <c r="AS152" s="242">
        <f t="shared" si="67"/>
        <v>1160</v>
      </c>
      <c r="AT152" s="242">
        <f t="shared" si="68"/>
        <v>117.16000000000001</v>
      </c>
      <c r="AU152" s="242">
        <v>0</v>
      </c>
      <c r="AV152" s="242">
        <v>0</v>
      </c>
      <c r="AW152" s="242">
        <f t="shared" si="69"/>
        <v>1277.1600000000001</v>
      </c>
      <c r="AX152" s="237">
        <f t="shared" si="70"/>
        <v>200</v>
      </c>
      <c r="AY152" s="242" t="s">
        <v>2739</v>
      </c>
      <c r="AZ152" s="242">
        <f t="shared" si="71"/>
        <v>6.3858000000000006</v>
      </c>
      <c r="BA152" s="242" t="s">
        <v>2804</v>
      </c>
      <c r="BB152" s="242" t="s">
        <v>2739</v>
      </c>
      <c r="BC152" s="242">
        <v>1</v>
      </c>
      <c r="BD152" s="242">
        <f t="shared" si="72"/>
        <v>6.3858000000000006</v>
      </c>
      <c r="BF152" s="228" t="s">
        <v>36</v>
      </c>
      <c r="BG152" s="227" t="s">
        <v>3040</v>
      </c>
    </row>
    <row r="153" spans="1:59" s="228" customFormat="1" ht="15" customHeight="1">
      <c r="A153" s="227">
        <v>43917</v>
      </c>
      <c r="B153" s="228" t="s">
        <v>3596</v>
      </c>
      <c r="C153" s="229" t="s">
        <v>3436</v>
      </c>
      <c r="D153" s="230" t="s">
        <v>3597</v>
      </c>
      <c r="E153" s="229" t="s">
        <v>3598</v>
      </c>
      <c r="F153" s="231" t="s">
        <v>2846</v>
      </c>
      <c r="G153" s="231" t="s">
        <v>2846</v>
      </c>
      <c r="H153" s="231">
        <v>25</v>
      </c>
      <c r="I153" s="229" t="s">
        <v>2739</v>
      </c>
      <c r="J153" s="229" t="s">
        <v>2846</v>
      </c>
      <c r="K153" s="229" t="s">
        <v>2846</v>
      </c>
      <c r="L153" s="232">
        <v>8</v>
      </c>
      <c r="M153" s="232" t="s">
        <v>2953</v>
      </c>
      <c r="N153" s="231">
        <f t="shared" si="73"/>
        <v>200</v>
      </c>
      <c r="O153" s="231" t="s">
        <v>2846</v>
      </c>
      <c r="P153" s="233">
        <v>4.3099999999999996</v>
      </c>
      <c r="Q153" s="233">
        <f t="shared" si="63"/>
        <v>861.99999999999989</v>
      </c>
      <c r="R153" s="227">
        <v>43921</v>
      </c>
      <c r="S153" s="235" t="s">
        <v>3217</v>
      </c>
      <c r="T153" s="229" t="s">
        <v>3036</v>
      </c>
      <c r="U153" s="230">
        <v>5974070</v>
      </c>
      <c r="V153" s="229"/>
      <c r="W153" s="232" t="e">
        <f t="shared" ca="1" si="64"/>
        <v>#NAME?</v>
      </c>
      <c r="X153" s="456">
        <v>200</v>
      </c>
      <c r="Y153" s="230">
        <v>4193203</v>
      </c>
      <c r="Z153" s="236">
        <v>43922</v>
      </c>
      <c r="AA153" s="237"/>
      <c r="AB153" s="236"/>
      <c r="AC153" s="236"/>
      <c r="AD153" s="237"/>
      <c r="AE153" s="236"/>
      <c r="AF153" s="236"/>
      <c r="AG153" s="238">
        <f t="shared" si="65"/>
        <v>0</v>
      </c>
      <c r="AH153" s="248"/>
      <c r="AI153" s="229"/>
      <c r="AJ153" s="237"/>
      <c r="AK153" s="241" t="e">
        <f t="shared" ca="1" si="66"/>
        <v>#NAME?</v>
      </c>
      <c r="AL153" s="235"/>
      <c r="AM153" s="229"/>
      <c r="AN153" s="229"/>
      <c r="AP153" s="228" t="s">
        <v>3599</v>
      </c>
      <c r="AQ153" s="228" t="s">
        <v>3600</v>
      </c>
      <c r="AR153" s="228" t="s">
        <v>3039</v>
      </c>
      <c r="AS153" s="242">
        <f t="shared" si="67"/>
        <v>861.99999999999989</v>
      </c>
      <c r="AT153" s="242">
        <f t="shared" si="68"/>
        <v>87.061999999999998</v>
      </c>
      <c r="AU153" s="242">
        <v>0</v>
      </c>
      <c r="AV153" s="242">
        <v>0</v>
      </c>
      <c r="AW153" s="242">
        <f t="shared" si="69"/>
        <v>949.0619999999999</v>
      </c>
      <c r="AX153" s="237">
        <f t="shared" si="70"/>
        <v>200</v>
      </c>
      <c r="AY153" s="242" t="s">
        <v>2739</v>
      </c>
      <c r="AZ153" s="242">
        <f t="shared" si="71"/>
        <v>4.7453099999999999</v>
      </c>
      <c r="BA153" s="242" t="s">
        <v>2804</v>
      </c>
      <c r="BB153" s="242" t="s">
        <v>2739</v>
      </c>
      <c r="BC153" s="242">
        <v>1</v>
      </c>
      <c r="BD153" s="242">
        <f t="shared" si="72"/>
        <v>4.7453099999999999</v>
      </c>
      <c r="BF153" s="228" t="s">
        <v>36</v>
      </c>
      <c r="BG153" s="227" t="s">
        <v>3040</v>
      </c>
    </row>
    <row r="154" spans="1:59" s="228" customFormat="1" ht="15" customHeight="1">
      <c r="A154" s="227">
        <v>43917</v>
      </c>
      <c r="B154" s="228" t="s">
        <v>3056</v>
      </c>
      <c r="C154" s="229" t="s">
        <v>3430</v>
      </c>
      <c r="D154" s="230" t="s">
        <v>3532</v>
      </c>
      <c r="E154" s="229" t="s">
        <v>3432</v>
      </c>
      <c r="F154" s="231" t="s">
        <v>2846</v>
      </c>
      <c r="G154" s="231" t="s">
        <v>2846</v>
      </c>
      <c r="H154" s="231">
        <v>25</v>
      </c>
      <c r="I154" s="229" t="s">
        <v>2739</v>
      </c>
      <c r="J154" s="229" t="s">
        <v>2846</v>
      </c>
      <c r="K154" s="229" t="s">
        <v>2846</v>
      </c>
      <c r="L154" s="232">
        <v>8</v>
      </c>
      <c r="M154" s="232" t="s">
        <v>2953</v>
      </c>
      <c r="N154" s="231">
        <f t="shared" si="73"/>
        <v>200</v>
      </c>
      <c r="O154" s="231" t="s">
        <v>2846</v>
      </c>
      <c r="P154" s="233">
        <v>6</v>
      </c>
      <c r="Q154" s="233">
        <f t="shared" si="63"/>
        <v>1200</v>
      </c>
      <c r="R154" s="227">
        <v>43921</v>
      </c>
      <c r="S154" s="235" t="s">
        <v>3217</v>
      </c>
      <c r="T154" s="229" t="s">
        <v>3036</v>
      </c>
      <c r="U154" s="230" t="s">
        <v>3591</v>
      </c>
      <c r="V154" s="229"/>
      <c r="W154" s="232" t="e">
        <f t="shared" ca="1" si="64"/>
        <v>#NAME?</v>
      </c>
      <c r="X154" s="456">
        <v>200</v>
      </c>
      <c r="Y154" s="230" t="s">
        <v>3592</v>
      </c>
      <c r="Z154" s="236">
        <v>43922</v>
      </c>
      <c r="AA154" s="237"/>
      <c r="AB154" s="236"/>
      <c r="AC154" s="236"/>
      <c r="AD154" s="237"/>
      <c r="AE154" s="236"/>
      <c r="AF154" s="236"/>
      <c r="AG154" s="238">
        <f t="shared" si="65"/>
        <v>0</v>
      </c>
      <c r="AH154" s="248"/>
      <c r="AI154" s="229"/>
      <c r="AJ154" s="237"/>
      <c r="AK154" s="241" t="e">
        <f t="shared" ca="1" si="66"/>
        <v>#NAME?</v>
      </c>
      <c r="AL154" s="235"/>
      <c r="AM154" s="229"/>
      <c r="AN154" s="229"/>
      <c r="AP154" s="228" t="s">
        <v>3595</v>
      </c>
      <c r="AQ154" s="228" t="s">
        <v>3594</v>
      </c>
      <c r="AR154" s="228" t="s">
        <v>3063</v>
      </c>
      <c r="AS154" s="242">
        <f t="shared" si="67"/>
        <v>1200</v>
      </c>
      <c r="AT154" s="242">
        <f t="shared" si="68"/>
        <v>121.2</v>
      </c>
      <c r="AU154" s="242">
        <v>0</v>
      </c>
      <c r="AV154" s="242">
        <v>0</v>
      </c>
      <c r="AW154" s="242">
        <f t="shared" si="69"/>
        <v>1321.2</v>
      </c>
      <c r="AX154" s="237">
        <f t="shared" si="70"/>
        <v>200</v>
      </c>
      <c r="AY154" s="242" t="s">
        <v>2739</v>
      </c>
      <c r="AZ154" s="242">
        <f t="shared" si="71"/>
        <v>6.6059999999999999</v>
      </c>
      <c r="BA154" s="242" t="s">
        <v>2806</v>
      </c>
      <c r="BB154" s="242" t="s">
        <v>2739</v>
      </c>
      <c r="BC154" s="242">
        <v>1</v>
      </c>
      <c r="BD154" s="242">
        <f t="shared" si="72"/>
        <v>6.6059999999999999</v>
      </c>
      <c r="BF154" s="228" t="s">
        <v>36</v>
      </c>
      <c r="BG154" s="227" t="s">
        <v>3040</v>
      </c>
    </row>
    <row r="155" spans="1:59" s="228" customFormat="1" ht="15" customHeight="1">
      <c r="A155" s="227">
        <v>43917</v>
      </c>
      <c r="B155" s="228" t="s">
        <v>3596</v>
      </c>
      <c r="C155" s="229" t="s">
        <v>3430</v>
      </c>
      <c r="D155" s="230" t="s">
        <v>3597</v>
      </c>
      <c r="E155" s="229" t="s">
        <v>3601</v>
      </c>
      <c r="F155" s="231" t="s">
        <v>2846</v>
      </c>
      <c r="G155" s="231" t="s">
        <v>2846</v>
      </c>
      <c r="H155" s="231">
        <v>25</v>
      </c>
      <c r="I155" s="229" t="s">
        <v>2739</v>
      </c>
      <c r="J155" s="229" t="s">
        <v>2846</v>
      </c>
      <c r="K155" s="229" t="s">
        <v>2846</v>
      </c>
      <c r="L155" s="232">
        <v>8</v>
      </c>
      <c r="M155" s="232" t="s">
        <v>2953</v>
      </c>
      <c r="N155" s="231">
        <f t="shared" si="73"/>
        <v>200</v>
      </c>
      <c r="O155" s="231" t="s">
        <v>2846</v>
      </c>
      <c r="P155" s="233">
        <v>4.57</v>
      </c>
      <c r="Q155" s="233">
        <f t="shared" si="63"/>
        <v>914</v>
      </c>
      <c r="R155" s="227">
        <v>43921</v>
      </c>
      <c r="S155" s="235" t="s">
        <v>3217</v>
      </c>
      <c r="T155" s="229" t="s">
        <v>3036</v>
      </c>
      <c r="U155" s="230">
        <v>5974070</v>
      </c>
      <c r="V155" s="229"/>
      <c r="W155" s="232" t="e">
        <f t="shared" ca="1" si="64"/>
        <v>#NAME?</v>
      </c>
      <c r="X155" s="456">
        <v>200</v>
      </c>
      <c r="Y155" s="230">
        <v>4193203</v>
      </c>
      <c r="Z155" s="236">
        <v>43922</v>
      </c>
      <c r="AA155" s="237"/>
      <c r="AB155" s="236"/>
      <c r="AC155" s="236"/>
      <c r="AD155" s="237"/>
      <c r="AE155" s="236"/>
      <c r="AF155" s="236"/>
      <c r="AG155" s="238">
        <f t="shared" si="65"/>
        <v>0</v>
      </c>
      <c r="AH155" s="248"/>
      <c r="AI155" s="229"/>
      <c r="AJ155" s="237"/>
      <c r="AK155" s="241" t="e">
        <f t="shared" ca="1" si="66"/>
        <v>#NAME?</v>
      </c>
      <c r="AL155" s="235"/>
      <c r="AM155" s="229"/>
      <c r="AN155" s="229"/>
      <c r="AP155" s="228" t="s">
        <v>3602</v>
      </c>
      <c r="AQ155" s="228" t="s">
        <v>3600</v>
      </c>
      <c r="AR155" s="228" t="s">
        <v>3039</v>
      </c>
      <c r="AS155" s="242">
        <f t="shared" si="67"/>
        <v>914</v>
      </c>
      <c r="AT155" s="242">
        <f t="shared" si="68"/>
        <v>92.314000000000007</v>
      </c>
      <c r="AU155" s="242">
        <v>0</v>
      </c>
      <c r="AV155" s="242">
        <v>0</v>
      </c>
      <c r="AW155" s="242">
        <f t="shared" si="69"/>
        <v>1006.314</v>
      </c>
      <c r="AX155" s="237">
        <f t="shared" si="70"/>
        <v>200</v>
      </c>
      <c r="AY155" s="242" t="s">
        <v>2739</v>
      </c>
      <c r="AZ155" s="242">
        <f t="shared" si="71"/>
        <v>5.0315699999999994</v>
      </c>
      <c r="BA155" s="242" t="s">
        <v>2806</v>
      </c>
      <c r="BB155" s="242" t="s">
        <v>2739</v>
      </c>
      <c r="BC155" s="242">
        <v>1</v>
      </c>
      <c r="BD155" s="242">
        <f t="shared" si="72"/>
        <v>5.0315699999999994</v>
      </c>
      <c r="BF155" s="228" t="s">
        <v>36</v>
      </c>
      <c r="BG155" s="227" t="s">
        <v>3040</v>
      </c>
    </row>
    <row r="156" spans="1:59" s="228" customFormat="1" ht="15" customHeight="1">
      <c r="A156" s="227">
        <v>43917</v>
      </c>
      <c r="B156" s="228" t="s">
        <v>3056</v>
      </c>
      <c r="C156" s="229" t="s">
        <v>1584</v>
      </c>
      <c r="D156" s="230" t="s">
        <v>3585</v>
      </c>
      <c r="E156" s="229" t="s">
        <v>3424</v>
      </c>
      <c r="F156" s="231">
        <v>16</v>
      </c>
      <c r="G156" s="231">
        <f>F156*N156</f>
        <v>17280</v>
      </c>
      <c r="H156" s="231">
        <v>12</v>
      </c>
      <c r="I156" s="229" t="s">
        <v>3132</v>
      </c>
      <c r="J156" s="229" t="s">
        <v>2846</v>
      </c>
      <c r="K156" s="229" t="s">
        <v>2846</v>
      </c>
      <c r="L156" s="232">
        <v>90</v>
      </c>
      <c r="M156" s="232" t="s">
        <v>2953</v>
      </c>
      <c r="N156" s="231">
        <f t="shared" si="73"/>
        <v>1080</v>
      </c>
      <c r="O156" s="231" t="s">
        <v>2846</v>
      </c>
      <c r="P156" s="233">
        <v>6.15</v>
      </c>
      <c r="Q156" s="233">
        <f t="shared" si="63"/>
        <v>6642</v>
      </c>
      <c r="R156" s="227">
        <v>43924</v>
      </c>
      <c r="S156" s="235" t="s">
        <v>3217</v>
      </c>
      <c r="T156" s="229" t="s">
        <v>3036</v>
      </c>
      <c r="U156" s="230" t="s">
        <v>3586</v>
      </c>
      <c r="V156" s="229"/>
      <c r="W156" s="232" t="e">
        <f t="shared" ca="1" si="64"/>
        <v>#NAME?</v>
      </c>
      <c r="X156" s="456">
        <v>1080</v>
      </c>
      <c r="Y156" s="230" t="s">
        <v>3587</v>
      </c>
      <c r="Z156" s="236">
        <v>43948</v>
      </c>
      <c r="AA156" s="237"/>
      <c r="AD156" s="237"/>
      <c r="AG156" s="238">
        <f t="shared" si="65"/>
        <v>0</v>
      </c>
      <c r="AH156" s="247" t="s">
        <v>82</v>
      </c>
      <c r="AI156" s="229" t="s">
        <v>2736</v>
      </c>
      <c r="AJ156" s="237">
        <f>+AG156</f>
        <v>0</v>
      </c>
      <c r="AK156" s="241" t="e">
        <f t="shared" ca="1" si="66"/>
        <v>#NAME?</v>
      </c>
      <c r="AL156" s="235"/>
      <c r="AM156" s="229"/>
      <c r="AN156" s="229"/>
      <c r="AP156" s="228" t="s">
        <v>3588</v>
      </c>
      <c r="AQ156" s="228" t="s">
        <v>3589</v>
      </c>
      <c r="AR156" s="228" t="s">
        <v>3063</v>
      </c>
      <c r="AS156" s="242">
        <f t="shared" si="67"/>
        <v>6642</v>
      </c>
      <c r="AT156" s="242">
        <f t="shared" si="68"/>
        <v>670.8420000000001</v>
      </c>
      <c r="AU156" s="242">
        <v>0</v>
      </c>
      <c r="AV156" s="242">
        <v>0</v>
      </c>
      <c r="AW156" s="242">
        <f t="shared" si="69"/>
        <v>7312.8420000000006</v>
      </c>
      <c r="AX156" s="237">
        <f t="shared" si="70"/>
        <v>1080</v>
      </c>
      <c r="AY156" s="242" t="s">
        <v>2736</v>
      </c>
      <c r="AZ156" s="242">
        <f t="shared" si="71"/>
        <v>6.7711500000000004</v>
      </c>
      <c r="BA156" s="279" t="s">
        <v>2786</v>
      </c>
      <c r="BB156" s="242" t="s">
        <v>2739</v>
      </c>
      <c r="BC156" s="242">
        <v>1</v>
      </c>
      <c r="BD156" s="242">
        <f t="shared" si="72"/>
        <v>6.7711500000000004</v>
      </c>
      <c r="BF156" s="228" t="s">
        <v>3137</v>
      </c>
      <c r="BG156" s="227" t="s">
        <v>3040</v>
      </c>
    </row>
    <row r="157" spans="1:59" s="228" customFormat="1" ht="15" customHeight="1">
      <c r="A157" s="227">
        <v>43920</v>
      </c>
      <c r="B157" s="228" t="s">
        <v>3596</v>
      </c>
      <c r="C157" s="230" t="s">
        <v>3603</v>
      </c>
      <c r="D157" s="230" t="s">
        <v>3604</v>
      </c>
      <c r="E157" s="229" t="s">
        <v>3605</v>
      </c>
      <c r="F157" s="231">
        <v>40.58</v>
      </c>
      <c r="G157" s="231">
        <f>N157*F157</f>
        <v>649.28</v>
      </c>
      <c r="H157" s="231">
        <v>4</v>
      </c>
      <c r="I157" s="229" t="s">
        <v>2739</v>
      </c>
      <c r="J157" s="229" t="s">
        <v>2846</v>
      </c>
      <c r="K157" s="229" t="s">
        <v>2846</v>
      </c>
      <c r="L157" s="232">
        <v>4</v>
      </c>
      <c r="M157" s="232" t="s">
        <v>2953</v>
      </c>
      <c r="N157" s="231">
        <f t="shared" si="73"/>
        <v>16</v>
      </c>
      <c r="O157" s="231" t="s">
        <v>2846</v>
      </c>
      <c r="P157" s="233">
        <v>66.33</v>
      </c>
      <c r="Q157" s="233">
        <f>P157*L157</f>
        <v>265.32</v>
      </c>
      <c r="R157" s="227">
        <v>43921</v>
      </c>
      <c r="S157" s="235" t="s">
        <v>3217</v>
      </c>
      <c r="T157" s="229" t="s">
        <v>3036</v>
      </c>
      <c r="U157" s="230">
        <v>5974252</v>
      </c>
      <c r="V157" s="229"/>
      <c r="W157" s="232" t="e">
        <f t="shared" ca="1" si="64"/>
        <v>#NAME?</v>
      </c>
      <c r="X157" s="456">
        <v>4</v>
      </c>
      <c r="Y157" s="230">
        <v>4193204</v>
      </c>
      <c r="Z157" s="236">
        <v>43922</v>
      </c>
      <c r="AA157" s="237"/>
      <c r="AB157" s="236"/>
      <c r="AC157" s="236"/>
      <c r="AD157" s="237"/>
      <c r="AE157" s="236"/>
      <c r="AF157" s="236"/>
      <c r="AG157" s="238">
        <f t="shared" si="65"/>
        <v>0</v>
      </c>
      <c r="AH157" s="248"/>
      <c r="AI157" s="229"/>
      <c r="AJ157" s="237"/>
      <c r="AK157" s="241" t="e">
        <f t="shared" ca="1" si="66"/>
        <v>#NAME?</v>
      </c>
      <c r="AL157" s="235"/>
      <c r="AM157" s="229"/>
      <c r="AN157" s="229"/>
      <c r="AP157" s="228" t="s">
        <v>3606</v>
      </c>
      <c r="AQ157" s="228" t="s">
        <v>3607</v>
      </c>
      <c r="AR157" s="228" t="s">
        <v>3039</v>
      </c>
      <c r="AS157" s="242">
        <f t="shared" si="67"/>
        <v>265.32</v>
      </c>
      <c r="AT157" s="242">
        <f t="shared" si="68"/>
        <v>26.797320000000003</v>
      </c>
      <c r="AU157" s="242">
        <v>0</v>
      </c>
      <c r="AV157" s="242">
        <v>0</v>
      </c>
      <c r="AW157" s="242">
        <f t="shared" si="69"/>
        <v>292.11732000000001</v>
      </c>
      <c r="AX157" s="237">
        <f>+L157</f>
        <v>4</v>
      </c>
      <c r="AY157" s="242" t="s">
        <v>2739</v>
      </c>
      <c r="AZ157" s="242">
        <f t="shared" si="71"/>
        <v>73.029330000000002</v>
      </c>
      <c r="BA157" s="242" t="s">
        <v>2784</v>
      </c>
      <c r="BB157" s="242" t="s">
        <v>2739</v>
      </c>
      <c r="BC157" s="242">
        <v>1</v>
      </c>
      <c r="BD157" s="242">
        <f t="shared" si="72"/>
        <v>73.029330000000002</v>
      </c>
      <c r="BF157" s="228" t="s">
        <v>3137</v>
      </c>
      <c r="BG157" s="227" t="s">
        <v>3040</v>
      </c>
    </row>
    <row r="158" spans="1:59" s="196" customFormat="1" ht="15" customHeight="1">
      <c r="A158" s="227">
        <v>43920</v>
      </c>
      <c r="B158" s="228" t="s">
        <v>3596</v>
      </c>
      <c r="C158" s="229" t="s">
        <v>3436</v>
      </c>
      <c r="D158" s="230" t="s">
        <v>3597</v>
      </c>
      <c r="E158" s="229" t="s">
        <v>3598</v>
      </c>
      <c r="F158" s="231" t="s">
        <v>2846</v>
      </c>
      <c r="G158" s="231" t="s">
        <v>2846</v>
      </c>
      <c r="H158" s="231">
        <v>25</v>
      </c>
      <c r="I158" s="229" t="s">
        <v>2739</v>
      </c>
      <c r="J158" s="229" t="s">
        <v>2846</v>
      </c>
      <c r="K158" s="229" t="s">
        <v>2846</v>
      </c>
      <c r="L158" s="232">
        <f>N158/H158</f>
        <v>4</v>
      </c>
      <c r="M158" s="232" t="s">
        <v>2953</v>
      </c>
      <c r="N158" s="231">
        <v>100</v>
      </c>
      <c r="O158" s="231" t="s">
        <v>2846</v>
      </c>
      <c r="P158" s="233">
        <v>4.3099999999999996</v>
      </c>
      <c r="Q158" s="233">
        <f>P158*N158</f>
        <v>430.99999999999994</v>
      </c>
      <c r="R158" s="227">
        <v>43921</v>
      </c>
      <c r="S158" s="235" t="s">
        <v>3217</v>
      </c>
      <c r="T158" s="229" t="s">
        <v>3036</v>
      </c>
      <c r="U158" s="230">
        <v>5974253</v>
      </c>
      <c r="V158" s="229"/>
      <c r="W158" s="232" t="e">
        <f t="shared" ca="1" si="64"/>
        <v>#NAME?</v>
      </c>
      <c r="X158" s="456">
        <v>100</v>
      </c>
      <c r="Y158" s="230">
        <v>4193205</v>
      </c>
      <c r="Z158" s="236">
        <v>43922</v>
      </c>
      <c r="AA158" s="237"/>
      <c r="AB158" s="236"/>
      <c r="AC158" s="236"/>
      <c r="AD158" s="237"/>
      <c r="AE158" s="236"/>
      <c r="AF158" s="236"/>
      <c r="AG158" s="238">
        <f t="shared" si="65"/>
        <v>0</v>
      </c>
      <c r="AH158" s="248"/>
      <c r="AI158" s="229"/>
      <c r="AJ158" s="237"/>
      <c r="AK158" s="241" t="e">
        <f t="shared" ca="1" si="66"/>
        <v>#NAME?</v>
      </c>
      <c r="AL158" s="235"/>
      <c r="AM158" s="229"/>
      <c r="AN158" s="229"/>
      <c r="AO158" s="228"/>
      <c r="AP158" s="228" t="s">
        <v>3608</v>
      </c>
      <c r="AQ158" s="228" t="s">
        <v>3609</v>
      </c>
      <c r="AR158" s="228" t="s">
        <v>3039</v>
      </c>
      <c r="AS158" s="242">
        <f t="shared" si="67"/>
        <v>430.99999999999994</v>
      </c>
      <c r="AT158" s="242">
        <f t="shared" si="68"/>
        <v>43.530999999999999</v>
      </c>
      <c r="AU158" s="242">
        <v>0</v>
      </c>
      <c r="AV158" s="242">
        <v>0</v>
      </c>
      <c r="AW158" s="242">
        <f t="shared" si="69"/>
        <v>474.53099999999995</v>
      </c>
      <c r="AX158" s="237">
        <f>+N158</f>
        <v>100</v>
      </c>
      <c r="AY158" s="242" t="s">
        <v>2739</v>
      </c>
      <c r="AZ158" s="242">
        <f t="shared" si="71"/>
        <v>4.7453099999999999</v>
      </c>
      <c r="BA158" s="242" t="s">
        <v>2804</v>
      </c>
      <c r="BB158" s="242" t="s">
        <v>2739</v>
      </c>
      <c r="BC158" s="242">
        <v>1</v>
      </c>
      <c r="BD158" s="242">
        <f t="shared" si="72"/>
        <v>4.7453099999999999</v>
      </c>
      <c r="BE158" s="228"/>
      <c r="BF158" s="228" t="s">
        <v>36</v>
      </c>
      <c r="BG158" s="227" t="s">
        <v>3040</v>
      </c>
    </row>
    <row r="159" spans="1:59" s="228" customFormat="1" ht="15" customHeight="1">
      <c r="A159" s="227">
        <v>43920</v>
      </c>
      <c r="B159" s="228" t="s">
        <v>3596</v>
      </c>
      <c r="C159" s="229" t="s">
        <v>3430</v>
      </c>
      <c r="D159" s="230" t="s">
        <v>3597</v>
      </c>
      <c r="E159" s="229" t="s">
        <v>3601</v>
      </c>
      <c r="F159" s="231" t="s">
        <v>2846</v>
      </c>
      <c r="G159" s="231" t="s">
        <v>2846</v>
      </c>
      <c r="H159" s="231">
        <v>25</v>
      </c>
      <c r="I159" s="229" t="s">
        <v>2739</v>
      </c>
      <c r="J159" s="229" t="s">
        <v>2846</v>
      </c>
      <c r="K159" s="229" t="s">
        <v>2846</v>
      </c>
      <c r="L159" s="232">
        <f>N159/H159</f>
        <v>6</v>
      </c>
      <c r="M159" s="232" t="s">
        <v>2953</v>
      </c>
      <c r="N159" s="231">
        <v>150</v>
      </c>
      <c r="O159" s="231" t="s">
        <v>2846</v>
      </c>
      <c r="P159" s="233">
        <v>4.57</v>
      </c>
      <c r="Q159" s="233">
        <f>P159*N159</f>
        <v>685.5</v>
      </c>
      <c r="R159" s="227">
        <v>43921</v>
      </c>
      <c r="S159" s="235" t="s">
        <v>3217</v>
      </c>
      <c r="T159" s="229" t="s">
        <v>3036</v>
      </c>
      <c r="U159" s="230">
        <v>5974253</v>
      </c>
      <c r="V159" s="229"/>
      <c r="W159" s="232" t="e">
        <f t="shared" ca="1" si="64"/>
        <v>#NAME?</v>
      </c>
      <c r="X159" s="456">
        <v>150</v>
      </c>
      <c r="Y159" s="230">
        <v>4193205</v>
      </c>
      <c r="Z159" s="236">
        <v>43922</v>
      </c>
      <c r="AA159" s="237"/>
      <c r="AB159" s="236"/>
      <c r="AC159" s="236"/>
      <c r="AD159" s="237"/>
      <c r="AE159" s="236"/>
      <c r="AF159" s="236"/>
      <c r="AG159" s="238">
        <f t="shared" si="65"/>
        <v>0</v>
      </c>
      <c r="AH159" s="248"/>
      <c r="AI159" s="229"/>
      <c r="AJ159" s="237"/>
      <c r="AK159" s="241" t="e">
        <f t="shared" ca="1" si="66"/>
        <v>#NAME?</v>
      </c>
      <c r="AL159" s="235"/>
      <c r="AM159" s="229"/>
      <c r="AN159" s="229"/>
      <c r="AP159" s="228" t="s">
        <v>3610</v>
      </c>
      <c r="AQ159" s="228" t="s">
        <v>3609</v>
      </c>
      <c r="AR159" s="228" t="s">
        <v>3039</v>
      </c>
      <c r="AS159" s="242">
        <f t="shared" si="67"/>
        <v>685.5</v>
      </c>
      <c r="AT159" s="242">
        <f t="shared" si="68"/>
        <v>69.235500000000002</v>
      </c>
      <c r="AU159" s="242">
        <v>0</v>
      </c>
      <c r="AV159" s="242">
        <v>0</v>
      </c>
      <c r="AW159" s="242">
        <f t="shared" si="69"/>
        <v>754.7355</v>
      </c>
      <c r="AX159" s="237">
        <f>+N159</f>
        <v>150</v>
      </c>
      <c r="AY159" s="242" t="s">
        <v>2739</v>
      </c>
      <c r="AZ159" s="242">
        <f t="shared" si="71"/>
        <v>5.0315700000000003</v>
      </c>
      <c r="BA159" s="242" t="s">
        <v>2806</v>
      </c>
      <c r="BB159" s="242" t="s">
        <v>2739</v>
      </c>
      <c r="BC159" s="242">
        <v>1</v>
      </c>
      <c r="BD159" s="242">
        <f t="shared" si="72"/>
        <v>5.0315700000000003</v>
      </c>
      <c r="BF159" s="228" t="s">
        <v>36</v>
      </c>
      <c r="BG159" s="227" t="s">
        <v>3040</v>
      </c>
    </row>
    <row r="160" spans="1:59" s="228" customFormat="1" ht="15" customHeight="1">
      <c r="A160" s="227">
        <v>43920</v>
      </c>
      <c r="B160" s="228" t="s">
        <v>3056</v>
      </c>
      <c r="C160" s="229" t="s">
        <v>1584</v>
      </c>
      <c r="D160" s="230" t="s">
        <v>3611</v>
      </c>
      <c r="E160" s="229">
        <v>17350</v>
      </c>
      <c r="F160" s="231">
        <v>4</v>
      </c>
      <c r="G160" s="231">
        <f>F160*H160</f>
        <v>2400</v>
      </c>
      <c r="H160" s="231">
        <v>600</v>
      </c>
      <c r="I160" s="229" t="s">
        <v>3132</v>
      </c>
      <c r="J160" s="229" t="s">
        <v>2846</v>
      </c>
      <c r="K160" s="229" t="s">
        <v>2846</v>
      </c>
      <c r="L160" s="232">
        <f>N160/24</f>
        <v>25</v>
      </c>
      <c r="M160" s="232" t="s">
        <v>2953</v>
      </c>
      <c r="N160" s="231">
        <f>H160</f>
        <v>600</v>
      </c>
      <c r="O160" s="231" t="s">
        <v>2846</v>
      </c>
      <c r="P160" s="233">
        <v>3</v>
      </c>
      <c r="Q160" s="233">
        <f>P160*H160</f>
        <v>1800</v>
      </c>
      <c r="R160" s="227">
        <v>43927</v>
      </c>
      <c r="S160" s="235" t="s">
        <v>3217</v>
      </c>
      <c r="T160" s="229" t="s">
        <v>3036</v>
      </c>
      <c r="U160" s="230" t="s">
        <v>3612</v>
      </c>
      <c r="V160" s="229"/>
      <c r="W160" s="232" t="e">
        <f t="shared" ca="1" si="64"/>
        <v>#NAME?</v>
      </c>
      <c r="X160" s="456">
        <v>600</v>
      </c>
      <c r="Y160" s="230" t="s">
        <v>3613</v>
      </c>
      <c r="Z160" s="236">
        <v>43948</v>
      </c>
      <c r="AA160" s="237"/>
      <c r="AD160" s="237"/>
      <c r="AG160" s="238">
        <f t="shared" si="65"/>
        <v>0</v>
      </c>
      <c r="AH160" s="248"/>
      <c r="AI160" s="229"/>
      <c r="AJ160" s="237"/>
      <c r="AK160" s="241" t="e">
        <f t="shared" ca="1" si="66"/>
        <v>#NAME?</v>
      </c>
      <c r="AL160" s="235" t="s">
        <v>3614</v>
      </c>
      <c r="AM160" s="229"/>
      <c r="AN160" s="229"/>
      <c r="AP160" s="228" t="s">
        <v>3615</v>
      </c>
      <c r="AQ160" s="228" t="s">
        <v>3616</v>
      </c>
      <c r="AR160" s="228" t="s">
        <v>3063</v>
      </c>
      <c r="AS160" s="242">
        <f t="shared" si="67"/>
        <v>1800</v>
      </c>
      <c r="AT160" s="242">
        <f t="shared" si="68"/>
        <v>181.8</v>
      </c>
      <c r="AU160" s="242">
        <v>0</v>
      </c>
      <c r="AV160" s="242">
        <v>0</v>
      </c>
      <c r="AW160" s="242">
        <f t="shared" si="69"/>
        <v>1981.8</v>
      </c>
      <c r="AX160" s="237">
        <f>+N160</f>
        <v>600</v>
      </c>
      <c r="AY160" s="242" t="s">
        <v>2736</v>
      </c>
      <c r="AZ160" s="242"/>
      <c r="BA160" s="279" t="s">
        <v>3333</v>
      </c>
      <c r="BB160" s="242"/>
      <c r="BC160" s="242"/>
      <c r="BD160" s="242">
        <f t="shared" si="72"/>
        <v>0</v>
      </c>
      <c r="BF160" s="228" t="s">
        <v>3137</v>
      </c>
      <c r="BG160" s="227" t="s">
        <v>3040</v>
      </c>
    </row>
    <row r="161" spans="1:59" s="228" customFormat="1" ht="15" customHeight="1">
      <c r="A161" s="227">
        <v>43922</v>
      </c>
      <c r="B161" s="228" t="s">
        <v>3620</v>
      </c>
      <c r="C161" s="229" t="s">
        <v>1584</v>
      </c>
      <c r="D161" s="228" t="s">
        <v>3621</v>
      </c>
      <c r="E161" s="229" t="s">
        <v>2846</v>
      </c>
      <c r="F161" s="231">
        <v>128</v>
      </c>
      <c r="G161" s="231">
        <f>F161*N161</f>
        <v>12800</v>
      </c>
      <c r="H161" s="231">
        <v>100</v>
      </c>
      <c r="I161" s="229" t="s">
        <v>2959</v>
      </c>
      <c r="J161" s="229" t="s">
        <v>2846</v>
      </c>
      <c r="K161" s="229" t="s">
        <v>2846</v>
      </c>
      <c r="L161" s="232">
        <v>1</v>
      </c>
      <c r="M161" s="232" t="s">
        <v>64</v>
      </c>
      <c r="N161" s="231">
        <f>L161*H161</f>
        <v>100</v>
      </c>
      <c r="O161" s="231" t="s">
        <v>2846</v>
      </c>
      <c r="P161" s="233">
        <v>50</v>
      </c>
      <c r="Q161" s="233">
        <f>P161*H161</f>
        <v>5000</v>
      </c>
      <c r="R161" s="227">
        <v>43923</v>
      </c>
      <c r="S161" s="235" t="s">
        <v>3622</v>
      </c>
      <c r="T161" s="229" t="s">
        <v>3036</v>
      </c>
      <c r="U161" s="230" t="s">
        <v>3623</v>
      </c>
      <c r="V161" s="229"/>
      <c r="W161" s="232" t="e">
        <f t="shared" ca="1" si="64"/>
        <v>#NAME?</v>
      </c>
      <c r="X161" s="456">
        <v>100</v>
      </c>
      <c r="Y161" s="230" t="s">
        <v>3624</v>
      </c>
      <c r="Z161" s="236">
        <v>43923</v>
      </c>
      <c r="AA161" s="237"/>
      <c r="AD161" s="237"/>
      <c r="AG161" s="238">
        <f t="shared" si="65"/>
        <v>0</v>
      </c>
      <c r="AH161" s="248"/>
      <c r="AI161" s="229"/>
      <c r="AJ161" s="237"/>
      <c r="AK161" s="241" t="e">
        <f t="shared" ca="1" si="66"/>
        <v>#NAME?</v>
      </c>
      <c r="AL161" s="235" t="s">
        <v>3625</v>
      </c>
      <c r="AM161" s="229"/>
      <c r="AN161" s="229"/>
      <c r="AP161" s="228" t="s">
        <v>3626</v>
      </c>
      <c r="AQ161" s="228" t="s">
        <v>3627</v>
      </c>
      <c r="AR161" s="228" t="s">
        <v>3039</v>
      </c>
      <c r="AS161" s="242">
        <f t="shared" si="67"/>
        <v>5000</v>
      </c>
      <c r="AT161" s="242">
        <f t="shared" si="68"/>
        <v>505.00000000000006</v>
      </c>
      <c r="AU161" s="242">
        <v>0</v>
      </c>
      <c r="AV161" s="242">
        <v>0</v>
      </c>
      <c r="AW161" s="242">
        <f t="shared" si="69"/>
        <v>5505</v>
      </c>
      <c r="AX161" s="237">
        <f>+N161</f>
        <v>100</v>
      </c>
      <c r="AY161" s="242" t="s">
        <v>2739</v>
      </c>
      <c r="AZ161" s="242">
        <f>+AW161/AX161</f>
        <v>55.05</v>
      </c>
      <c r="BA161" s="242" t="s">
        <v>2824</v>
      </c>
      <c r="BB161" s="242" t="s">
        <v>2739</v>
      </c>
      <c r="BC161" s="242">
        <v>10</v>
      </c>
      <c r="BD161" s="242">
        <f t="shared" si="72"/>
        <v>550.5</v>
      </c>
      <c r="BF161" s="228" t="s">
        <v>3137</v>
      </c>
      <c r="BG161" s="227" t="s">
        <v>3628</v>
      </c>
    </row>
    <row r="162" spans="1:59" s="228" customFormat="1" ht="15" customHeight="1">
      <c r="A162" s="227">
        <v>43923</v>
      </c>
      <c r="B162" s="228" t="s">
        <v>3641</v>
      </c>
      <c r="C162" s="230" t="s">
        <v>3634</v>
      </c>
      <c r="D162" s="230" t="s">
        <v>3642</v>
      </c>
      <c r="E162" s="229" t="s">
        <v>3636</v>
      </c>
      <c r="F162" s="231">
        <v>128</v>
      </c>
      <c r="G162" s="231">
        <f>F162*H162</f>
        <v>15360</v>
      </c>
      <c r="H162" s="231">
        <v>120</v>
      </c>
      <c r="I162" s="229" t="s">
        <v>2959</v>
      </c>
      <c r="J162" s="229" t="s">
        <v>2846</v>
      </c>
      <c r="K162" s="229" t="s">
        <v>2846</v>
      </c>
      <c r="L162" s="232">
        <v>1</v>
      </c>
      <c r="M162" s="232" t="s">
        <v>64</v>
      </c>
      <c r="N162" s="231">
        <f>L162*H162</f>
        <v>120</v>
      </c>
      <c r="O162" s="231" t="s">
        <v>2846</v>
      </c>
      <c r="P162" s="233">
        <v>3.97</v>
      </c>
      <c r="Q162" s="233">
        <f>P162*H162</f>
        <v>476.40000000000003</v>
      </c>
      <c r="R162" s="227">
        <v>43928</v>
      </c>
      <c r="S162" s="235" t="s">
        <v>3217</v>
      </c>
      <c r="T162" s="229" t="s">
        <v>3036</v>
      </c>
      <c r="U162" s="230">
        <v>6853</v>
      </c>
      <c r="V162" s="229"/>
      <c r="W162" s="232" t="e">
        <f t="shared" ca="1" si="64"/>
        <v>#NAME?</v>
      </c>
      <c r="X162" s="456">
        <v>120</v>
      </c>
      <c r="Y162" s="230">
        <v>2001503</v>
      </c>
      <c r="Z162" s="236">
        <v>43948</v>
      </c>
      <c r="AA162" s="237"/>
      <c r="AD162" s="237"/>
      <c r="AG162" s="238">
        <f t="shared" si="65"/>
        <v>0</v>
      </c>
      <c r="AH162" s="248" t="s">
        <v>2846</v>
      </c>
      <c r="AI162" s="229" t="s">
        <v>2846</v>
      </c>
      <c r="AJ162" s="237">
        <v>0</v>
      </c>
      <c r="AK162" s="241" t="e">
        <f t="shared" ca="1" si="66"/>
        <v>#NAME?</v>
      </c>
      <c r="AL162" s="235" t="s">
        <v>3643</v>
      </c>
      <c r="AM162" s="229"/>
      <c r="AN162" s="229"/>
      <c r="AP162" s="228" t="s">
        <v>3644</v>
      </c>
      <c r="AQ162" s="228" t="s">
        <v>3645</v>
      </c>
      <c r="AR162" s="228" t="s">
        <v>3063</v>
      </c>
      <c r="AS162" s="242">
        <f t="shared" si="67"/>
        <v>476.40000000000003</v>
      </c>
      <c r="AT162" s="242">
        <f t="shared" si="68"/>
        <v>48.116400000000006</v>
      </c>
      <c r="AU162" s="242">
        <v>0</v>
      </c>
      <c r="AV162" s="242">
        <v>0</v>
      </c>
      <c r="AW162" s="242">
        <f t="shared" si="69"/>
        <v>524.51640000000009</v>
      </c>
      <c r="AX162" s="237"/>
      <c r="AY162" s="242"/>
      <c r="AZ162" s="242"/>
      <c r="BA162" s="242" t="s">
        <v>3333</v>
      </c>
      <c r="BB162" s="242"/>
      <c r="BC162" s="242"/>
      <c r="BD162" s="242">
        <f t="shared" si="72"/>
        <v>0</v>
      </c>
      <c r="BF162" s="228" t="s">
        <v>3137</v>
      </c>
      <c r="BG162" s="227" t="s">
        <v>3628</v>
      </c>
    </row>
    <row r="163" spans="1:59" s="228" customFormat="1" ht="15" customHeight="1">
      <c r="A163" s="227">
        <v>43923</v>
      </c>
      <c r="B163" s="228" t="s">
        <v>3138</v>
      </c>
      <c r="C163" s="229" t="s">
        <v>93</v>
      </c>
      <c r="D163" s="228" t="s">
        <v>3629</v>
      </c>
      <c r="E163" s="229" t="s">
        <v>3630</v>
      </c>
      <c r="F163" s="231">
        <v>32</v>
      </c>
      <c r="G163" s="231">
        <f>F163*H163</f>
        <v>96000</v>
      </c>
      <c r="H163" s="231">
        <v>3000</v>
      </c>
      <c r="I163" s="229" t="s">
        <v>3132</v>
      </c>
      <c r="J163" s="229" t="s">
        <v>2846</v>
      </c>
      <c r="K163" s="229" t="s">
        <v>2846</v>
      </c>
      <c r="L163" s="232">
        <v>1</v>
      </c>
      <c r="M163" s="232" t="s">
        <v>64</v>
      </c>
      <c r="N163" s="231">
        <f>H163</f>
        <v>3000</v>
      </c>
      <c r="O163" s="231" t="s">
        <v>2846</v>
      </c>
      <c r="P163" s="233">
        <v>3.65</v>
      </c>
      <c r="Q163" s="233">
        <f>P163*H163</f>
        <v>10950</v>
      </c>
      <c r="R163" s="227">
        <v>43945</v>
      </c>
      <c r="S163" s="235" t="s">
        <v>3217</v>
      </c>
      <c r="T163" s="229" t="s">
        <v>3036</v>
      </c>
      <c r="U163" s="230">
        <v>2599392</v>
      </c>
      <c r="V163" s="229"/>
      <c r="W163" s="232" t="e">
        <f t="shared" ca="1" si="64"/>
        <v>#NAME?</v>
      </c>
      <c r="X163" s="456">
        <v>3000</v>
      </c>
      <c r="Y163" s="230">
        <v>4830806</v>
      </c>
      <c r="Z163" s="236">
        <v>43956</v>
      </c>
      <c r="AA163" s="237"/>
      <c r="AD163" s="237"/>
      <c r="AG163" s="238">
        <f t="shared" si="65"/>
        <v>0</v>
      </c>
      <c r="AH163" s="248" t="s">
        <v>93</v>
      </c>
      <c r="AI163" s="240" t="s">
        <v>2736</v>
      </c>
      <c r="AJ163" s="237">
        <f>+AG163</f>
        <v>0</v>
      </c>
      <c r="AK163" s="241" t="e">
        <f t="shared" ca="1" si="66"/>
        <v>#NAME?</v>
      </c>
      <c r="AL163" s="235" t="s">
        <v>3631</v>
      </c>
      <c r="AM163" s="229"/>
      <c r="AN163" s="229"/>
      <c r="AP163" s="228" t="s">
        <v>3632</v>
      </c>
      <c r="AQ163" s="228" t="s">
        <v>3633</v>
      </c>
      <c r="AR163" s="228" t="s">
        <v>3039</v>
      </c>
      <c r="AS163" s="242">
        <f t="shared" si="67"/>
        <v>10950</v>
      </c>
      <c r="AT163" s="242">
        <f t="shared" si="68"/>
        <v>1105.95</v>
      </c>
      <c r="AU163" s="242">
        <v>0</v>
      </c>
      <c r="AV163" s="242">
        <v>0</v>
      </c>
      <c r="AW163" s="242">
        <f t="shared" si="69"/>
        <v>12055.95</v>
      </c>
      <c r="AX163" s="237">
        <f>+N163</f>
        <v>3000</v>
      </c>
      <c r="AY163" s="242" t="s">
        <v>2736</v>
      </c>
      <c r="AZ163" s="242">
        <f>+AW163/AX163</f>
        <v>4.0186500000000001</v>
      </c>
      <c r="BA163" s="242" t="s">
        <v>2737</v>
      </c>
      <c r="BB163" s="242" t="s">
        <v>2739</v>
      </c>
      <c r="BC163" s="242">
        <v>1</v>
      </c>
      <c r="BD163" s="242">
        <f t="shared" si="72"/>
        <v>4.0186500000000001</v>
      </c>
      <c r="BF163" s="228" t="s">
        <v>3137</v>
      </c>
      <c r="BG163" s="227" t="s">
        <v>3628</v>
      </c>
    </row>
    <row r="164" spans="1:59" s="228" customFormat="1" ht="15" customHeight="1">
      <c r="A164" s="227">
        <v>43924</v>
      </c>
      <c r="B164" s="228" t="s">
        <v>3129</v>
      </c>
      <c r="C164" s="230" t="s">
        <v>3634</v>
      </c>
      <c r="D164" s="230" t="s">
        <v>3635</v>
      </c>
      <c r="E164" s="229" t="s">
        <v>3636</v>
      </c>
      <c r="F164" s="231">
        <v>128</v>
      </c>
      <c r="G164" s="231">
        <f>F164*N164</f>
        <v>20736</v>
      </c>
      <c r="H164" s="231">
        <v>6</v>
      </c>
      <c r="I164" s="229" t="s">
        <v>2959</v>
      </c>
      <c r="J164" s="229" t="s">
        <v>2846</v>
      </c>
      <c r="K164" s="229" t="s">
        <v>2846</v>
      </c>
      <c r="L164" s="232">
        <v>27</v>
      </c>
      <c r="M164" s="232" t="s">
        <v>2953</v>
      </c>
      <c r="N164" s="231">
        <f>L164*H164</f>
        <v>162</v>
      </c>
      <c r="O164" s="231" t="s">
        <v>2846</v>
      </c>
      <c r="P164" s="233">
        <v>23.509</v>
      </c>
      <c r="Q164" s="233">
        <f>P164*L164</f>
        <v>634.74300000000005</v>
      </c>
      <c r="R164" s="227">
        <v>43934</v>
      </c>
      <c r="S164" s="235" t="s">
        <v>3217</v>
      </c>
      <c r="T164" s="229" t="s">
        <v>3036</v>
      </c>
      <c r="U164" s="230" t="s">
        <v>3637</v>
      </c>
      <c r="V164" s="229"/>
      <c r="W164" s="232" t="s">
        <v>3084</v>
      </c>
      <c r="X164" s="456">
        <v>27</v>
      </c>
      <c r="Y164" s="230" t="s">
        <v>3638</v>
      </c>
      <c r="Z164" s="236">
        <v>43962</v>
      </c>
      <c r="AA164" s="237"/>
      <c r="AD164" s="237"/>
      <c r="AG164" s="238">
        <f t="shared" si="65"/>
        <v>3.5527136788005009E-15</v>
      </c>
      <c r="AH164" s="248" t="s">
        <v>2846</v>
      </c>
      <c r="AI164" s="229" t="s">
        <v>2846</v>
      </c>
      <c r="AJ164" s="237">
        <v>0</v>
      </c>
      <c r="AK164" s="241" t="e">
        <f t="shared" ca="1" si="66"/>
        <v>#NAME?</v>
      </c>
      <c r="AL164" s="235"/>
      <c r="AM164" s="229"/>
      <c r="AN164" s="229"/>
      <c r="AP164" s="228" t="s">
        <v>3639</v>
      </c>
      <c r="AQ164" s="228" t="s">
        <v>3640</v>
      </c>
      <c r="AR164" s="228" t="s">
        <v>3063</v>
      </c>
      <c r="AS164" s="242">
        <f t="shared" si="67"/>
        <v>634.74300000000005</v>
      </c>
      <c r="AT164" s="242">
        <f t="shared" si="68"/>
        <v>64.109043000000014</v>
      </c>
      <c r="AU164" s="242">
        <v>0</v>
      </c>
      <c r="AV164" s="242">
        <v>0</v>
      </c>
      <c r="AW164" s="242">
        <f t="shared" si="69"/>
        <v>698.85204300000009</v>
      </c>
      <c r="AX164" s="237"/>
      <c r="AY164" s="242"/>
      <c r="AZ164" s="242"/>
      <c r="BA164" s="242" t="s">
        <v>3333</v>
      </c>
      <c r="BB164" s="242"/>
      <c r="BC164" s="242"/>
      <c r="BD164" s="242">
        <f t="shared" si="72"/>
        <v>0</v>
      </c>
      <c r="BF164" s="228" t="s">
        <v>3137</v>
      </c>
      <c r="BG164" s="227" t="s">
        <v>3628</v>
      </c>
    </row>
    <row r="165" spans="1:59" s="96" customFormat="1" ht="15" customHeight="1">
      <c r="A165" s="227">
        <v>43925</v>
      </c>
      <c r="B165" s="228" t="s">
        <v>3646</v>
      </c>
      <c r="C165" s="229" t="s">
        <v>3368</v>
      </c>
      <c r="D165" s="230" t="s">
        <v>3647</v>
      </c>
      <c r="E165" s="229">
        <v>1501217</v>
      </c>
      <c r="F165" s="231" t="s">
        <v>2846</v>
      </c>
      <c r="G165" s="231" t="s">
        <v>2846</v>
      </c>
      <c r="H165" s="231">
        <v>1000000</v>
      </c>
      <c r="I165" s="229" t="s">
        <v>1269</v>
      </c>
      <c r="J165" s="232">
        <f>H165/50</f>
        <v>20000</v>
      </c>
      <c r="K165" s="229" t="s">
        <v>2781</v>
      </c>
      <c r="L165" s="232">
        <v>1</v>
      </c>
      <c r="M165" s="232" t="s">
        <v>64</v>
      </c>
      <c r="N165" s="231">
        <f>H165</f>
        <v>1000000</v>
      </c>
      <c r="O165" s="231">
        <f>J165</f>
        <v>20000</v>
      </c>
      <c r="P165" s="233">
        <v>0.57999999999999996</v>
      </c>
      <c r="Q165" s="233">
        <f>P165*H165</f>
        <v>580000</v>
      </c>
      <c r="R165" s="227">
        <v>43936</v>
      </c>
      <c r="S165" s="235" t="s">
        <v>3648</v>
      </c>
      <c r="T165" s="229" t="s">
        <v>3036</v>
      </c>
      <c r="U165" s="230" t="s">
        <v>3649</v>
      </c>
      <c r="V165" s="229"/>
      <c r="W165" s="232" t="e">
        <f ca="1">_xlfn.SINGLE(IF(AG165=0,"Yes","No"))</f>
        <v>#NAME?</v>
      </c>
      <c r="X165" s="456">
        <v>150000</v>
      </c>
      <c r="Y165" s="230">
        <v>6688</v>
      </c>
      <c r="Z165" s="236">
        <v>43956</v>
      </c>
      <c r="AA165" s="228">
        <f>11200*50</f>
        <v>560000</v>
      </c>
      <c r="AB165" s="230">
        <v>6738</v>
      </c>
      <c r="AC165" s="236">
        <v>43966</v>
      </c>
      <c r="AD165" s="228">
        <f>5800*50</f>
        <v>290000</v>
      </c>
      <c r="AE165" s="228">
        <v>6744</v>
      </c>
      <c r="AF165" s="236">
        <v>43966</v>
      </c>
      <c r="AG165" s="238">
        <f t="shared" si="65"/>
        <v>0</v>
      </c>
      <c r="AH165" s="248" t="s">
        <v>68</v>
      </c>
      <c r="AI165" s="229" t="s">
        <v>2739</v>
      </c>
      <c r="AJ165" s="237">
        <f>+AG165</f>
        <v>0</v>
      </c>
      <c r="AK165" s="241" t="e">
        <f t="shared" ca="1" si="66"/>
        <v>#NAME?</v>
      </c>
      <c r="AL165" s="235" t="s">
        <v>3650</v>
      </c>
      <c r="AM165" s="229"/>
      <c r="AN165" s="229"/>
      <c r="AO165" s="228"/>
      <c r="AP165" s="228" t="s">
        <v>3651</v>
      </c>
      <c r="AQ165" s="228" t="s">
        <v>3652</v>
      </c>
      <c r="AR165" s="228" t="s">
        <v>3039</v>
      </c>
      <c r="AS165" s="242">
        <f t="shared" si="67"/>
        <v>580000</v>
      </c>
      <c r="AT165" s="242">
        <f t="shared" si="68"/>
        <v>58580.000000000007</v>
      </c>
      <c r="AU165" s="242">
        <f>4885+4634+4960</f>
        <v>14479</v>
      </c>
      <c r="AV165" s="242">
        <v>0</v>
      </c>
      <c r="AW165" s="242">
        <f t="shared" si="69"/>
        <v>653059</v>
      </c>
      <c r="AX165" s="237">
        <f>+N165</f>
        <v>1000000</v>
      </c>
      <c r="AY165" s="242" t="s">
        <v>2739</v>
      </c>
      <c r="AZ165" s="242">
        <f>+AW165/AX165</f>
        <v>0.65305899999999995</v>
      </c>
      <c r="BA165" s="242" t="s">
        <v>2744</v>
      </c>
      <c r="BB165" s="242" t="s">
        <v>2733</v>
      </c>
      <c r="BC165" s="242">
        <v>50</v>
      </c>
      <c r="BD165" s="242">
        <f t="shared" si="72"/>
        <v>32.652949999999997</v>
      </c>
      <c r="BE165" s="228" t="s">
        <v>3653</v>
      </c>
      <c r="BF165" s="228" t="s">
        <v>36</v>
      </c>
      <c r="BG165" s="227" t="s">
        <v>3628</v>
      </c>
    </row>
    <row r="166" spans="1:59" s="228" customFormat="1" ht="15" customHeight="1">
      <c r="A166" s="227">
        <v>43927</v>
      </c>
      <c r="B166" s="228" t="s">
        <v>3129</v>
      </c>
      <c r="C166" s="229" t="s">
        <v>1584</v>
      </c>
      <c r="D166" s="230" t="s">
        <v>3654</v>
      </c>
      <c r="E166" s="229" t="s">
        <v>3655</v>
      </c>
      <c r="F166" s="231">
        <v>16</v>
      </c>
      <c r="G166" s="231">
        <f>F166*N166</f>
        <v>31872</v>
      </c>
      <c r="H166" s="231">
        <v>12</v>
      </c>
      <c r="I166" s="229" t="s">
        <v>3132</v>
      </c>
      <c r="J166" s="229" t="s">
        <v>2846</v>
      </c>
      <c r="K166" s="229" t="s">
        <v>2846</v>
      </c>
      <c r="L166" s="232">
        <v>166</v>
      </c>
      <c r="M166" s="232" t="s">
        <v>2953</v>
      </c>
      <c r="N166" s="231">
        <f>L166*H166</f>
        <v>1992</v>
      </c>
      <c r="O166" s="231" t="s">
        <v>2846</v>
      </c>
      <c r="P166" s="233">
        <v>97.86</v>
      </c>
      <c r="Q166" s="233">
        <f>P166*L166</f>
        <v>16244.76</v>
      </c>
      <c r="R166" s="227">
        <v>43942</v>
      </c>
      <c r="S166" s="235" t="s">
        <v>3648</v>
      </c>
      <c r="T166" s="229" t="s">
        <v>3036</v>
      </c>
      <c r="U166" s="230" t="s">
        <v>3656</v>
      </c>
      <c r="V166" s="229"/>
      <c r="W166" s="232" t="e">
        <f ca="1">_xlfn.SINGLE(IF(AG166=0,"Yes","No"))</f>
        <v>#NAME?</v>
      </c>
      <c r="X166" s="456">
        <v>166</v>
      </c>
      <c r="Y166" s="230" t="s">
        <v>3657</v>
      </c>
      <c r="Z166" s="236">
        <v>43948</v>
      </c>
      <c r="AA166" s="237"/>
      <c r="AD166" s="237"/>
      <c r="AG166" s="238">
        <f t="shared" si="65"/>
        <v>0</v>
      </c>
      <c r="AH166" s="247" t="s">
        <v>82</v>
      </c>
      <c r="AI166" s="229" t="s">
        <v>2736</v>
      </c>
      <c r="AJ166" s="237">
        <f>+AG166*H166</f>
        <v>0</v>
      </c>
      <c r="AK166" s="241" t="e">
        <f t="shared" ca="1" si="66"/>
        <v>#NAME?</v>
      </c>
      <c r="AL166" s="235" t="s">
        <v>3658</v>
      </c>
      <c r="AM166" s="229"/>
      <c r="AN166" s="229"/>
      <c r="AP166" s="228" t="s">
        <v>3659</v>
      </c>
      <c r="AQ166" s="228" t="s">
        <v>3660</v>
      </c>
      <c r="AR166" s="228" t="s">
        <v>3063</v>
      </c>
      <c r="AS166" s="242">
        <f t="shared" si="67"/>
        <v>16244.76</v>
      </c>
      <c r="AT166" s="242">
        <f t="shared" si="68"/>
        <v>1640.7207600000002</v>
      </c>
      <c r="AU166" s="242">
        <v>0</v>
      </c>
      <c r="AV166" s="242">
        <v>0</v>
      </c>
      <c r="AW166" s="242">
        <f t="shared" si="69"/>
        <v>17885.480759999999</v>
      </c>
      <c r="AX166" s="237">
        <f>+H166*L166</f>
        <v>1992</v>
      </c>
      <c r="AY166" s="242" t="s">
        <v>2736</v>
      </c>
      <c r="AZ166" s="242">
        <f>+AW166/AX166</f>
        <v>8.9786549999999998</v>
      </c>
      <c r="BA166" s="279" t="s">
        <v>2786</v>
      </c>
      <c r="BB166" s="242" t="s">
        <v>2739</v>
      </c>
      <c r="BC166" s="242">
        <v>1</v>
      </c>
      <c r="BD166" s="242">
        <f t="shared" si="72"/>
        <v>8.9786549999999998</v>
      </c>
      <c r="BF166" s="228" t="s">
        <v>3137</v>
      </c>
      <c r="BG166" s="227" t="s">
        <v>3628</v>
      </c>
    </row>
    <row r="167" spans="1:59" s="228" customFormat="1" ht="15" customHeight="1">
      <c r="A167" s="227">
        <v>43928</v>
      </c>
      <c r="B167" s="228" t="s">
        <v>3129</v>
      </c>
      <c r="C167" s="229" t="s">
        <v>78</v>
      </c>
      <c r="D167" s="230" t="s">
        <v>3666</v>
      </c>
      <c r="E167" s="229" t="s">
        <v>3667</v>
      </c>
      <c r="F167" s="231" t="s">
        <v>2846</v>
      </c>
      <c r="G167" s="231" t="s">
        <v>2846</v>
      </c>
      <c r="H167" s="231">
        <v>150</v>
      </c>
      <c r="I167" s="229" t="s">
        <v>3313</v>
      </c>
      <c r="J167" s="229">
        <v>12</v>
      </c>
      <c r="K167" s="229" t="s">
        <v>3314</v>
      </c>
      <c r="L167" s="232">
        <v>14</v>
      </c>
      <c r="M167" s="232" t="s">
        <v>2953</v>
      </c>
      <c r="N167" s="231">
        <f>L167*J167*H167</f>
        <v>25200</v>
      </c>
      <c r="O167" s="231">
        <f>L167*J167</f>
        <v>168</v>
      </c>
      <c r="P167" s="233">
        <v>65.150000000000006</v>
      </c>
      <c r="Q167" s="233">
        <f>P167*L167</f>
        <v>912.10000000000014</v>
      </c>
      <c r="R167" s="229" t="s">
        <v>2970</v>
      </c>
      <c r="S167" s="235" t="s">
        <v>3217</v>
      </c>
      <c r="T167" s="229" t="s">
        <v>3036</v>
      </c>
      <c r="U167" s="230" t="s">
        <v>3668</v>
      </c>
      <c r="V167" s="229"/>
      <c r="W167" s="232" t="e">
        <f ca="1">_xlfn.SINGLE(IF(AG167=0,"Yes","No"))</f>
        <v>#NAME?</v>
      </c>
      <c r="X167" s="456">
        <v>14</v>
      </c>
      <c r="Y167" s="230" t="s">
        <v>3669</v>
      </c>
      <c r="Z167" s="236">
        <v>43937</v>
      </c>
      <c r="AA167" s="237"/>
      <c r="AD167" s="237"/>
      <c r="AG167" s="238">
        <f t="shared" si="65"/>
        <v>0</v>
      </c>
      <c r="AH167" s="248"/>
      <c r="AI167" s="229"/>
      <c r="AJ167" s="237">
        <v>0</v>
      </c>
      <c r="AK167" s="241" t="e">
        <f t="shared" ca="1" si="66"/>
        <v>#NAME?</v>
      </c>
      <c r="AL167" s="235" t="s">
        <v>3670</v>
      </c>
      <c r="AM167" s="229"/>
      <c r="AN167" s="229"/>
      <c r="AP167" s="228" t="s">
        <v>3671</v>
      </c>
      <c r="AQ167" s="228" t="s">
        <v>3672</v>
      </c>
      <c r="AR167" s="228" t="s">
        <v>3063</v>
      </c>
      <c r="AS167" s="242">
        <f t="shared" si="67"/>
        <v>912.10000000000014</v>
      </c>
      <c r="AT167" s="242">
        <f t="shared" si="68"/>
        <v>92.122100000000017</v>
      </c>
      <c r="AU167" s="242">
        <v>0</v>
      </c>
      <c r="AV167" s="242">
        <v>0</v>
      </c>
      <c r="AW167" s="242">
        <f t="shared" si="69"/>
        <v>1004.2221000000002</v>
      </c>
      <c r="AX167" s="237">
        <v>168</v>
      </c>
      <c r="AY167" s="237"/>
      <c r="AZ167" s="242">
        <f>+AW167/AX167</f>
        <v>5.9775125000000013</v>
      </c>
      <c r="BA167" s="242" t="s">
        <v>2721</v>
      </c>
      <c r="BB167" s="237" t="s">
        <v>2739</v>
      </c>
      <c r="BC167" s="242">
        <v>1</v>
      </c>
      <c r="BD167" s="242">
        <f t="shared" si="72"/>
        <v>5.9775125000000013</v>
      </c>
      <c r="BF167" s="228" t="s">
        <v>3137</v>
      </c>
      <c r="BG167" s="227" t="s">
        <v>3628</v>
      </c>
    </row>
    <row r="168" spans="1:59" s="196" customFormat="1" ht="15" customHeight="1">
      <c r="A168" s="227">
        <v>43928</v>
      </c>
      <c r="B168" s="228" t="s">
        <v>3129</v>
      </c>
      <c r="C168" s="229" t="s">
        <v>78</v>
      </c>
      <c r="D168" s="230" t="s">
        <v>3661</v>
      </c>
      <c r="E168" s="229"/>
      <c r="F168" s="231" t="s">
        <v>2846</v>
      </c>
      <c r="G168" s="231" t="s">
        <v>2846</v>
      </c>
      <c r="H168" s="231">
        <v>160</v>
      </c>
      <c r="I168" s="229" t="s">
        <v>3313</v>
      </c>
      <c r="J168" s="229">
        <v>12</v>
      </c>
      <c r="K168" s="229" t="s">
        <v>3314</v>
      </c>
      <c r="L168" s="232">
        <v>29</v>
      </c>
      <c r="M168" s="232" t="s">
        <v>2953</v>
      </c>
      <c r="N168" s="231">
        <f>L168*J168*H168</f>
        <v>55680</v>
      </c>
      <c r="O168" s="231">
        <f>L168*J168</f>
        <v>348</v>
      </c>
      <c r="P168" s="233">
        <v>94.29</v>
      </c>
      <c r="Q168" s="233">
        <f>P168*L168</f>
        <v>2734.4100000000003</v>
      </c>
      <c r="R168" s="227">
        <v>43931</v>
      </c>
      <c r="S168" s="235" t="s">
        <v>3217</v>
      </c>
      <c r="T168" s="229" t="s">
        <v>3036</v>
      </c>
      <c r="U168" s="230" t="s">
        <v>3662</v>
      </c>
      <c r="V168" s="229"/>
      <c r="W168" s="232" t="e">
        <f ca="1">_xlfn.SINGLE(IF(AG168=0,"Yes","No"))</f>
        <v>#NAME?</v>
      </c>
      <c r="X168" s="456">
        <v>29</v>
      </c>
      <c r="Y168" s="230" t="s">
        <v>3663</v>
      </c>
      <c r="Z168" s="236">
        <v>43949</v>
      </c>
      <c r="AA168" s="237"/>
      <c r="AB168" s="228"/>
      <c r="AC168" s="228"/>
      <c r="AD168" s="237"/>
      <c r="AE168" s="228"/>
      <c r="AF168" s="228"/>
      <c r="AG168" s="238">
        <f t="shared" si="65"/>
        <v>0</v>
      </c>
      <c r="AH168" s="248" t="s">
        <v>78</v>
      </c>
      <c r="AI168" s="229" t="s">
        <v>2724</v>
      </c>
      <c r="AJ168" s="237">
        <f>+AG168*J168</f>
        <v>0</v>
      </c>
      <c r="AK168" s="241" t="e">
        <f t="shared" ca="1" si="66"/>
        <v>#NAME?</v>
      </c>
      <c r="AL168" s="235" t="s">
        <v>3664</v>
      </c>
      <c r="AM168" s="229"/>
      <c r="AN168" s="229"/>
      <c r="AO168" s="228"/>
      <c r="AP168" s="228" t="s">
        <v>3665</v>
      </c>
      <c r="AQ168" s="228"/>
      <c r="AR168" s="228" t="s">
        <v>3063</v>
      </c>
      <c r="AS168" s="242">
        <f t="shared" si="67"/>
        <v>2734.4100000000003</v>
      </c>
      <c r="AT168" s="242">
        <f t="shared" si="68"/>
        <v>276.17541000000006</v>
      </c>
      <c r="AU168" s="242">
        <v>0</v>
      </c>
      <c r="AV168" s="242">
        <v>0</v>
      </c>
      <c r="AW168" s="242">
        <f t="shared" si="69"/>
        <v>3010.5854100000006</v>
      </c>
      <c r="AX168" s="237">
        <v>348</v>
      </c>
      <c r="AY168" s="237" t="s">
        <v>2724</v>
      </c>
      <c r="AZ168" s="242">
        <f>+AW168/AX168</f>
        <v>8.6511075000000019</v>
      </c>
      <c r="BA168" s="242" t="s">
        <v>2721</v>
      </c>
      <c r="BB168" s="237" t="s">
        <v>2739</v>
      </c>
      <c r="BC168" s="242">
        <v>1</v>
      </c>
      <c r="BD168" s="242">
        <f t="shared" si="72"/>
        <v>8.6511075000000019</v>
      </c>
      <c r="BE168" s="228"/>
      <c r="BF168" s="228" t="s">
        <v>3137</v>
      </c>
      <c r="BG168" s="227" t="s">
        <v>3628</v>
      </c>
    </row>
    <row r="169" spans="1:59" s="96" customFormat="1" ht="15" customHeight="1">
      <c r="A169" s="227">
        <v>43928</v>
      </c>
      <c r="B169" s="228" t="s">
        <v>3673</v>
      </c>
      <c r="C169" s="229" t="s">
        <v>3674</v>
      </c>
      <c r="D169" s="230" t="s">
        <v>3675</v>
      </c>
      <c r="E169" s="229"/>
      <c r="F169" s="231" t="s">
        <v>2846</v>
      </c>
      <c r="G169" s="231" t="s">
        <v>2846</v>
      </c>
      <c r="H169" s="231">
        <v>99</v>
      </c>
      <c r="I169" s="229" t="s">
        <v>2739</v>
      </c>
      <c r="J169" s="229" t="s">
        <v>2846</v>
      </c>
      <c r="K169" s="229" t="s">
        <v>2846</v>
      </c>
      <c r="L169" s="232">
        <v>1</v>
      </c>
      <c r="M169" s="232" t="s">
        <v>64</v>
      </c>
      <c r="N169" s="231">
        <f>H169</f>
        <v>99</v>
      </c>
      <c r="O169" s="231" t="s">
        <v>2846</v>
      </c>
      <c r="P169" s="233">
        <v>54.06</v>
      </c>
      <c r="Q169" s="233">
        <f>P169*H169</f>
        <v>5351.9400000000005</v>
      </c>
      <c r="R169" s="227">
        <v>43941</v>
      </c>
      <c r="S169" s="235" t="s">
        <v>3648</v>
      </c>
      <c r="T169" s="229" t="s">
        <v>3036</v>
      </c>
      <c r="U169" s="230" t="s">
        <v>3676</v>
      </c>
      <c r="V169" s="229"/>
      <c r="W169" s="232" t="e">
        <f ca="1">_xlfn.SINGLE(IF(AG169=0,"Yes","No"))</f>
        <v>#NAME?</v>
      </c>
      <c r="X169" s="459">
        <v>99</v>
      </c>
      <c r="Y169" s="230"/>
      <c r="Z169" s="228"/>
      <c r="AA169" s="237"/>
      <c r="AB169" s="228"/>
      <c r="AC169" s="228"/>
      <c r="AD169" s="237"/>
      <c r="AE169" s="228"/>
      <c r="AF169" s="228"/>
      <c r="AG169" s="238">
        <f t="shared" si="65"/>
        <v>0</v>
      </c>
      <c r="AH169" s="248" t="s">
        <v>89</v>
      </c>
      <c r="AI169" s="229" t="s">
        <v>2739</v>
      </c>
      <c r="AJ169" s="237">
        <f>+AG169</f>
        <v>0</v>
      </c>
      <c r="AK169" s="241" t="e">
        <f t="shared" ca="1" si="66"/>
        <v>#NAME?</v>
      </c>
      <c r="AL169" s="235" t="s">
        <v>3677</v>
      </c>
      <c r="AM169" s="229"/>
      <c r="AN169" s="229"/>
      <c r="AO169" s="228"/>
      <c r="AP169" s="228" t="s">
        <v>3678</v>
      </c>
      <c r="AQ169" s="228" t="s">
        <v>3679</v>
      </c>
      <c r="AR169" s="228" t="s">
        <v>3039</v>
      </c>
      <c r="AS169" s="242">
        <f t="shared" si="67"/>
        <v>5351.9400000000005</v>
      </c>
      <c r="AT169" s="242">
        <f t="shared" si="68"/>
        <v>540.54594000000009</v>
      </c>
      <c r="AU169" s="242">
        <v>0</v>
      </c>
      <c r="AV169" s="242">
        <v>0</v>
      </c>
      <c r="AW169" s="242">
        <f t="shared" si="69"/>
        <v>5892.4859400000005</v>
      </c>
      <c r="AX169" s="237">
        <f>+N169</f>
        <v>99</v>
      </c>
      <c r="AY169" s="242" t="s">
        <v>2739</v>
      </c>
      <c r="AZ169" s="242">
        <f>+AW169/AX169</f>
        <v>59.520060000000008</v>
      </c>
      <c r="BA169" s="242" t="s">
        <v>2842</v>
      </c>
      <c r="BB169" s="242" t="s">
        <v>2739</v>
      </c>
      <c r="BC169" s="242">
        <v>1</v>
      </c>
      <c r="BD169" s="242">
        <f t="shared" si="72"/>
        <v>59.520060000000008</v>
      </c>
      <c r="BE169" s="228"/>
      <c r="BF169" s="228" t="s">
        <v>3162</v>
      </c>
      <c r="BG169" s="227" t="s">
        <v>3628</v>
      </c>
    </row>
    <row r="170" spans="1:59" s="96" customFormat="1" ht="15" customHeight="1">
      <c r="A170" s="200">
        <v>43928</v>
      </c>
      <c r="B170" s="196" t="s">
        <v>3673</v>
      </c>
      <c r="C170" s="201" t="s">
        <v>3674</v>
      </c>
      <c r="D170" s="202" t="s">
        <v>3680</v>
      </c>
      <c r="E170" s="201" t="s">
        <v>3681</v>
      </c>
      <c r="F170" s="203" t="s">
        <v>2846</v>
      </c>
      <c r="G170" s="203" t="s">
        <v>2846</v>
      </c>
      <c r="H170" s="203">
        <v>101</v>
      </c>
      <c r="I170" s="201" t="s">
        <v>2739</v>
      </c>
      <c r="J170" s="201" t="s">
        <v>2846</v>
      </c>
      <c r="K170" s="201" t="s">
        <v>2846</v>
      </c>
      <c r="L170" s="204">
        <v>1</v>
      </c>
      <c r="M170" s="204" t="s">
        <v>64</v>
      </c>
      <c r="N170" s="203">
        <f>H170</f>
        <v>101</v>
      </c>
      <c r="O170" s="203" t="s">
        <v>2846</v>
      </c>
      <c r="P170" s="205">
        <v>37.5</v>
      </c>
      <c r="Q170" s="205"/>
      <c r="R170" s="200">
        <v>43934</v>
      </c>
      <c r="S170" s="206" t="s">
        <v>3648</v>
      </c>
      <c r="T170" s="201" t="s">
        <v>3036</v>
      </c>
      <c r="U170" s="202" t="s">
        <v>3682</v>
      </c>
      <c r="V170" s="201"/>
      <c r="W170" s="204" t="s">
        <v>183</v>
      </c>
      <c r="X170" s="456">
        <v>0</v>
      </c>
      <c r="Y170" s="202"/>
      <c r="Z170" s="196"/>
      <c r="AA170" s="207"/>
      <c r="AB170" s="196"/>
      <c r="AC170" s="196"/>
      <c r="AD170" s="207"/>
      <c r="AE170" s="196"/>
      <c r="AF170" s="196"/>
      <c r="AG170" s="208"/>
      <c r="AH170" s="223" t="s">
        <v>89</v>
      </c>
      <c r="AI170" s="201" t="s">
        <v>2739</v>
      </c>
      <c r="AJ170" s="207"/>
      <c r="AK170" s="211"/>
      <c r="AL170" s="206"/>
      <c r="AM170" s="201"/>
      <c r="AN170" s="201"/>
      <c r="AO170" s="196"/>
      <c r="AP170" s="196" t="s">
        <v>3683</v>
      </c>
      <c r="AQ170" s="196"/>
      <c r="AR170" s="196" t="s">
        <v>3039</v>
      </c>
      <c r="AS170" s="212"/>
      <c r="AT170" s="212"/>
      <c r="AU170" s="212"/>
      <c r="AV170" s="212"/>
      <c r="AW170" s="212"/>
      <c r="AX170" s="207"/>
      <c r="AY170" s="212"/>
      <c r="AZ170" s="212"/>
      <c r="BA170" s="212"/>
      <c r="BB170" s="212"/>
      <c r="BC170" s="212"/>
      <c r="BD170" s="212">
        <f t="shared" si="72"/>
        <v>0</v>
      </c>
      <c r="BE170" s="196"/>
      <c r="BF170" s="196" t="s">
        <v>3108</v>
      </c>
      <c r="BG170" s="200" t="s">
        <v>3628</v>
      </c>
    </row>
    <row r="171" spans="1:59" s="228" customFormat="1" ht="15" customHeight="1">
      <c r="A171" s="21">
        <v>43929</v>
      </c>
      <c r="B171" s="96" t="s">
        <v>3138</v>
      </c>
      <c r="C171" s="22" t="s">
        <v>3384</v>
      </c>
      <c r="D171" s="97" t="s">
        <v>3691</v>
      </c>
      <c r="E171" s="22" t="s">
        <v>3692</v>
      </c>
      <c r="F171" s="69" t="s">
        <v>2846</v>
      </c>
      <c r="G171" s="69" t="s">
        <v>2846</v>
      </c>
      <c r="H171" s="70">
        <v>20</v>
      </c>
      <c r="I171" s="71" t="s">
        <v>1269</v>
      </c>
      <c r="J171" s="71">
        <v>10000</v>
      </c>
      <c r="K171" s="71" t="s">
        <v>2733</v>
      </c>
      <c r="L171" s="72">
        <f>J171/8</f>
        <v>1250</v>
      </c>
      <c r="M171" s="72" t="s">
        <v>2953</v>
      </c>
      <c r="N171" s="73">
        <f>H171*J171</f>
        <v>200000</v>
      </c>
      <c r="O171" s="73">
        <f>J171</f>
        <v>10000</v>
      </c>
      <c r="P171" s="74">
        <v>15.2</v>
      </c>
      <c r="Q171" s="74">
        <f>P171*O171</f>
        <v>152000</v>
      </c>
      <c r="R171" s="21" t="s">
        <v>2970</v>
      </c>
      <c r="S171" s="99" t="s">
        <v>3648</v>
      </c>
      <c r="T171" s="22" t="s">
        <v>3036</v>
      </c>
      <c r="U171" s="97" t="s">
        <v>3693</v>
      </c>
      <c r="V171" s="22"/>
      <c r="W171" s="72" t="e">
        <f t="shared" ref="W171:W179" ca="1" si="74">_xlfn.SINGLE(IF(AG171=0,"Yes","No"))</f>
        <v>#NAME?</v>
      </c>
      <c r="X171" s="456">
        <v>0</v>
      </c>
      <c r="Y171" s="97"/>
      <c r="Z171" s="96"/>
      <c r="AA171" s="101"/>
      <c r="AB171" s="96"/>
      <c r="AC171" s="96"/>
      <c r="AD171" s="101"/>
      <c r="AE171" s="96"/>
      <c r="AF171" s="96"/>
      <c r="AG171" s="102">
        <f t="shared" ref="AG171:AG180" si="75">(Q171/P171)-X171-AA171-AD171</f>
        <v>10000</v>
      </c>
      <c r="AH171" s="174" t="s">
        <v>66</v>
      </c>
      <c r="AI171" s="22" t="s">
        <v>2739</v>
      </c>
      <c r="AJ171" s="101">
        <f>+AG171*H171</f>
        <v>200000</v>
      </c>
      <c r="AK171" s="184" t="e">
        <f t="shared" ref="AK171:AK182" ca="1" si="76">_xlfn.SINGLE(IF(R171="TBD",49674,R171))</f>
        <v>#NAME?</v>
      </c>
      <c r="AL171" s="99"/>
      <c r="AM171" s="22"/>
      <c r="AN171" s="22"/>
      <c r="AO171" s="96"/>
      <c r="AP171" s="96" t="s">
        <v>3694</v>
      </c>
      <c r="AQ171" s="96"/>
      <c r="AR171" s="96" t="s">
        <v>3039</v>
      </c>
      <c r="AS171" s="199">
        <f t="shared" ref="AS171:AS182" si="77">+Q171</f>
        <v>152000</v>
      </c>
      <c r="AT171" s="199">
        <f t="shared" ref="AT171:AT182" si="78">+AS171*0.101</f>
        <v>15352.000000000002</v>
      </c>
      <c r="AU171" s="199">
        <v>0</v>
      </c>
      <c r="AV171" s="199">
        <v>0</v>
      </c>
      <c r="AW171" s="199">
        <f t="shared" ref="AW171:AW182" si="79">SUBTOTAL(9,AS171:AV171)</f>
        <v>167352</v>
      </c>
      <c r="AX171" s="101">
        <f t="shared" ref="AX171:AX177" si="80">+N171</f>
        <v>200000</v>
      </c>
      <c r="AY171" s="199" t="s">
        <v>2739</v>
      </c>
      <c r="AZ171" s="199">
        <f t="shared" ref="AZ171:AZ182" si="81">+AW171/AX171</f>
        <v>0.83675999999999995</v>
      </c>
      <c r="BA171" s="199" t="s">
        <v>2742</v>
      </c>
      <c r="BB171" s="199" t="s">
        <v>2733</v>
      </c>
      <c r="BC171" s="199">
        <v>10</v>
      </c>
      <c r="BD171" s="199">
        <f t="shared" si="72"/>
        <v>8.3675999999999995</v>
      </c>
      <c r="BE171" s="96"/>
      <c r="BF171" s="96" t="s">
        <v>36</v>
      </c>
      <c r="BG171" s="21" t="s">
        <v>3628</v>
      </c>
    </row>
    <row r="172" spans="1:59" s="228" customFormat="1" ht="15" customHeight="1">
      <c r="A172" s="21">
        <v>43929</v>
      </c>
      <c r="B172" s="96" t="s">
        <v>3684</v>
      </c>
      <c r="C172" s="22" t="s">
        <v>3685</v>
      </c>
      <c r="D172" s="97" t="s">
        <v>3686</v>
      </c>
      <c r="E172" s="22" t="s">
        <v>3687</v>
      </c>
      <c r="F172" s="69" t="s">
        <v>2846</v>
      </c>
      <c r="G172" s="69" t="s">
        <v>2846</v>
      </c>
      <c r="H172" s="70">
        <v>100</v>
      </c>
      <c r="I172" s="71" t="s">
        <v>3313</v>
      </c>
      <c r="J172" s="71">
        <v>100</v>
      </c>
      <c r="K172" s="71" t="s">
        <v>3688</v>
      </c>
      <c r="L172" s="72">
        <v>10</v>
      </c>
      <c r="M172" s="72" t="s">
        <v>2953</v>
      </c>
      <c r="N172" s="73">
        <f>H172*J172</f>
        <v>10000</v>
      </c>
      <c r="O172" s="73">
        <f>J172*L172</f>
        <v>1000</v>
      </c>
      <c r="P172" s="74">
        <v>25</v>
      </c>
      <c r="Q172" s="74">
        <f>P172*L172</f>
        <v>250</v>
      </c>
      <c r="R172" s="22" t="s">
        <v>2970</v>
      </c>
      <c r="S172" s="99" t="s">
        <v>3648</v>
      </c>
      <c r="T172" s="22" t="s">
        <v>3036</v>
      </c>
      <c r="U172" s="97" t="s">
        <v>3689</v>
      </c>
      <c r="V172" s="22"/>
      <c r="W172" s="72" t="e">
        <f t="shared" ca="1" si="74"/>
        <v>#NAME?</v>
      </c>
      <c r="X172" s="456">
        <v>0</v>
      </c>
      <c r="Y172" s="97"/>
      <c r="Z172" s="96"/>
      <c r="AA172" s="101"/>
      <c r="AB172" s="96"/>
      <c r="AC172" s="96"/>
      <c r="AD172" s="101"/>
      <c r="AE172" s="96"/>
      <c r="AF172" s="96"/>
      <c r="AG172" s="102">
        <f t="shared" si="75"/>
        <v>10</v>
      </c>
      <c r="AH172" s="110" t="s">
        <v>80</v>
      </c>
      <c r="AI172" s="22" t="s">
        <v>2739</v>
      </c>
      <c r="AJ172" s="101">
        <f>+AG172*J172*L172</f>
        <v>10000</v>
      </c>
      <c r="AK172" s="184" t="e">
        <f t="shared" ca="1" si="76"/>
        <v>#NAME?</v>
      </c>
      <c r="AL172" s="99"/>
      <c r="AM172" s="22"/>
      <c r="AN172" s="22"/>
      <c r="AO172" s="96"/>
      <c r="AP172" s="96" t="s">
        <v>3690</v>
      </c>
      <c r="AQ172" s="96"/>
      <c r="AR172" s="96" t="s">
        <v>3039</v>
      </c>
      <c r="AS172" s="199">
        <f t="shared" si="77"/>
        <v>250</v>
      </c>
      <c r="AT172" s="199">
        <f t="shared" si="78"/>
        <v>25.25</v>
      </c>
      <c r="AU172" s="199">
        <v>0</v>
      </c>
      <c r="AV172" s="199">
        <v>0</v>
      </c>
      <c r="AW172" s="199">
        <f t="shared" si="79"/>
        <v>275.25</v>
      </c>
      <c r="AX172" s="101">
        <f t="shared" si="80"/>
        <v>10000</v>
      </c>
      <c r="AY172" s="199" t="s">
        <v>2739</v>
      </c>
      <c r="AZ172" s="199">
        <f t="shared" si="81"/>
        <v>2.7525000000000001E-2</v>
      </c>
      <c r="BA172" s="199" t="s">
        <v>2725</v>
      </c>
      <c r="BB172" s="199" t="s">
        <v>2733</v>
      </c>
      <c r="BC172" s="199">
        <v>100</v>
      </c>
      <c r="BD172" s="199">
        <f t="shared" si="72"/>
        <v>2.7524999999999999</v>
      </c>
      <c r="BE172" s="96"/>
      <c r="BF172" s="96" t="s">
        <v>3137</v>
      </c>
      <c r="BG172" s="21" t="s">
        <v>3628</v>
      </c>
    </row>
    <row r="173" spans="1:59" s="228" customFormat="1" ht="15" customHeight="1">
      <c r="A173" s="227">
        <v>43930</v>
      </c>
      <c r="B173" s="228" t="s">
        <v>3641</v>
      </c>
      <c r="C173" s="229" t="s">
        <v>3695</v>
      </c>
      <c r="D173" s="230" t="s">
        <v>3696</v>
      </c>
      <c r="E173" s="229" t="s">
        <v>3697</v>
      </c>
      <c r="F173" s="231">
        <f>128*5</f>
        <v>640</v>
      </c>
      <c r="G173" s="231">
        <f>H173*F173</f>
        <v>1280</v>
      </c>
      <c r="H173" s="231">
        <v>2</v>
      </c>
      <c r="I173" s="229" t="s">
        <v>2959</v>
      </c>
      <c r="J173" s="229" t="s">
        <v>2846</v>
      </c>
      <c r="K173" s="229" t="s">
        <v>2846</v>
      </c>
      <c r="L173" s="232">
        <v>1</v>
      </c>
      <c r="M173" s="232" t="s">
        <v>64</v>
      </c>
      <c r="N173" s="231">
        <f>H173</f>
        <v>2</v>
      </c>
      <c r="O173" s="231" t="s">
        <v>2846</v>
      </c>
      <c r="P173" s="233">
        <v>129</v>
      </c>
      <c r="Q173" s="233">
        <f>P173*H173</f>
        <v>258</v>
      </c>
      <c r="R173" s="227">
        <v>43934</v>
      </c>
      <c r="S173" s="235" t="s">
        <v>3648</v>
      </c>
      <c r="T173" s="229" t="s">
        <v>3036</v>
      </c>
      <c r="U173" s="230" t="s">
        <v>3698</v>
      </c>
      <c r="V173" s="229"/>
      <c r="W173" s="232" t="e">
        <f t="shared" ca="1" si="74"/>
        <v>#NAME?</v>
      </c>
      <c r="X173" s="456">
        <v>2</v>
      </c>
      <c r="Y173" s="230">
        <v>2001553</v>
      </c>
      <c r="Z173" s="236">
        <v>43934</v>
      </c>
      <c r="AA173" s="237"/>
      <c r="AD173" s="237"/>
      <c r="AG173" s="238">
        <f t="shared" si="75"/>
        <v>0</v>
      </c>
      <c r="AH173" s="248"/>
      <c r="AI173" s="229"/>
      <c r="AJ173" s="237">
        <v>0</v>
      </c>
      <c r="AK173" s="241" t="e">
        <f t="shared" ca="1" si="76"/>
        <v>#NAME?</v>
      </c>
      <c r="AL173" s="235"/>
      <c r="AM173" s="229"/>
      <c r="AN173" s="229"/>
      <c r="AP173" s="228" t="s">
        <v>3699</v>
      </c>
      <c r="AQ173" s="228" t="s">
        <v>3645</v>
      </c>
      <c r="AR173" s="228" t="s">
        <v>3063</v>
      </c>
      <c r="AS173" s="242">
        <f t="shared" si="77"/>
        <v>258</v>
      </c>
      <c r="AT173" s="242">
        <f t="shared" si="78"/>
        <v>26.058000000000003</v>
      </c>
      <c r="AU173" s="242">
        <v>0</v>
      </c>
      <c r="AV173" s="242">
        <v>0</v>
      </c>
      <c r="AW173" s="242">
        <f t="shared" si="79"/>
        <v>284.05799999999999</v>
      </c>
      <c r="AX173" s="237">
        <f t="shared" si="80"/>
        <v>2</v>
      </c>
      <c r="AY173" s="242" t="s">
        <v>2961</v>
      </c>
      <c r="AZ173" s="242">
        <f t="shared" si="81"/>
        <v>142.029</v>
      </c>
      <c r="BA173" s="242" t="s">
        <v>2833</v>
      </c>
      <c r="BB173" s="242" t="s">
        <v>2961</v>
      </c>
      <c r="BC173" s="242">
        <v>40</v>
      </c>
      <c r="BD173" s="242">
        <f t="shared" si="72"/>
        <v>5681.16</v>
      </c>
      <c r="BF173" s="228" t="s">
        <v>3137</v>
      </c>
      <c r="BG173" s="227" t="s">
        <v>3628</v>
      </c>
    </row>
    <row r="174" spans="1:59" s="228" customFormat="1" ht="15" customHeight="1">
      <c r="A174" s="227">
        <v>43930</v>
      </c>
      <c r="B174" s="228" t="s">
        <v>3714</v>
      </c>
      <c r="C174" s="229" t="s">
        <v>3368</v>
      </c>
      <c r="D174" s="230" t="s">
        <v>3715</v>
      </c>
      <c r="E174" s="229" t="s">
        <v>3716</v>
      </c>
      <c r="F174" s="231" t="s">
        <v>2846</v>
      </c>
      <c r="G174" s="231" t="s">
        <v>2846</v>
      </c>
      <c r="H174" s="231">
        <v>1250</v>
      </c>
      <c r="I174" s="229" t="s">
        <v>1269</v>
      </c>
      <c r="J174" s="229" t="s">
        <v>2846</v>
      </c>
      <c r="K174" s="229" t="s">
        <v>2846</v>
      </c>
      <c r="L174" s="232">
        <v>200</v>
      </c>
      <c r="M174" s="232" t="s">
        <v>2953</v>
      </c>
      <c r="N174" s="231">
        <f>L174*H174</f>
        <v>250000</v>
      </c>
      <c r="O174" s="231" t="s">
        <v>2846</v>
      </c>
      <c r="P174" s="233">
        <v>1250</v>
      </c>
      <c r="Q174" s="233">
        <f>P174*L174</f>
        <v>250000</v>
      </c>
      <c r="R174" s="227">
        <v>43958</v>
      </c>
      <c r="S174" s="235" t="s">
        <v>3717</v>
      </c>
      <c r="T174" s="229" t="s">
        <v>3036</v>
      </c>
      <c r="U174" s="230" t="s">
        <v>3718</v>
      </c>
      <c r="V174" s="229"/>
      <c r="W174" s="232" t="e">
        <f t="shared" ca="1" si="74"/>
        <v>#NAME?</v>
      </c>
      <c r="X174" s="456">
        <v>20</v>
      </c>
      <c r="Y174" s="230" t="s">
        <v>3719</v>
      </c>
      <c r="Z174" s="236">
        <v>43945</v>
      </c>
      <c r="AA174" s="237">
        <v>180</v>
      </c>
      <c r="AB174" s="236" t="s">
        <v>3720</v>
      </c>
      <c r="AC174" s="236">
        <v>43965</v>
      </c>
      <c r="AD174" s="237"/>
      <c r="AG174" s="238">
        <f t="shared" si="75"/>
        <v>0</v>
      </c>
      <c r="AH174" s="248" t="s">
        <v>68</v>
      </c>
      <c r="AI174" s="229" t="s">
        <v>2739</v>
      </c>
      <c r="AJ174" s="237">
        <f>+AG174*H174</f>
        <v>0</v>
      </c>
      <c r="AK174" s="241" t="e">
        <f t="shared" ca="1" si="76"/>
        <v>#NAME?</v>
      </c>
      <c r="AL174" s="235" t="s">
        <v>3721</v>
      </c>
      <c r="AM174" s="229"/>
      <c r="AN174" s="229"/>
      <c r="AP174" s="228" t="s">
        <v>3722</v>
      </c>
      <c r="AQ174" s="228" t="s">
        <v>3723</v>
      </c>
      <c r="AR174" s="228" t="s">
        <v>3063</v>
      </c>
      <c r="AS174" s="242">
        <f t="shared" si="77"/>
        <v>250000</v>
      </c>
      <c r="AT174" s="242">
        <f t="shared" si="78"/>
        <v>25250</v>
      </c>
      <c r="AU174" s="242">
        <v>0</v>
      </c>
      <c r="AV174" s="242">
        <v>0</v>
      </c>
      <c r="AW174" s="242">
        <f t="shared" si="79"/>
        <v>275250</v>
      </c>
      <c r="AX174" s="237">
        <f t="shared" si="80"/>
        <v>250000</v>
      </c>
      <c r="AY174" s="242" t="s">
        <v>2739</v>
      </c>
      <c r="AZ174" s="242">
        <f t="shared" si="81"/>
        <v>1.101</v>
      </c>
      <c r="BA174" s="242" t="s">
        <v>2744</v>
      </c>
      <c r="BB174" s="242" t="s">
        <v>2733</v>
      </c>
      <c r="BC174" s="242">
        <v>50</v>
      </c>
      <c r="BD174" s="242">
        <f t="shared" si="72"/>
        <v>55.05</v>
      </c>
      <c r="BF174" s="228" t="s">
        <v>36</v>
      </c>
      <c r="BG174" s="227" t="s">
        <v>3628</v>
      </c>
    </row>
    <row r="175" spans="1:59" s="228" customFormat="1" ht="15" customHeight="1">
      <c r="A175" s="227">
        <v>43930</v>
      </c>
      <c r="B175" s="228" t="s">
        <v>3056</v>
      </c>
      <c r="C175" s="229" t="s">
        <v>3390</v>
      </c>
      <c r="D175" s="230" t="s">
        <v>3519</v>
      </c>
      <c r="E175" s="229">
        <v>8511</v>
      </c>
      <c r="F175" s="231" t="s">
        <v>2846</v>
      </c>
      <c r="G175" s="231" t="s">
        <v>2846</v>
      </c>
      <c r="H175" s="231">
        <v>10</v>
      </c>
      <c r="I175" s="229" t="s">
        <v>1269</v>
      </c>
      <c r="J175" s="229">
        <v>80</v>
      </c>
      <c r="K175" s="229" t="s">
        <v>2733</v>
      </c>
      <c r="L175" s="232">
        <v>1</v>
      </c>
      <c r="M175" s="232" t="s">
        <v>64</v>
      </c>
      <c r="N175" s="231">
        <f>H175*J175*L175</f>
        <v>800</v>
      </c>
      <c r="O175" s="231">
        <f>J175*L175</f>
        <v>80</v>
      </c>
      <c r="P175" s="233">
        <v>20.95</v>
      </c>
      <c r="Q175" s="233">
        <f>P175*L175*J175</f>
        <v>1676</v>
      </c>
      <c r="R175" s="227">
        <v>43934</v>
      </c>
      <c r="S175" s="235" t="s">
        <v>3217</v>
      </c>
      <c r="T175" s="229" t="s">
        <v>3036</v>
      </c>
      <c r="U175" s="230" t="s">
        <v>3701</v>
      </c>
      <c r="V175" s="229"/>
      <c r="W175" s="232" t="e">
        <f t="shared" ca="1" si="74"/>
        <v>#NAME?</v>
      </c>
      <c r="X175" s="456">
        <v>80</v>
      </c>
      <c r="Y175" s="230" t="s">
        <v>3702</v>
      </c>
      <c r="Z175" s="236">
        <v>43948</v>
      </c>
      <c r="AA175" s="237"/>
      <c r="AD175" s="237"/>
      <c r="AG175" s="238">
        <f t="shared" si="75"/>
        <v>0</v>
      </c>
      <c r="AH175" s="248"/>
      <c r="AI175" s="229"/>
      <c r="AJ175" s="237">
        <v>0</v>
      </c>
      <c r="AK175" s="241" t="e">
        <f t="shared" ca="1" si="76"/>
        <v>#NAME?</v>
      </c>
      <c r="AL175" s="235" t="s">
        <v>3706</v>
      </c>
      <c r="AM175" s="229"/>
      <c r="AN175" s="229"/>
      <c r="AP175" s="228" t="s">
        <v>3707</v>
      </c>
      <c r="AQ175" s="228" t="s">
        <v>3705</v>
      </c>
      <c r="AR175" s="228" t="s">
        <v>3063</v>
      </c>
      <c r="AS175" s="242">
        <f t="shared" si="77"/>
        <v>1676</v>
      </c>
      <c r="AT175" s="242">
        <f t="shared" si="78"/>
        <v>169.27600000000001</v>
      </c>
      <c r="AU175" s="242">
        <v>0</v>
      </c>
      <c r="AV175" s="242">
        <v>0</v>
      </c>
      <c r="AW175" s="242">
        <f t="shared" si="79"/>
        <v>1845.2760000000001</v>
      </c>
      <c r="AX175" s="237">
        <f t="shared" si="80"/>
        <v>800</v>
      </c>
      <c r="AY175" s="242" t="s">
        <v>2739</v>
      </c>
      <c r="AZ175" s="242">
        <f t="shared" si="81"/>
        <v>2.3065950000000002</v>
      </c>
      <c r="BA175" s="242" t="s">
        <v>2742</v>
      </c>
      <c r="BB175" s="242" t="s">
        <v>2733</v>
      </c>
      <c r="BC175" s="242">
        <v>10</v>
      </c>
      <c r="BD175" s="242">
        <f t="shared" si="72"/>
        <v>23.065950000000001</v>
      </c>
      <c r="BF175" s="228" t="s">
        <v>36</v>
      </c>
      <c r="BG175" s="227" t="s">
        <v>3628</v>
      </c>
    </row>
    <row r="176" spans="1:59" s="228" customFormat="1" ht="15" customHeight="1">
      <c r="A176" s="227">
        <v>43930</v>
      </c>
      <c r="B176" s="228" t="s">
        <v>3056</v>
      </c>
      <c r="C176" s="229" t="s">
        <v>3384</v>
      </c>
      <c r="D176" s="230" t="s">
        <v>3514</v>
      </c>
      <c r="E176" s="229">
        <v>8210</v>
      </c>
      <c r="F176" s="231" t="s">
        <v>2846</v>
      </c>
      <c r="G176" s="231" t="s">
        <v>2846</v>
      </c>
      <c r="H176" s="231">
        <v>20</v>
      </c>
      <c r="I176" s="229" t="s">
        <v>1269</v>
      </c>
      <c r="J176" s="229">
        <v>100</v>
      </c>
      <c r="K176" s="229" t="s">
        <v>2733</v>
      </c>
      <c r="L176" s="232">
        <v>1</v>
      </c>
      <c r="M176" s="232" t="s">
        <v>64</v>
      </c>
      <c r="N176" s="231">
        <f>H176*J176*L176</f>
        <v>2000</v>
      </c>
      <c r="O176" s="231">
        <f>J176*L176</f>
        <v>100</v>
      </c>
      <c r="P176" s="233">
        <v>15.95</v>
      </c>
      <c r="Q176" s="233">
        <f>P176*L176*J176</f>
        <v>1595</v>
      </c>
      <c r="R176" s="227">
        <v>43934</v>
      </c>
      <c r="S176" s="235" t="s">
        <v>3700</v>
      </c>
      <c r="T176" s="229" t="s">
        <v>3036</v>
      </c>
      <c r="U176" s="230" t="s">
        <v>3701</v>
      </c>
      <c r="V176" s="229"/>
      <c r="W176" s="232" t="e">
        <f t="shared" ca="1" si="74"/>
        <v>#NAME?</v>
      </c>
      <c r="X176" s="456">
        <v>100</v>
      </c>
      <c r="Y176" s="230" t="s">
        <v>3702</v>
      </c>
      <c r="Z176" s="236">
        <v>43948</v>
      </c>
      <c r="AA176" s="237"/>
      <c r="AD176" s="237"/>
      <c r="AG176" s="238">
        <f t="shared" si="75"/>
        <v>0</v>
      </c>
      <c r="AH176" s="248"/>
      <c r="AI176" s="229"/>
      <c r="AJ176" s="237">
        <v>0</v>
      </c>
      <c r="AK176" s="241" t="e">
        <f t="shared" ca="1" si="76"/>
        <v>#NAME?</v>
      </c>
      <c r="AL176" s="235" t="s">
        <v>3703</v>
      </c>
      <c r="AM176" s="229"/>
      <c r="AN176" s="229"/>
      <c r="AP176" s="228" t="s">
        <v>3704</v>
      </c>
      <c r="AQ176" s="228" t="s">
        <v>3705</v>
      </c>
      <c r="AR176" s="228" t="s">
        <v>3063</v>
      </c>
      <c r="AS176" s="242">
        <f t="shared" si="77"/>
        <v>1595</v>
      </c>
      <c r="AT176" s="242">
        <f t="shared" si="78"/>
        <v>161.095</v>
      </c>
      <c r="AU176" s="242">
        <v>0</v>
      </c>
      <c r="AV176" s="242">
        <v>0</v>
      </c>
      <c r="AW176" s="242">
        <f t="shared" si="79"/>
        <v>1756.095</v>
      </c>
      <c r="AX176" s="237">
        <f t="shared" si="80"/>
        <v>2000</v>
      </c>
      <c r="AY176" s="242" t="s">
        <v>2739</v>
      </c>
      <c r="AZ176" s="242">
        <f t="shared" si="81"/>
        <v>0.87804749999999998</v>
      </c>
      <c r="BA176" s="242" t="s">
        <v>2742</v>
      </c>
      <c r="BB176" s="242" t="s">
        <v>2733</v>
      </c>
      <c r="BC176" s="242">
        <v>10</v>
      </c>
      <c r="BD176" s="242">
        <f t="shared" si="72"/>
        <v>8.7804749999999991</v>
      </c>
      <c r="BF176" s="228" t="s">
        <v>36</v>
      </c>
      <c r="BG176" s="227" t="s">
        <v>3628</v>
      </c>
    </row>
    <row r="177" spans="1:59" s="196" customFormat="1" ht="15" customHeight="1">
      <c r="A177" s="227">
        <v>43930</v>
      </c>
      <c r="B177" s="228" t="s">
        <v>3056</v>
      </c>
      <c r="C177" s="229" t="s">
        <v>1584</v>
      </c>
      <c r="D177" s="230" t="s">
        <v>3708</v>
      </c>
      <c r="E177" s="229" t="s">
        <v>3424</v>
      </c>
      <c r="F177" s="231">
        <v>16</v>
      </c>
      <c r="G177" s="231">
        <f>F177*N177</f>
        <v>34560</v>
      </c>
      <c r="H177" s="231">
        <v>12</v>
      </c>
      <c r="I177" s="229" t="s">
        <v>3132</v>
      </c>
      <c r="J177" s="229" t="s">
        <v>2846</v>
      </c>
      <c r="K177" s="229" t="s">
        <v>2846</v>
      </c>
      <c r="L177" s="232">
        <v>180</v>
      </c>
      <c r="M177" s="232" t="s">
        <v>2953</v>
      </c>
      <c r="N177" s="231">
        <f>L177*H177</f>
        <v>2160</v>
      </c>
      <c r="O177" s="231" t="s">
        <v>2846</v>
      </c>
      <c r="P177" s="233">
        <v>6.15</v>
      </c>
      <c r="Q177" s="233">
        <f>P177*L177</f>
        <v>1107</v>
      </c>
      <c r="R177" s="227">
        <v>43934</v>
      </c>
      <c r="S177" s="235" t="s">
        <v>3700</v>
      </c>
      <c r="T177" s="229" t="s">
        <v>3036</v>
      </c>
      <c r="U177" s="230" t="s">
        <v>3709</v>
      </c>
      <c r="V177" s="229"/>
      <c r="W177" s="232" t="e">
        <f t="shared" ca="1" si="74"/>
        <v>#NAME?</v>
      </c>
      <c r="X177" s="456">
        <v>180</v>
      </c>
      <c r="Y177" s="230" t="s">
        <v>3710</v>
      </c>
      <c r="Z177" s="236">
        <v>43948</v>
      </c>
      <c r="AA177" s="237"/>
      <c r="AB177" s="228"/>
      <c r="AC177" s="228"/>
      <c r="AD177" s="237"/>
      <c r="AE177" s="228"/>
      <c r="AF177" s="228"/>
      <c r="AG177" s="238">
        <f t="shared" si="75"/>
        <v>0</v>
      </c>
      <c r="AH177" s="248"/>
      <c r="AI177" s="229"/>
      <c r="AJ177" s="237">
        <v>0</v>
      </c>
      <c r="AK177" s="241" t="e">
        <f t="shared" ca="1" si="76"/>
        <v>#NAME?</v>
      </c>
      <c r="AL177" s="235" t="s">
        <v>3711</v>
      </c>
      <c r="AM177" s="229"/>
      <c r="AN177" s="229"/>
      <c r="AO177" s="228"/>
      <c r="AP177" s="228" t="s">
        <v>3712</v>
      </c>
      <c r="AQ177" s="228" t="s">
        <v>3713</v>
      </c>
      <c r="AR177" s="228" t="s">
        <v>3063</v>
      </c>
      <c r="AS177" s="242">
        <f t="shared" si="77"/>
        <v>1107</v>
      </c>
      <c r="AT177" s="242">
        <f t="shared" si="78"/>
        <v>111.807</v>
      </c>
      <c r="AU177" s="242">
        <v>0</v>
      </c>
      <c r="AV177" s="242">
        <v>0</v>
      </c>
      <c r="AW177" s="242">
        <f t="shared" si="79"/>
        <v>1218.807</v>
      </c>
      <c r="AX177" s="237">
        <f t="shared" si="80"/>
        <v>2160</v>
      </c>
      <c r="AY177" s="242" t="s">
        <v>2736</v>
      </c>
      <c r="AZ177" s="242">
        <f t="shared" si="81"/>
        <v>0.5642625</v>
      </c>
      <c r="BA177" s="279" t="s">
        <v>2786</v>
      </c>
      <c r="BB177" s="242" t="s">
        <v>2739</v>
      </c>
      <c r="BC177" s="242">
        <v>1</v>
      </c>
      <c r="BD177" s="242">
        <f t="shared" si="72"/>
        <v>0.5642625</v>
      </c>
      <c r="BE177" s="228"/>
      <c r="BF177" s="228" t="s">
        <v>3137</v>
      </c>
      <c r="BG177" s="227" t="s">
        <v>3628</v>
      </c>
    </row>
    <row r="178" spans="1:59" s="251" customFormat="1" ht="15" customHeight="1">
      <c r="A178" s="250">
        <v>43930</v>
      </c>
      <c r="B178" s="251" t="s">
        <v>3733</v>
      </c>
      <c r="C178" s="252" t="s">
        <v>3734</v>
      </c>
      <c r="D178" s="253" t="s">
        <v>3735</v>
      </c>
      <c r="E178" s="252"/>
      <c r="F178" s="254" t="s">
        <v>2846</v>
      </c>
      <c r="G178" s="254" t="s">
        <v>2846</v>
      </c>
      <c r="H178" s="254">
        <v>28000</v>
      </c>
      <c r="I178" s="252" t="s">
        <v>1269</v>
      </c>
      <c r="J178" s="252" t="s">
        <v>2846</v>
      </c>
      <c r="K178" s="252" t="s">
        <v>2846</v>
      </c>
      <c r="L178" s="255">
        <v>1</v>
      </c>
      <c r="M178" s="255" t="s">
        <v>64</v>
      </c>
      <c r="N178" s="254">
        <f>H178</f>
        <v>28000</v>
      </c>
      <c r="O178" s="254" t="s">
        <v>2846</v>
      </c>
      <c r="P178" s="256">
        <v>4.6500000000000004</v>
      </c>
      <c r="Q178" s="256">
        <f>P178*H178</f>
        <v>130200.00000000001</v>
      </c>
      <c r="R178" s="250">
        <v>43940</v>
      </c>
      <c r="S178" s="257" t="s">
        <v>3648</v>
      </c>
      <c r="T178" s="252" t="s">
        <v>3036</v>
      </c>
      <c r="U178" s="253" t="s">
        <v>3736</v>
      </c>
      <c r="V178" s="252"/>
      <c r="W178" s="255" t="e">
        <f t="shared" ca="1" si="74"/>
        <v>#NAME?</v>
      </c>
      <c r="X178" s="460">
        <f>1104+2208+15960+8160</f>
        <v>27432</v>
      </c>
      <c r="Y178" s="253">
        <v>4092020</v>
      </c>
      <c r="Z178" s="262">
        <v>43952</v>
      </c>
      <c r="AA178" s="188">
        <f>436+568</f>
        <v>1004</v>
      </c>
      <c r="AB178" s="263" t="s">
        <v>3737</v>
      </c>
      <c r="AC178" s="262">
        <v>43963</v>
      </c>
      <c r="AD178" s="188"/>
      <c r="AE178" s="253"/>
      <c r="AF178" s="262"/>
      <c r="AG178" s="258">
        <f t="shared" si="75"/>
        <v>-436</v>
      </c>
      <c r="AH178" s="259" t="s">
        <v>69</v>
      </c>
      <c r="AI178" s="252" t="s">
        <v>2739</v>
      </c>
      <c r="AJ178" s="188">
        <v>0</v>
      </c>
      <c r="AK178" s="260" t="e">
        <f t="shared" ca="1" si="76"/>
        <v>#NAME?</v>
      </c>
      <c r="AL178" s="257" t="s">
        <v>3738</v>
      </c>
      <c r="AM178" s="252"/>
      <c r="AN178" s="252"/>
      <c r="AP178" s="251" t="s">
        <v>3739</v>
      </c>
      <c r="AQ178" s="251" t="s">
        <v>3740</v>
      </c>
      <c r="AR178" s="251" t="s">
        <v>3063</v>
      </c>
      <c r="AS178" s="261">
        <f t="shared" si="77"/>
        <v>130200.00000000001</v>
      </c>
      <c r="AT178" s="261">
        <f t="shared" si="78"/>
        <v>13150.200000000003</v>
      </c>
      <c r="AU178" s="261">
        <v>0</v>
      </c>
      <c r="AV178" s="261">
        <v>0</v>
      </c>
      <c r="AW178" s="261">
        <f t="shared" si="79"/>
        <v>143350.20000000001</v>
      </c>
      <c r="AX178" s="188">
        <v>28000</v>
      </c>
      <c r="AY178" s="261"/>
      <c r="AZ178" s="261">
        <f t="shared" si="81"/>
        <v>5.11965</v>
      </c>
      <c r="BA178" s="261" t="s">
        <v>2748</v>
      </c>
      <c r="BB178" s="261" t="s">
        <v>2739</v>
      </c>
      <c r="BC178" s="261">
        <v>1</v>
      </c>
      <c r="BD178" s="261">
        <f t="shared" si="72"/>
        <v>5.11965</v>
      </c>
      <c r="BF178" s="251" t="s">
        <v>3162</v>
      </c>
      <c r="BG178" s="250" t="s">
        <v>3628</v>
      </c>
    </row>
    <row r="179" spans="1:59" s="228" customFormat="1" ht="15" customHeight="1">
      <c r="A179" s="227">
        <v>43931</v>
      </c>
      <c r="B179" s="228" t="s">
        <v>3552</v>
      </c>
      <c r="C179" s="229" t="s">
        <v>3368</v>
      </c>
      <c r="D179" s="230" t="s">
        <v>3724</v>
      </c>
      <c r="E179" s="229" t="s">
        <v>3725</v>
      </c>
      <c r="F179" s="231" t="s">
        <v>2846</v>
      </c>
      <c r="G179" s="231" t="s">
        <v>2846</v>
      </c>
      <c r="H179" s="231">
        <v>50</v>
      </c>
      <c r="I179" s="229" t="s">
        <v>1269</v>
      </c>
      <c r="J179" s="280">
        <f>N179/50</f>
        <v>400</v>
      </c>
      <c r="K179" s="229" t="s">
        <v>2733</v>
      </c>
      <c r="L179" s="232">
        <v>1</v>
      </c>
      <c r="M179" s="232" t="s">
        <v>64</v>
      </c>
      <c r="N179" s="231">
        <v>20000</v>
      </c>
      <c r="O179" s="231">
        <f>J179</f>
        <v>400</v>
      </c>
      <c r="P179" s="233">
        <v>34.99</v>
      </c>
      <c r="Q179" s="233">
        <f>P179*J179</f>
        <v>13996</v>
      </c>
      <c r="R179" s="227">
        <v>43969</v>
      </c>
      <c r="S179" s="235" t="s">
        <v>3648</v>
      </c>
      <c r="T179" s="229" t="s">
        <v>3036</v>
      </c>
      <c r="U179" s="230" t="s">
        <v>3726</v>
      </c>
      <c r="V179" s="229"/>
      <c r="W179" s="232" t="e">
        <f t="shared" ca="1" si="74"/>
        <v>#NAME?</v>
      </c>
      <c r="X179" s="456">
        <v>400</v>
      </c>
      <c r="Y179" s="230" t="s">
        <v>3727</v>
      </c>
      <c r="Z179" s="236">
        <v>43994</v>
      </c>
      <c r="AA179" s="237"/>
      <c r="AD179" s="237"/>
      <c r="AG179" s="238">
        <f t="shared" si="75"/>
        <v>0</v>
      </c>
      <c r="AH179" s="248" t="s">
        <v>68</v>
      </c>
      <c r="AI179" s="229" t="s">
        <v>2739</v>
      </c>
      <c r="AJ179" s="237">
        <f>+AG179*H179</f>
        <v>0</v>
      </c>
      <c r="AK179" s="241" t="e">
        <f t="shared" ca="1" si="76"/>
        <v>#NAME?</v>
      </c>
      <c r="AL179" s="235"/>
      <c r="AM179" s="229"/>
      <c r="AN179" s="229"/>
      <c r="AP179" s="228" t="s">
        <v>3728</v>
      </c>
      <c r="AQ179" s="228" t="s">
        <v>3729</v>
      </c>
      <c r="AR179" s="228" t="s">
        <v>3039</v>
      </c>
      <c r="AS179" s="242">
        <f t="shared" si="77"/>
        <v>13996</v>
      </c>
      <c r="AT179" s="242">
        <f t="shared" si="78"/>
        <v>1413.596</v>
      </c>
      <c r="AU179" s="242">
        <v>0</v>
      </c>
      <c r="AV179" s="242">
        <v>0</v>
      </c>
      <c r="AW179" s="242">
        <f t="shared" si="79"/>
        <v>15409.596</v>
      </c>
      <c r="AX179" s="237">
        <f>+N179</f>
        <v>20000</v>
      </c>
      <c r="AY179" s="242" t="s">
        <v>2739</v>
      </c>
      <c r="AZ179" s="242">
        <f t="shared" si="81"/>
        <v>0.77047979999999994</v>
      </c>
      <c r="BA179" s="242" t="s">
        <v>2744</v>
      </c>
      <c r="BB179" s="242" t="s">
        <v>2733</v>
      </c>
      <c r="BC179" s="242">
        <v>50</v>
      </c>
      <c r="BD179" s="242">
        <f t="shared" si="72"/>
        <v>38.523989999999998</v>
      </c>
      <c r="BF179" s="228" t="s">
        <v>36</v>
      </c>
      <c r="BG179" s="227" t="s">
        <v>3628</v>
      </c>
    </row>
    <row r="180" spans="1:59" s="196" customFormat="1" ht="15" customHeight="1">
      <c r="A180" s="227">
        <v>43931</v>
      </c>
      <c r="B180" s="228" t="s">
        <v>3755</v>
      </c>
      <c r="C180" s="229" t="s">
        <v>3384</v>
      </c>
      <c r="D180" s="230" t="s">
        <v>406</v>
      </c>
      <c r="E180" s="229" t="s">
        <v>3756</v>
      </c>
      <c r="F180" s="231" t="s">
        <v>2846</v>
      </c>
      <c r="G180" s="231" t="s">
        <v>2846</v>
      </c>
      <c r="H180" s="231">
        <v>500</v>
      </c>
      <c r="I180" s="229" t="s">
        <v>1269</v>
      </c>
      <c r="J180" s="229" t="s">
        <v>2846</v>
      </c>
      <c r="K180" s="229" t="s">
        <v>2846</v>
      </c>
      <c r="L180" s="232">
        <v>1</v>
      </c>
      <c r="M180" s="232" t="s">
        <v>64</v>
      </c>
      <c r="N180" s="231">
        <f>H180</f>
        <v>500</v>
      </c>
      <c r="O180" s="231" t="s">
        <v>2846</v>
      </c>
      <c r="P180" s="233">
        <v>2.95</v>
      </c>
      <c r="Q180" s="233">
        <f>P180*N180</f>
        <v>1475</v>
      </c>
      <c r="R180" s="227">
        <v>43952</v>
      </c>
      <c r="S180" s="235" t="s">
        <v>3648</v>
      </c>
      <c r="T180" s="229" t="s">
        <v>3036</v>
      </c>
      <c r="U180" s="230" t="s">
        <v>3757</v>
      </c>
      <c r="V180" s="229"/>
      <c r="W180" s="232" t="s">
        <v>3084</v>
      </c>
      <c r="X180" s="456">
        <v>500</v>
      </c>
      <c r="Y180" s="230">
        <v>1371672</v>
      </c>
      <c r="Z180" s="236">
        <v>43964</v>
      </c>
      <c r="AA180" s="237"/>
      <c r="AB180" s="228"/>
      <c r="AC180" s="228"/>
      <c r="AD180" s="237"/>
      <c r="AE180" s="228"/>
      <c r="AF180" s="228"/>
      <c r="AG180" s="238">
        <f t="shared" si="75"/>
        <v>-5.6843418860808015E-14</v>
      </c>
      <c r="AH180" s="248" t="s">
        <v>66</v>
      </c>
      <c r="AI180" s="229" t="s">
        <v>2739</v>
      </c>
      <c r="AJ180" s="237">
        <v>0</v>
      </c>
      <c r="AK180" s="241" t="e">
        <f t="shared" ca="1" si="76"/>
        <v>#NAME?</v>
      </c>
      <c r="AL180" s="235" t="s">
        <v>3758</v>
      </c>
      <c r="AM180" s="229"/>
      <c r="AN180" s="229"/>
      <c r="AO180" s="228"/>
      <c r="AP180" s="228" t="s">
        <v>3759</v>
      </c>
      <c r="AQ180" s="228" t="s">
        <v>3760</v>
      </c>
      <c r="AR180" s="228" t="s">
        <v>3039</v>
      </c>
      <c r="AS180" s="242">
        <f t="shared" si="77"/>
        <v>1475</v>
      </c>
      <c r="AT180" s="242">
        <f t="shared" si="78"/>
        <v>148.97500000000002</v>
      </c>
      <c r="AU180" s="242">
        <v>0</v>
      </c>
      <c r="AV180" s="242">
        <v>0</v>
      </c>
      <c r="AW180" s="242">
        <f t="shared" si="79"/>
        <v>1623.9749999999999</v>
      </c>
      <c r="AX180" s="237">
        <f>+N180</f>
        <v>500</v>
      </c>
      <c r="AY180" s="242" t="s">
        <v>2739</v>
      </c>
      <c r="AZ180" s="242">
        <f t="shared" si="81"/>
        <v>3.2479499999999999</v>
      </c>
      <c r="BA180" s="242" t="s">
        <v>2752</v>
      </c>
      <c r="BB180" s="242" t="s">
        <v>2733</v>
      </c>
      <c r="BC180" s="242">
        <v>10</v>
      </c>
      <c r="BD180" s="242">
        <f t="shared" si="72"/>
        <v>32.479500000000002</v>
      </c>
      <c r="BE180" s="228"/>
      <c r="BF180" s="228" t="s">
        <v>36</v>
      </c>
      <c r="BG180" s="227" t="s">
        <v>3628</v>
      </c>
    </row>
    <row r="181" spans="1:59" s="196" customFormat="1" ht="15" customHeight="1">
      <c r="A181" s="227">
        <v>43931</v>
      </c>
      <c r="B181" s="228" t="s">
        <v>3056</v>
      </c>
      <c r="C181" s="229" t="s">
        <v>3730</v>
      </c>
      <c r="D181" s="230" t="s">
        <v>3778</v>
      </c>
      <c r="E181" s="229" t="s">
        <v>3779</v>
      </c>
      <c r="F181" s="231" t="s">
        <v>2846</v>
      </c>
      <c r="G181" s="231" t="s">
        <v>2846</v>
      </c>
      <c r="H181" s="231">
        <v>1000</v>
      </c>
      <c r="I181" s="229" t="s">
        <v>2739</v>
      </c>
      <c r="J181" s="229" t="s">
        <v>2846</v>
      </c>
      <c r="K181" s="229" t="s">
        <v>2846</v>
      </c>
      <c r="L181" s="232">
        <v>1</v>
      </c>
      <c r="M181" s="232" t="s">
        <v>64</v>
      </c>
      <c r="N181" s="231">
        <f>H181</f>
        <v>1000</v>
      </c>
      <c r="O181" s="231" t="s">
        <v>2846</v>
      </c>
      <c r="P181" s="233">
        <v>4.5999999999999996</v>
      </c>
      <c r="Q181" s="233">
        <f>P181*H181</f>
        <v>4600</v>
      </c>
      <c r="R181" s="227">
        <v>43945</v>
      </c>
      <c r="S181" s="235" t="s">
        <v>3648</v>
      </c>
      <c r="T181" s="229" t="s">
        <v>3036</v>
      </c>
      <c r="U181" s="230" t="s">
        <v>3780</v>
      </c>
      <c r="V181" s="229"/>
      <c r="W181" s="232" t="e">
        <f t="shared" ref="W181:W206" ca="1" si="82">_xlfn.SINGLE(IF(AG181=0,"Yes","No"))</f>
        <v>#NAME?</v>
      </c>
      <c r="X181" s="456">
        <v>1000</v>
      </c>
      <c r="Y181" s="230" t="s">
        <v>3781</v>
      </c>
      <c r="Z181" s="236">
        <v>43948</v>
      </c>
      <c r="AA181" s="237"/>
      <c r="AB181" s="228"/>
      <c r="AC181" s="228"/>
      <c r="AD181" s="237"/>
      <c r="AE181" s="228"/>
      <c r="AF181" s="228"/>
      <c r="AG181" s="238">
        <v>0</v>
      </c>
      <c r="AH181" s="248"/>
      <c r="AI181" s="229"/>
      <c r="AJ181" s="237"/>
      <c r="AK181" s="241" t="e">
        <f t="shared" ca="1" si="76"/>
        <v>#NAME?</v>
      </c>
      <c r="AL181" s="235" t="s">
        <v>3782</v>
      </c>
      <c r="AM181" s="229"/>
      <c r="AN181" s="229"/>
      <c r="AO181" s="228"/>
      <c r="AP181" s="228" t="s">
        <v>3783</v>
      </c>
      <c r="AQ181" s="228" t="s">
        <v>3784</v>
      </c>
      <c r="AR181" s="228" t="s">
        <v>3063</v>
      </c>
      <c r="AS181" s="242">
        <f t="shared" si="77"/>
        <v>4600</v>
      </c>
      <c r="AT181" s="242">
        <f t="shared" si="78"/>
        <v>464.6</v>
      </c>
      <c r="AU181" s="242">
        <v>0</v>
      </c>
      <c r="AV181" s="242">
        <v>0</v>
      </c>
      <c r="AW181" s="242">
        <f t="shared" si="79"/>
        <v>5064.6000000000004</v>
      </c>
      <c r="AX181" s="237">
        <f>+N181</f>
        <v>1000</v>
      </c>
      <c r="AY181" s="242" t="s">
        <v>2739</v>
      </c>
      <c r="AZ181" s="242">
        <f t="shared" si="81"/>
        <v>5.0646000000000004</v>
      </c>
      <c r="BA181" s="242" t="s">
        <v>2746</v>
      </c>
      <c r="BB181" s="242" t="s">
        <v>2953</v>
      </c>
      <c r="BC181" s="242">
        <v>1</v>
      </c>
      <c r="BD181" s="242">
        <f t="shared" si="72"/>
        <v>5.0646000000000004</v>
      </c>
      <c r="BE181" s="228"/>
      <c r="BF181" s="228" t="s">
        <v>36</v>
      </c>
      <c r="BG181" s="227" t="s">
        <v>3628</v>
      </c>
    </row>
    <row r="182" spans="1:59" s="228" customFormat="1" ht="15" customHeight="1">
      <c r="A182" s="227">
        <v>43931</v>
      </c>
      <c r="B182" s="228" t="s">
        <v>3714</v>
      </c>
      <c r="C182" s="229" t="s">
        <v>78</v>
      </c>
      <c r="D182" s="230" t="s">
        <v>3741</v>
      </c>
      <c r="E182" s="229" t="s">
        <v>3742</v>
      </c>
      <c r="F182" s="231" t="s">
        <v>2846</v>
      </c>
      <c r="G182" s="231" t="s">
        <v>2846</v>
      </c>
      <c r="H182" s="231">
        <v>80</v>
      </c>
      <c r="I182" s="229" t="s">
        <v>3313</v>
      </c>
      <c r="J182" s="229">
        <v>24</v>
      </c>
      <c r="K182" s="229" t="s">
        <v>3314</v>
      </c>
      <c r="L182" s="232">
        <v>834</v>
      </c>
      <c r="M182" s="232" t="s">
        <v>2953</v>
      </c>
      <c r="N182" s="231">
        <f>H182*J182*L182</f>
        <v>1601280</v>
      </c>
      <c r="O182" s="231">
        <f>J182*L182</f>
        <v>20016</v>
      </c>
      <c r="P182" s="233">
        <v>5.65</v>
      </c>
      <c r="Q182" s="233">
        <f>P182*O182</f>
        <v>113090.40000000001</v>
      </c>
      <c r="R182" s="227">
        <v>44002</v>
      </c>
      <c r="S182" s="235" t="s">
        <v>3743</v>
      </c>
      <c r="T182" s="229" t="s">
        <v>3036</v>
      </c>
      <c r="U182" s="230" t="s">
        <v>3744</v>
      </c>
      <c r="V182" s="229"/>
      <c r="W182" s="232" t="e">
        <f t="shared" ca="1" si="82"/>
        <v>#NAME?</v>
      </c>
      <c r="X182" s="456">
        <f>1440+18528</f>
        <v>19968</v>
      </c>
      <c r="Y182" s="230" t="s">
        <v>3745</v>
      </c>
      <c r="Z182" s="236">
        <v>44026</v>
      </c>
      <c r="AA182" s="237" t="s">
        <v>3746</v>
      </c>
      <c r="AB182" s="236" t="s">
        <v>3747</v>
      </c>
      <c r="AC182" s="236">
        <v>44026</v>
      </c>
      <c r="AD182" s="237"/>
      <c r="AG182" s="238">
        <v>0</v>
      </c>
      <c r="AH182" s="248" t="s">
        <v>78</v>
      </c>
      <c r="AI182" s="229" t="s">
        <v>2724</v>
      </c>
      <c r="AJ182" s="237">
        <f>+AG182</f>
        <v>0</v>
      </c>
      <c r="AK182" s="241" t="e">
        <f t="shared" ca="1" si="76"/>
        <v>#NAME?</v>
      </c>
      <c r="AL182" s="235" t="s">
        <v>3748</v>
      </c>
      <c r="AM182" s="229"/>
      <c r="AN182" s="229"/>
      <c r="AP182" s="228" t="s">
        <v>3749</v>
      </c>
      <c r="AR182" s="228" t="s">
        <v>3063</v>
      </c>
      <c r="AS182" s="242">
        <f t="shared" si="77"/>
        <v>113090.40000000001</v>
      </c>
      <c r="AT182" s="242">
        <f t="shared" si="78"/>
        <v>11422.130400000002</v>
      </c>
      <c r="AU182" s="242">
        <v>0</v>
      </c>
      <c r="AV182" s="242">
        <v>0</v>
      </c>
      <c r="AW182" s="242">
        <f t="shared" si="79"/>
        <v>124512.53040000002</v>
      </c>
      <c r="AX182" s="237">
        <v>20016</v>
      </c>
      <c r="AY182" s="242" t="s">
        <v>2724</v>
      </c>
      <c r="AZ182" s="242">
        <f t="shared" si="81"/>
        <v>6.2206500000000009</v>
      </c>
      <c r="BA182" s="242" t="s">
        <v>2721</v>
      </c>
      <c r="BB182" s="242" t="s">
        <v>2739</v>
      </c>
      <c r="BC182" s="242">
        <v>1</v>
      </c>
      <c r="BD182" s="242">
        <f t="shared" si="72"/>
        <v>6.2206500000000009</v>
      </c>
      <c r="BF182" s="228" t="s">
        <v>3137</v>
      </c>
      <c r="BG182" s="227" t="s">
        <v>3628</v>
      </c>
    </row>
    <row r="183" spans="1:59" s="196" customFormat="1" ht="15" customHeight="1">
      <c r="A183" s="213">
        <v>43931</v>
      </c>
      <c r="B183" s="197" t="s">
        <v>3056</v>
      </c>
      <c r="C183" s="214" t="s">
        <v>3730</v>
      </c>
      <c r="D183" s="215"/>
      <c r="E183" s="202" t="s">
        <v>3731</v>
      </c>
      <c r="F183" s="203"/>
      <c r="G183" s="203"/>
      <c r="H183" s="203"/>
      <c r="I183" s="201" t="s">
        <v>2739</v>
      </c>
      <c r="J183" s="201"/>
      <c r="K183" s="201"/>
      <c r="L183" s="204"/>
      <c r="M183" s="204"/>
      <c r="N183" s="203"/>
      <c r="O183" s="203"/>
      <c r="P183" s="205"/>
      <c r="Q183" s="205"/>
      <c r="R183" s="201" t="s">
        <v>2970</v>
      </c>
      <c r="S183" s="206"/>
      <c r="T183" s="201"/>
      <c r="U183" s="202"/>
      <c r="V183" s="201"/>
      <c r="W183" s="204" t="e">
        <f t="shared" ca="1" si="82"/>
        <v>#NAME?</v>
      </c>
      <c r="X183" s="456">
        <v>0</v>
      </c>
      <c r="Y183" s="202"/>
      <c r="AA183" s="207"/>
      <c r="AD183" s="207"/>
      <c r="AG183" s="208">
        <v>0</v>
      </c>
      <c r="AH183" s="223" t="s">
        <v>76</v>
      </c>
      <c r="AI183" s="210" t="s">
        <v>2739</v>
      </c>
      <c r="AJ183" s="207">
        <f>+AG183</f>
        <v>0</v>
      </c>
      <c r="AK183" s="211"/>
      <c r="AL183" s="206"/>
      <c r="AM183" s="201"/>
      <c r="AN183" s="201"/>
      <c r="AP183" s="196" t="s">
        <v>3732</v>
      </c>
      <c r="AR183" s="196" t="s">
        <v>3063</v>
      </c>
      <c r="AX183" s="207"/>
      <c r="AZ183" s="212"/>
      <c r="BA183" s="212"/>
      <c r="BC183" s="212"/>
      <c r="BD183" s="212">
        <f t="shared" ref="BD183:BD214" si="83">+AZ183*BC183</f>
        <v>0</v>
      </c>
      <c r="BF183" s="196" t="s">
        <v>3108</v>
      </c>
      <c r="BG183" s="213" t="s">
        <v>3628</v>
      </c>
    </row>
    <row r="184" spans="1:59" s="228" customFormat="1" ht="15" customHeight="1">
      <c r="A184" s="213">
        <v>43931</v>
      </c>
      <c r="B184" s="197" t="s">
        <v>3056</v>
      </c>
      <c r="C184" s="214" t="s">
        <v>3730</v>
      </c>
      <c r="D184" s="215" t="s">
        <v>3750</v>
      </c>
      <c r="E184" s="201" t="s">
        <v>3751</v>
      </c>
      <c r="F184" s="203"/>
      <c r="G184" s="203"/>
      <c r="H184" s="203"/>
      <c r="I184" s="201"/>
      <c r="J184" s="201"/>
      <c r="K184" s="201"/>
      <c r="L184" s="204"/>
      <c r="M184" s="204"/>
      <c r="N184" s="203"/>
      <c r="O184" s="203"/>
      <c r="P184" s="205"/>
      <c r="Q184" s="205"/>
      <c r="R184" s="201" t="s">
        <v>2970</v>
      </c>
      <c r="S184" s="206"/>
      <c r="T184" s="201"/>
      <c r="U184" s="202"/>
      <c r="V184" s="201"/>
      <c r="W184" s="204" t="e">
        <f t="shared" ca="1" si="82"/>
        <v>#NAME?</v>
      </c>
      <c r="X184" s="456">
        <v>0</v>
      </c>
      <c r="Y184" s="202"/>
      <c r="Z184" s="196"/>
      <c r="AA184" s="207"/>
      <c r="AB184" s="196"/>
      <c r="AC184" s="196"/>
      <c r="AD184" s="207"/>
      <c r="AE184" s="196"/>
      <c r="AF184" s="196"/>
      <c r="AG184" s="208">
        <v>0</v>
      </c>
      <c r="AH184" s="223" t="s">
        <v>76</v>
      </c>
      <c r="AI184" s="210" t="s">
        <v>2739</v>
      </c>
      <c r="AJ184" s="207">
        <f>+AG184</f>
        <v>0</v>
      </c>
      <c r="AK184" s="211"/>
      <c r="AL184" s="206"/>
      <c r="AM184" s="201"/>
      <c r="AN184" s="201"/>
      <c r="AO184" s="196"/>
      <c r="AP184" s="196" t="s">
        <v>3752</v>
      </c>
      <c r="AQ184" s="196"/>
      <c r="AR184" s="196" t="s">
        <v>3063</v>
      </c>
      <c r="AS184" s="196"/>
      <c r="AT184" s="196"/>
      <c r="AU184" s="196"/>
      <c r="AV184" s="196"/>
      <c r="AW184" s="196"/>
      <c r="AX184" s="207"/>
      <c r="AY184" s="196"/>
      <c r="AZ184" s="212"/>
      <c r="BA184" s="212"/>
      <c r="BB184" s="196"/>
      <c r="BC184" s="212"/>
      <c r="BD184" s="212">
        <f t="shared" si="83"/>
        <v>0</v>
      </c>
      <c r="BE184" s="196"/>
      <c r="BF184" s="196" t="s">
        <v>3108</v>
      </c>
      <c r="BG184" s="213" t="s">
        <v>3628</v>
      </c>
    </row>
    <row r="185" spans="1:59" s="228" customFormat="1" ht="15" customHeight="1">
      <c r="A185" s="213">
        <v>43931</v>
      </c>
      <c r="B185" s="197" t="s">
        <v>3056</v>
      </c>
      <c r="C185" s="214" t="s">
        <v>3730</v>
      </c>
      <c r="D185" s="215" t="s">
        <v>3750</v>
      </c>
      <c r="E185" s="201" t="s">
        <v>3753</v>
      </c>
      <c r="F185" s="203"/>
      <c r="G185" s="203"/>
      <c r="H185" s="203"/>
      <c r="I185" s="201"/>
      <c r="J185" s="201"/>
      <c r="K185" s="201"/>
      <c r="L185" s="204"/>
      <c r="M185" s="204"/>
      <c r="N185" s="203"/>
      <c r="O185" s="203"/>
      <c r="P185" s="205"/>
      <c r="Q185" s="205"/>
      <c r="R185" s="201" t="s">
        <v>2970</v>
      </c>
      <c r="S185" s="206"/>
      <c r="T185" s="201"/>
      <c r="U185" s="202"/>
      <c r="V185" s="201"/>
      <c r="W185" s="204" t="e">
        <f t="shared" ca="1" si="82"/>
        <v>#NAME?</v>
      </c>
      <c r="X185" s="456">
        <v>0</v>
      </c>
      <c r="Y185" s="202"/>
      <c r="Z185" s="196"/>
      <c r="AA185" s="207"/>
      <c r="AB185" s="196"/>
      <c r="AC185" s="196"/>
      <c r="AD185" s="207"/>
      <c r="AE185" s="196"/>
      <c r="AF185" s="196"/>
      <c r="AG185" s="208">
        <v>0</v>
      </c>
      <c r="AH185" s="223" t="s">
        <v>76</v>
      </c>
      <c r="AI185" s="210" t="s">
        <v>2739</v>
      </c>
      <c r="AJ185" s="207">
        <f>+AG185</f>
        <v>0</v>
      </c>
      <c r="AK185" s="211"/>
      <c r="AL185" s="206"/>
      <c r="AM185" s="201"/>
      <c r="AN185" s="201"/>
      <c r="AO185" s="196"/>
      <c r="AP185" s="196" t="s">
        <v>3754</v>
      </c>
      <c r="AQ185" s="196"/>
      <c r="AR185" s="196" t="s">
        <v>3063</v>
      </c>
      <c r="AS185" s="196"/>
      <c r="AT185" s="196"/>
      <c r="AU185" s="196"/>
      <c r="AV185" s="196"/>
      <c r="AW185" s="197"/>
      <c r="AX185" s="220"/>
      <c r="AY185" s="197"/>
      <c r="AZ185" s="212"/>
      <c r="BA185" s="212"/>
      <c r="BB185" s="197"/>
      <c r="BC185" s="294"/>
      <c r="BD185" s="294">
        <f t="shared" si="83"/>
        <v>0</v>
      </c>
      <c r="BE185" s="197"/>
      <c r="BF185" s="196" t="s">
        <v>3108</v>
      </c>
      <c r="BG185" s="213" t="s">
        <v>3628</v>
      </c>
    </row>
    <row r="186" spans="1:59" s="96" customFormat="1" ht="15" customHeight="1">
      <c r="A186" s="227">
        <v>43934</v>
      </c>
      <c r="B186" s="228" t="s">
        <v>3056</v>
      </c>
      <c r="C186" s="229" t="s">
        <v>78</v>
      </c>
      <c r="D186" s="230" t="s">
        <v>3764</v>
      </c>
      <c r="E186" s="229" t="s">
        <v>3765</v>
      </c>
      <c r="F186" s="231" t="s">
        <v>2846</v>
      </c>
      <c r="G186" s="231" t="s">
        <v>2846</v>
      </c>
      <c r="H186" s="231">
        <v>160</v>
      </c>
      <c r="I186" s="229" t="s">
        <v>3313</v>
      </c>
      <c r="J186" s="229">
        <v>6</v>
      </c>
      <c r="K186" s="229" t="s">
        <v>2781</v>
      </c>
      <c r="L186" s="232">
        <v>134</v>
      </c>
      <c r="M186" s="232" t="s">
        <v>2953</v>
      </c>
      <c r="N186" s="231">
        <f>L186*H186*J186</f>
        <v>128640</v>
      </c>
      <c r="O186" s="231">
        <f>L186*J186</f>
        <v>804</v>
      </c>
      <c r="P186" s="233">
        <v>10.5</v>
      </c>
      <c r="Q186" s="233">
        <f>P186*O186</f>
        <v>8442</v>
      </c>
      <c r="R186" s="229" t="s">
        <v>2970</v>
      </c>
      <c r="S186" s="235" t="s">
        <v>3648</v>
      </c>
      <c r="T186" s="229" t="s">
        <v>3036</v>
      </c>
      <c r="U186" s="230" t="s">
        <v>3771</v>
      </c>
      <c r="V186" s="229"/>
      <c r="W186" s="232" t="e">
        <f t="shared" ca="1" si="82"/>
        <v>#NAME?</v>
      </c>
      <c r="X186" s="456">
        <v>480</v>
      </c>
      <c r="Y186" s="230" t="s">
        <v>3772</v>
      </c>
      <c r="Z186" s="236">
        <v>43994</v>
      </c>
      <c r="AA186" s="237">
        <v>324</v>
      </c>
      <c r="AB186" s="228" t="s">
        <v>3773</v>
      </c>
      <c r="AC186" s="228">
        <v>44006</v>
      </c>
      <c r="AD186" s="237"/>
      <c r="AE186" s="228"/>
      <c r="AF186" s="228"/>
      <c r="AG186" s="238">
        <f t="shared" ref="AG186:AG206" si="84">(Q186/P186)-X186-AA186-AD186</f>
        <v>0</v>
      </c>
      <c r="AH186" s="248" t="s">
        <v>78</v>
      </c>
      <c r="AI186" s="229" t="s">
        <v>2724</v>
      </c>
      <c r="AJ186" s="237">
        <f>+AG186</f>
        <v>0</v>
      </c>
      <c r="AK186" s="241" t="e">
        <f t="shared" ref="AK186:AK206" ca="1" si="85">_xlfn.SINGLE(IF(R186="TBD",49674,R186))</f>
        <v>#NAME?</v>
      </c>
      <c r="AL186" s="235" t="s">
        <v>3774</v>
      </c>
      <c r="AM186" s="229"/>
      <c r="AN186" s="229"/>
      <c r="AO186" s="228"/>
      <c r="AP186" s="228" t="s">
        <v>3775</v>
      </c>
      <c r="AQ186" s="228"/>
      <c r="AR186" s="228" t="s">
        <v>3063</v>
      </c>
      <c r="AS186" s="242">
        <f t="shared" ref="AS186:AS221" si="86">+Q186</f>
        <v>8442</v>
      </c>
      <c r="AT186" s="242">
        <f t="shared" ref="AT186:AT221" si="87">+AS186*0.101</f>
        <v>852.64200000000005</v>
      </c>
      <c r="AU186" s="242">
        <v>0</v>
      </c>
      <c r="AV186" s="242">
        <v>0</v>
      </c>
      <c r="AW186" s="242">
        <f t="shared" ref="AW186:AW206" si="88">SUBTOTAL(9,AS186:AV186)</f>
        <v>9294.6419999999998</v>
      </c>
      <c r="AX186" s="237">
        <v>804</v>
      </c>
      <c r="AY186" s="237" t="s">
        <v>2781</v>
      </c>
      <c r="AZ186" s="242">
        <f t="shared" ref="AZ186:AZ206" si="89">+AW186/AX186</f>
        <v>11.560499999999999</v>
      </c>
      <c r="BA186" s="242" t="s">
        <v>2721</v>
      </c>
      <c r="BB186" s="237" t="s">
        <v>2739</v>
      </c>
      <c r="BC186" s="242">
        <v>1</v>
      </c>
      <c r="BD186" s="242">
        <f t="shared" si="83"/>
        <v>11.560499999999999</v>
      </c>
      <c r="BE186" s="228"/>
      <c r="BF186" s="228" t="s">
        <v>3137</v>
      </c>
      <c r="BG186" s="227" t="s">
        <v>3628</v>
      </c>
    </row>
    <row r="187" spans="1:59" s="228" customFormat="1" ht="15" customHeight="1">
      <c r="A187" s="227">
        <v>43934</v>
      </c>
      <c r="B187" s="228" t="s">
        <v>3785</v>
      </c>
      <c r="C187" s="229" t="s">
        <v>3384</v>
      </c>
      <c r="D187" s="230" t="s">
        <v>3786</v>
      </c>
      <c r="E187" s="229">
        <v>126569</v>
      </c>
      <c r="F187" s="231" t="s">
        <v>2846</v>
      </c>
      <c r="G187" s="231" t="s">
        <v>2846</v>
      </c>
      <c r="H187" s="231">
        <v>10</v>
      </c>
      <c r="I187" s="229" t="s">
        <v>1269</v>
      </c>
      <c r="J187" s="229">
        <v>500</v>
      </c>
      <c r="K187" s="229" t="s">
        <v>2733</v>
      </c>
      <c r="L187" s="232">
        <v>1</v>
      </c>
      <c r="M187" s="232" t="s">
        <v>64</v>
      </c>
      <c r="N187" s="231">
        <f>L187*J187*H187</f>
        <v>5000</v>
      </c>
      <c r="O187" s="231">
        <f>L187*J187</f>
        <v>500</v>
      </c>
      <c r="P187" s="233">
        <v>45</v>
      </c>
      <c r="Q187" s="233">
        <f>P187*J187</f>
        <v>22500</v>
      </c>
      <c r="R187" s="227">
        <v>43935</v>
      </c>
      <c r="S187" s="235" t="s">
        <v>3648</v>
      </c>
      <c r="T187" s="229" t="s">
        <v>3036</v>
      </c>
      <c r="U187" s="230" t="s">
        <v>3787</v>
      </c>
      <c r="V187" s="229"/>
      <c r="W187" s="232" t="e">
        <f t="shared" ca="1" si="82"/>
        <v>#NAME?</v>
      </c>
      <c r="X187" s="456">
        <v>500</v>
      </c>
      <c r="Y187" s="230" t="s">
        <v>3788</v>
      </c>
      <c r="Z187" s="236">
        <v>43942</v>
      </c>
      <c r="AA187" s="237"/>
      <c r="AD187" s="237"/>
      <c r="AG187" s="238">
        <f t="shared" si="84"/>
        <v>0</v>
      </c>
      <c r="AH187" s="248" t="s">
        <v>66</v>
      </c>
      <c r="AI187" s="229" t="s">
        <v>2739</v>
      </c>
      <c r="AJ187" s="237">
        <f>+AG187*H187</f>
        <v>0</v>
      </c>
      <c r="AK187" s="241" t="e">
        <f t="shared" ca="1" si="85"/>
        <v>#NAME?</v>
      </c>
      <c r="AL187" s="235" t="s">
        <v>3789</v>
      </c>
      <c r="AM187" s="229"/>
      <c r="AN187" s="229"/>
      <c r="AP187" s="228" t="s">
        <v>3790</v>
      </c>
      <c r="AQ187" s="228" t="s">
        <v>3791</v>
      </c>
      <c r="AR187" s="228" t="s">
        <v>3039</v>
      </c>
      <c r="AS187" s="242">
        <f t="shared" si="86"/>
        <v>22500</v>
      </c>
      <c r="AT187" s="242">
        <f t="shared" si="87"/>
        <v>2272.5</v>
      </c>
      <c r="AU187" s="242">
        <v>0</v>
      </c>
      <c r="AV187" s="242">
        <v>0</v>
      </c>
      <c r="AW187" s="242">
        <f t="shared" si="88"/>
        <v>24772.5</v>
      </c>
      <c r="AX187" s="237">
        <f>+N187</f>
        <v>5000</v>
      </c>
      <c r="AY187" s="242" t="s">
        <v>2739</v>
      </c>
      <c r="AZ187" s="242">
        <f t="shared" si="89"/>
        <v>4.9545000000000003</v>
      </c>
      <c r="BA187" s="242" t="s">
        <v>2752</v>
      </c>
      <c r="BB187" s="242" t="s">
        <v>2733</v>
      </c>
      <c r="BC187" s="242">
        <v>10</v>
      </c>
      <c r="BD187" s="242">
        <f t="shared" si="83"/>
        <v>49.545000000000002</v>
      </c>
      <c r="BF187" s="228" t="s">
        <v>36</v>
      </c>
      <c r="BG187" s="227" t="s">
        <v>3628</v>
      </c>
    </row>
    <row r="188" spans="1:59" s="228" customFormat="1" ht="15" customHeight="1">
      <c r="A188" s="227">
        <v>43934</v>
      </c>
      <c r="B188" s="228" t="s">
        <v>3056</v>
      </c>
      <c r="C188" s="229" t="s">
        <v>78</v>
      </c>
      <c r="D188" s="230" t="s">
        <v>3764</v>
      </c>
      <c r="E188" s="229" t="s">
        <v>3765</v>
      </c>
      <c r="F188" s="231" t="s">
        <v>2846</v>
      </c>
      <c r="G188" s="231" t="s">
        <v>2846</v>
      </c>
      <c r="H188" s="231">
        <v>160</v>
      </c>
      <c r="I188" s="229" t="s">
        <v>3313</v>
      </c>
      <c r="J188" s="229">
        <v>6</v>
      </c>
      <c r="K188" s="229" t="s">
        <v>2781</v>
      </c>
      <c r="L188" s="232">
        <v>134</v>
      </c>
      <c r="M188" s="232" t="s">
        <v>2953</v>
      </c>
      <c r="N188" s="231">
        <f>L188*H188*J188</f>
        <v>128640</v>
      </c>
      <c r="O188" s="231">
        <f>L188*J188</f>
        <v>804</v>
      </c>
      <c r="P188" s="233">
        <v>10.5</v>
      </c>
      <c r="Q188" s="233">
        <f>P188*O188</f>
        <v>8442</v>
      </c>
      <c r="R188" s="229" t="s">
        <v>2970</v>
      </c>
      <c r="S188" s="235" t="s">
        <v>3648</v>
      </c>
      <c r="T188" s="229" t="s">
        <v>3036</v>
      </c>
      <c r="U188" s="230" t="s">
        <v>3766</v>
      </c>
      <c r="V188" s="229"/>
      <c r="W188" s="232" t="e">
        <f t="shared" ca="1" si="82"/>
        <v>#NAME?</v>
      </c>
      <c r="X188" s="456">
        <v>804</v>
      </c>
      <c r="Y188" s="230" t="s">
        <v>3767</v>
      </c>
      <c r="Z188" s="236">
        <v>43962</v>
      </c>
      <c r="AA188" s="237"/>
      <c r="AD188" s="237"/>
      <c r="AG188" s="238">
        <f t="shared" si="84"/>
        <v>0</v>
      </c>
      <c r="AH188" s="248" t="s">
        <v>78</v>
      </c>
      <c r="AI188" s="229" t="s">
        <v>2724</v>
      </c>
      <c r="AJ188" s="237">
        <f>+AG188</f>
        <v>0</v>
      </c>
      <c r="AK188" s="241" t="e">
        <f t="shared" ca="1" si="85"/>
        <v>#NAME?</v>
      </c>
      <c r="AL188" s="235" t="s">
        <v>3768</v>
      </c>
      <c r="AM188" s="229"/>
      <c r="AN188" s="229"/>
      <c r="AP188" s="228" t="s">
        <v>3769</v>
      </c>
      <c r="AQ188" s="228" t="s">
        <v>3770</v>
      </c>
      <c r="AR188" s="228" t="s">
        <v>3063</v>
      </c>
      <c r="AS188" s="242">
        <f t="shared" si="86"/>
        <v>8442</v>
      </c>
      <c r="AT188" s="242">
        <f t="shared" si="87"/>
        <v>852.64200000000005</v>
      </c>
      <c r="AU188" s="242">
        <v>0</v>
      </c>
      <c r="AV188" s="242">
        <v>0</v>
      </c>
      <c r="AW188" s="242">
        <f t="shared" si="88"/>
        <v>9294.6419999999998</v>
      </c>
      <c r="AX188" s="237">
        <v>804</v>
      </c>
      <c r="AY188" s="237" t="s">
        <v>2781</v>
      </c>
      <c r="AZ188" s="242">
        <f t="shared" si="89"/>
        <v>11.560499999999999</v>
      </c>
      <c r="BA188" s="242" t="s">
        <v>2721</v>
      </c>
      <c r="BB188" s="237" t="s">
        <v>2739</v>
      </c>
      <c r="BC188" s="242">
        <v>1</v>
      </c>
      <c r="BD188" s="242">
        <f t="shared" si="83"/>
        <v>11.560499999999999</v>
      </c>
      <c r="BF188" s="228" t="s">
        <v>3137</v>
      </c>
      <c r="BG188" s="227" t="s">
        <v>3628</v>
      </c>
    </row>
    <row r="189" spans="1:59" s="228" customFormat="1" ht="15" customHeight="1">
      <c r="A189" s="21">
        <v>43934</v>
      </c>
      <c r="B189" s="96" t="s">
        <v>3056</v>
      </c>
      <c r="C189" s="22" t="s">
        <v>78</v>
      </c>
      <c r="D189" s="97" t="s">
        <v>3764</v>
      </c>
      <c r="E189" s="22" t="s">
        <v>3765</v>
      </c>
      <c r="F189" s="98" t="s">
        <v>2846</v>
      </c>
      <c r="G189" s="98" t="s">
        <v>2846</v>
      </c>
      <c r="H189" s="98">
        <v>160</v>
      </c>
      <c r="I189" s="22" t="s">
        <v>3313</v>
      </c>
      <c r="J189" s="22">
        <v>6</v>
      </c>
      <c r="K189" s="22" t="s">
        <v>2781</v>
      </c>
      <c r="L189" s="285">
        <v>134</v>
      </c>
      <c r="M189" s="285" t="s">
        <v>2953</v>
      </c>
      <c r="N189" s="98">
        <f>L189*H189*J189</f>
        <v>128640</v>
      </c>
      <c r="O189" s="98">
        <f>L189*J189</f>
        <v>804</v>
      </c>
      <c r="P189" s="286">
        <v>10.5</v>
      </c>
      <c r="Q189" s="286">
        <f>P189*O189</f>
        <v>8442</v>
      </c>
      <c r="R189" s="22" t="s">
        <v>2970</v>
      </c>
      <c r="S189" s="99" t="s">
        <v>3506</v>
      </c>
      <c r="T189" s="22" t="s">
        <v>3036</v>
      </c>
      <c r="U189" s="97" t="s">
        <v>3776</v>
      </c>
      <c r="V189" s="22"/>
      <c r="W189" s="285" t="e">
        <f t="shared" ca="1" si="82"/>
        <v>#NAME?</v>
      </c>
      <c r="X189" s="456">
        <v>0</v>
      </c>
      <c r="Y189" s="97"/>
      <c r="Z189" s="96"/>
      <c r="AA189" s="287"/>
      <c r="AB189" s="96"/>
      <c r="AC189" s="96"/>
      <c r="AD189" s="287"/>
      <c r="AE189" s="96"/>
      <c r="AF189" s="96"/>
      <c r="AG189" s="102">
        <f t="shared" si="84"/>
        <v>804</v>
      </c>
      <c r="AH189" s="174" t="s">
        <v>78</v>
      </c>
      <c r="AI189" s="22" t="s">
        <v>2724</v>
      </c>
      <c r="AJ189" s="287">
        <f>+AG189</f>
        <v>804</v>
      </c>
      <c r="AK189" s="288" t="e">
        <f t="shared" ca="1" si="85"/>
        <v>#NAME?</v>
      </c>
      <c r="AL189" s="99"/>
      <c r="AM189" s="22"/>
      <c r="AN189" s="22"/>
      <c r="AO189" s="96"/>
      <c r="AP189" s="96" t="s">
        <v>3777</v>
      </c>
      <c r="AQ189" s="96"/>
      <c r="AR189" s="96" t="s">
        <v>3063</v>
      </c>
      <c r="AS189" s="284">
        <f t="shared" si="86"/>
        <v>8442</v>
      </c>
      <c r="AT189" s="284">
        <f t="shared" si="87"/>
        <v>852.64200000000005</v>
      </c>
      <c r="AU189" s="284">
        <v>0</v>
      </c>
      <c r="AV189" s="284">
        <v>0</v>
      </c>
      <c r="AW189" s="284">
        <f t="shared" si="88"/>
        <v>9294.6419999999998</v>
      </c>
      <c r="AX189" s="287">
        <v>804</v>
      </c>
      <c r="AY189" s="287" t="s">
        <v>96</v>
      </c>
      <c r="AZ189" s="284">
        <f t="shared" si="89"/>
        <v>11.560499999999999</v>
      </c>
      <c r="BA189" s="284" t="s">
        <v>2721</v>
      </c>
      <c r="BB189" s="287" t="s">
        <v>2739</v>
      </c>
      <c r="BC189" s="284">
        <v>1</v>
      </c>
      <c r="BD189" s="284">
        <f t="shared" si="83"/>
        <v>11.560499999999999</v>
      </c>
      <c r="BE189" s="96"/>
      <c r="BF189" s="96" t="s">
        <v>3137</v>
      </c>
      <c r="BG189" s="21" t="s">
        <v>3628</v>
      </c>
    </row>
    <row r="190" spans="1:59" s="96" customFormat="1" ht="15" customHeight="1">
      <c r="A190" s="227">
        <v>43936</v>
      </c>
      <c r="B190" s="228" t="s">
        <v>3129</v>
      </c>
      <c r="C190" s="229" t="s">
        <v>78</v>
      </c>
      <c r="D190" s="230" t="s">
        <v>3792</v>
      </c>
      <c r="E190" s="229" t="s">
        <v>3793</v>
      </c>
      <c r="F190" s="231" t="s">
        <v>2846</v>
      </c>
      <c r="G190" s="231" t="s">
        <v>2846</v>
      </c>
      <c r="H190" s="231">
        <v>35</v>
      </c>
      <c r="I190" s="229" t="s">
        <v>3313</v>
      </c>
      <c r="J190" s="229">
        <v>15</v>
      </c>
      <c r="K190" s="229" t="s">
        <v>3314</v>
      </c>
      <c r="L190" s="232">
        <v>4</v>
      </c>
      <c r="M190" s="232" t="s">
        <v>2953</v>
      </c>
      <c r="N190" s="231">
        <f>H190*J190*L190</f>
        <v>2100</v>
      </c>
      <c r="O190" s="231">
        <f>J190*L190</f>
        <v>60</v>
      </c>
      <c r="P190" s="233">
        <v>63.38</v>
      </c>
      <c r="Q190" s="233">
        <f>P190*L190</f>
        <v>253.52</v>
      </c>
      <c r="R190" s="229" t="s">
        <v>2970</v>
      </c>
      <c r="S190" s="235" t="s">
        <v>3794</v>
      </c>
      <c r="T190" s="229" t="s">
        <v>3036</v>
      </c>
      <c r="U190" s="230" t="s">
        <v>3795</v>
      </c>
      <c r="V190" s="229"/>
      <c r="W190" s="232" t="e">
        <f t="shared" ca="1" si="82"/>
        <v>#NAME?</v>
      </c>
      <c r="X190" s="456">
        <v>4</v>
      </c>
      <c r="Y190" s="230" t="s">
        <v>3796</v>
      </c>
      <c r="Z190" s="236">
        <v>43948</v>
      </c>
      <c r="AA190" s="228"/>
      <c r="AB190" s="228"/>
      <c r="AC190" s="228"/>
      <c r="AD190" s="228"/>
      <c r="AE190" s="228"/>
      <c r="AF190" s="228"/>
      <c r="AG190" s="238">
        <f t="shared" si="84"/>
        <v>0</v>
      </c>
      <c r="AH190" s="248"/>
      <c r="AI190" s="229"/>
      <c r="AJ190" s="237"/>
      <c r="AK190" s="241" t="e">
        <f t="shared" ca="1" si="85"/>
        <v>#NAME?</v>
      </c>
      <c r="AL190" s="235" t="s">
        <v>3797</v>
      </c>
      <c r="AM190" s="229"/>
      <c r="AN190" s="229"/>
      <c r="AO190" s="228"/>
      <c r="AP190" s="228" t="s">
        <v>3798</v>
      </c>
      <c r="AQ190" s="228" t="s">
        <v>3799</v>
      </c>
      <c r="AR190" s="228" t="s">
        <v>3063</v>
      </c>
      <c r="AS190" s="242">
        <f t="shared" si="86"/>
        <v>253.52</v>
      </c>
      <c r="AT190" s="242">
        <f t="shared" si="87"/>
        <v>25.605520000000002</v>
      </c>
      <c r="AU190" s="242">
        <v>0</v>
      </c>
      <c r="AV190" s="242">
        <v>0</v>
      </c>
      <c r="AW190" s="242">
        <f t="shared" si="88"/>
        <v>279.12551999999999</v>
      </c>
      <c r="AX190" s="237">
        <v>60</v>
      </c>
      <c r="AY190" s="237" t="s">
        <v>2724</v>
      </c>
      <c r="AZ190" s="242">
        <f t="shared" si="89"/>
        <v>4.6520919999999997</v>
      </c>
      <c r="BA190" s="242" t="s">
        <v>2721</v>
      </c>
      <c r="BB190" s="237" t="s">
        <v>2739</v>
      </c>
      <c r="BC190" s="242">
        <v>1</v>
      </c>
      <c r="BD190" s="242">
        <f t="shared" si="83"/>
        <v>4.6520919999999997</v>
      </c>
      <c r="BE190" s="228"/>
      <c r="BF190" s="228" t="s">
        <v>3137</v>
      </c>
      <c r="BG190" s="227" t="s">
        <v>3628</v>
      </c>
    </row>
    <row r="191" spans="1:59" s="228" customFormat="1" ht="15" customHeight="1">
      <c r="A191" s="227">
        <v>43938</v>
      </c>
      <c r="B191" s="228" t="s">
        <v>3129</v>
      </c>
      <c r="C191" s="229" t="s">
        <v>78</v>
      </c>
      <c r="D191" s="230" t="s">
        <v>3812</v>
      </c>
      <c r="E191" s="229" t="s">
        <v>3762</v>
      </c>
      <c r="F191" s="231" t="s">
        <v>2846</v>
      </c>
      <c r="G191" s="231" t="s">
        <v>2846</v>
      </c>
      <c r="H191" s="231">
        <v>80</v>
      </c>
      <c r="I191" s="229" t="s">
        <v>3313</v>
      </c>
      <c r="J191" s="229">
        <v>6</v>
      </c>
      <c r="K191" s="229" t="s">
        <v>3314</v>
      </c>
      <c r="L191" s="232">
        <v>24</v>
      </c>
      <c r="M191" s="232" t="s">
        <v>2953</v>
      </c>
      <c r="N191" s="231">
        <f>H191*J191*L191</f>
        <v>11520</v>
      </c>
      <c r="O191" s="231">
        <f>J191*L191</f>
        <v>144</v>
      </c>
      <c r="P191" s="233">
        <v>39.979999999999997</v>
      </c>
      <c r="Q191" s="233">
        <f>P191*L191</f>
        <v>959.52</v>
      </c>
      <c r="R191" s="229" t="s">
        <v>2970</v>
      </c>
      <c r="S191" s="235" t="s">
        <v>3217</v>
      </c>
      <c r="T191" s="229" t="s">
        <v>3036</v>
      </c>
      <c r="U191" s="230" t="s">
        <v>3813</v>
      </c>
      <c r="V191" s="229"/>
      <c r="W191" s="232" t="e">
        <f t="shared" ca="1" si="82"/>
        <v>#NAME?</v>
      </c>
      <c r="X191" s="456">
        <v>24</v>
      </c>
      <c r="Y191" s="230" t="s">
        <v>3814</v>
      </c>
      <c r="Z191" s="236">
        <v>43948</v>
      </c>
      <c r="AA191" s="237"/>
      <c r="AD191" s="237"/>
      <c r="AG191" s="238">
        <f t="shared" si="84"/>
        <v>0</v>
      </c>
      <c r="AH191" s="384" t="s">
        <v>78</v>
      </c>
      <c r="AI191" s="229" t="s">
        <v>2724</v>
      </c>
      <c r="AJ191" s="237">
        <f>+AG191*J191</f>
        <v>0</v>
      </c>
      <c r="AK191" s="241" t="e">
        <f t="shared" ca="1" si="85"/>
        <v>#NAME?</v>
      </c>
      <c r="AL191" s="235" t="s">
        <v>3815</v>
      </c>
      <c r="AM191" s="229"/>
      <c r="AN191" s="229"/>
      <c r="AP191" s="228" t="s">
        <v>3816</v>
      </c>
      <c r="AQ191" s="228" t="s">
        <v>3817</v>
      </c>
      <c r="AR191" s="228" t="s">
        <v>3063</v>
      </c>
      <c r="AS191" s="242">
        <f t="shared" si="86"/>
        <v>959.52</v>
      </c>
      <c r="AT191" s="242">
        <f t="shared" si="87"/>
        <v>96.91152000000001</v>
      </c>
      <c r="AU191" s="242">
        <v>0</v>
      </c>
      <c r="AV191" s="242">
        <v>0</v>
      </c>
      <c r="AW191" s="242">
        <f t="shared" si="88"/>
        <v>1056.4315200000001</v>
      </c>
      <c r="AX191" s="237">
        <v>144</v>
      </c>
      <c r="AY191" s="237" t="s">
        <v>2724</v>
      </c>
      <c r="AZ191" s="242">
        <f t="shared" si="89"/>
        <v>7.3363300000000002</v>
      </c>
      <c r="BA191" s="242" t="s">
        <v>2721</v>
      </c>
      <c r="BB191" s="237" t="s">
        <v>2739</v>
      </c>
      <c r="BC191" s="242">
        <v>1</v>
      </c>
      <c r="BD191" s="242">
        <f t="shared" si="83"/>
        <v>7.3363300000000002</v>
      </c>
      <c r="BF191" s="228" t="s">
        <v>3137</v>
      </c>
      <c r="BG191" s="227" t="s">
        <v>3628</v>
      </c>
    </row>
    <row r="192" spans="1:59" s="228" customFormat="1" ht="15" customHeight="1">
      <c r="A192" s="227">
        <v>43938</v>
      </c>
      <c r="B192" s="228" t="s">
        <v>3785</v>
      </c>
      <c r="C192" s="229" t="s">
        <v>3368</v>
      </c>
      <c r="D192" s="230" t="s">
        <v>3835</v>
      </c>
      <c r="E192" s="229">
        <v>127180</v>
      </c>
      <c r="F192" s="231" t="s">
        <v>2846</v>
      </c>
      <c r="G192" s="231" t="s">
        <v>2846</v>
      </c>
      <c r="H192" s="231">
        <v>50</v>
      </c>
      <c r="I192" s="229" t="s">
        <v>1269</v>
      </c>
      <c r="J192" s="229">
        <v>40</v>
      </c>
      <c r="K192" s="229" t="s">
        <v>2733</v>
      </c>
      <c r="L192" s="232">
        <v>90</v>
      </c>
      <c r="M192" s="232" t="s">
        <v>2953</v>
      </c>
      <c r="N192" s="231">
        <f>L192*J192*H192</f>
        <v>180000</v>
      </c>
      <c r="O192" s="231">
        <f>L192*J192</f>
        <v>3600</v>
      </c>
      <c r="P192" s="233">
        <v>1360</v>
      </c>
      <c r="Q192" s="233">
        <f>P192*L192</f>
        <v>122400</v>
      </c>
      <c r="R192" s="227">
        <v>43945</v>
      </c>
      <c r="S192" s="235" t="s">
        <v>3648</v>
      </c>
      <c r="T192" s="229" t="s">
        <v>3036</v>
      </c>
      <c r="U192" s="230" t="s">
        <v>3836</v>
      </c>
      <c r="V192" s="229"/>
      <c r="W192" s="232" t="e">
        <f t="shared" ca="1" si="82"/>
        <v>#NAME?</v>
      </c>
      <c r="X192" s="456">
        <v>88</v>
      </c>
      <c r="Y192" s="230" t="s">
        <v>3788</v>
      </c>
      <c r="Z192" s="236">
        <v>43944</v>
      </c>
      <c r="AA192" s="237">
        <v>2</v>
      </c>
      <c r="AB192" s="228" t="s">
        <v>3788</v>
      </c>
      <c r="AC192" s="236">
        <v>43944</v>
      </c>
      <c r="AD192" s="237"/>
      <c r="AG192" s="238">
        <f t="shared" si="84"/>
        <v>0</v>
      </c>
      <c r="AH192" s="384" t="s">
        <v>68</v>
      </c>
      <c r="AI192" s="229" t="s">
        <v>2739</v>
      </c>
      <c r="AJ192" s="237">
        <f>+AG192*H192*J192</f>
        <v>0</v>
      </c>
      <c r="AK192" s="241" t="e">
        <f t="shared" ca="1" si="85"/>
        <v>#NAME?</v>
      </c>
      <c r="AL192" s="235" t="s">
        <v>3837</v>
      </c>
      <c r="AM192" s="229"/>
      <c r="AN192" s="229"/>
      <c r="AP192" s="228" t="s">
        <v>3838</v>
      </c>
      <c r="AQ192" s="228" t="s">
        <v>3791</v>
      </c>
      <c r="AR192" s="228" t="s">
        <v>3039</v>
      </c>
      <c r="AS192" s="242">
        <f t="shared" si="86"/>
        <v>122400</v>
      </c>
      <c r="AT192" s="242">
        <f t="shared" si="87"/>
        <v>12362.400000000001</v>
      </c>
      <c r="AU192" s="242">
        <v>0</v>
      </c>
      <c r="AV192" s="242">
        <v>0</v>
      </c>
      <c r="AW192" s="242">
        <f t="shared" si="88"/>
        <v>134762.4</v>
      </c>
      <c r="AX192" s="237">
        <f>+N192</f>
        <v>180000</v>
      </c>
      <c r="AY192" s="242" t="s">
        <v>2739</v>
      </c>
      <c r="AZ192" s="242">
        <f t="shared" si="89"/>
        <v>0.74868000000000001</v>
      </c>
      <c r="BA192" s="242" t="s">
        <v>2744</v>
      </c>
      <c r="BB192" s="242" t="s">
        <v>2733</v>
      </c>
      <c r="BC192" s="242">
        <v>50</v>
      </c>
      <c r="BD192" s="242">
        <f t="shared" si="83"/>
        <v>37.433999999999997</v>
      </c>
      <c r="BF192" s="228" t="s">
        <v>36</v>
      </c>
      <c r="BG192" s="227" t="s">
        <v>3628</v>
      </c>
    </row>
    <row r="193" spans="1:59" s="228" customFormat="1" ht="15" customHeight="1">
      <c r="A193" s="227">
        <v>43938</v>
      </c>
      <c r="B193" s="228" t="s">
        <v>3803</v>
      </c>
      <c r="C193" s="229" t="s">
        <v>3804</v>
      </c>
      <c r="D193" s="230" t="s">
        <v>3805</v>
      </c>
      <c r="E193" s="229"/>
      <c r="F193" s="231" t="s">
        <v>2846</v>
      </c>
      <c r="G193" s="231" t="s">
        <v>2846</v>
      </c>
      <c r="H193" s="231">
        <v>8000</v>
      </c>
      <c r="I193" s="229" t="s">
        <v>2739</v>
      </c>
      <c r="J193" s="229" t="s">
        <v>2846</v>
      </c>
      <c r="K193" s="229" t="s">
        <v>2846</v>
      </c>
      <c r="L193" s="232">
        <v>1</v>
      </c>
      <c r="M193" s="232" t="s">
        <v>64</v>
      </c>
      <c r="N193" s="231">
        <f>L193*H193</f>
        <v>8000</v>
      </c>
      <c r="O193" s="231" t="s">
        <v>2846</v>
      </c>
      <c r="P193" s="233">
        <v>3.86</v>
      </c>
      <c r="Q193" s="233">
        <f>P193*H193</f>
        <v>30880</v>
      </c>
      <c r="R193" s="229" t="s">
        <v>2970</v>
      </c>
      <c r="S193" s="235" t="s">
        <v>3035</v>
      </c>
      <c r="T193" s="229" t="s">
        <v>3036</v>
      </c>
      <c r="U193" s="230" t="s">
        <v>3806</v>
      </c>
      <c r="V193" s="229"/>
      <c r="W193" s="232" t="e">
        <f t="shared" ca="1" si="82"/>
        <v>#NAME?</v>
      </c>
      <c r="X193" s="456">
        <v>8000</v>
      </c>
      <c r="Y193" s="230">
        <v>121</v>
      </c>
      <c r="Z193" s="236">
        <v>43965</v>
      </c>
      <c r="AG193" s="238">
        <f t="shared" si="84"/>
        <v>0</v>
      </c>
      <c r="AH193" s="247" t="s">
        <v>2669</v>
      </c>
      <c r="AI193" s="229" t="s">
        <v>2739</v>
      </c>
      <c r="AJ193" s="237">
        <f>+AG193</f>
        <v>0</v>
      </c>
      <c r="AK193" s="241" t="e">
        <f t="shared" ca="1" si="85"/>
        <v>#NAME?</v>
      </c>
      <c r="AL193" s="235" t="s">
        <v>3807</v>
      </c>
      <c r="AM193" s="229"/>
      <c r="AN193" s="229"/>
      <c r="AP193" s="228" t="s">
        <v>3808</v>
      </c>
      <c r="AQ193" s="228" t="s">
        <v>3809</v>
      </c>
      <c r="AR193" s="228" t="s">
        <v>3039</v>
      </c>
      <c r="AS193" s="242">
        <f t="shared" si="86"/>
        <v>30880</v>
      </c>
      <c r="AT193" s="242">
        <f t="shared" si="87"/>
        <v>3118.88</v>
      </c>
      <c r="AU193" s="242">
        <v>0</v>
      </c>
      <c r="AV193" s="242">
        <v>0</v>
      </c>
      <c r="AW193" s="242">
        <f t="shared" si="88"/>
        <v>33998.879999999997</v>
      </c>
      <c r="AX193" s="237">
        <f>+N193</f>
        <v>8000</v>
      </c>
      <c r="AY193" s="242" t="s">
        <v>2739</v>
      </c>
      <c r="AZ193" s="242">
        <f t="shared" si="89"/>
        <v>4.24986</v>
      </c>
      <c r="BA193" s="242" t="s">
        <v>2820</v>
      </c>
      <c r="BB193" s="242" t="s">
        <v>2953</v>
      </c>
      <c r="BC193" s="242">
        <v>1</v>
      </c>
      <c r="BD193" s="242">
        <f t="shared" si="83"/>
        <v>4.24986</v>
      </c>
      <c r="BF193" s="228" t="s">
        <v>36</v>
      </c>
      <c r="BG193" s="227" t="s">
        <v>3628</v>
      </c>
    </row>
    <row r="194" spans="1:59" s="228" customFormat="1" ht="15" customHeight="1">
      <c r="A194" s="227">
        <v>43938</v>
      </c>
      <c r="B194" s="228" t="s">
        <v>3803</v>
      </c>
      <c r="C194" s="229" t="s">
        <v>3804</v>
      </c>
      <c r="D194" s="230" t="s">
        <v>3810</v>
      </c>
      <c r="E194" s="229"/>
      <c r="F194" s="231" t="s">
        <v>2846</v>
      </c>
      <c r="G194" s="231" t="s">
        <v>2846</v>
      </c>
      <c r="H194" s="231">
        <v>8000</v>
      </c>
      <c r="I194" s="229" t="s">
        <v>2739</v>
      </c>
      <c r="J194" s="229" t="s">
        <v>2846</v>
      </c>
      <c r="K194" s="229" t="s">
        <v>2846</v>
      </c>
      <c r="L194" s="232">
        <v>1</v>
      </c>
      <c r="M194" s="232" t="s">
        <v>64</v>
      </c>
      <c r="N194" s="231">
        <f>L194*H194</f>
        <v>8000</v>
      </c>
      <c r="O194" s="231" t="s">
        <v>2846</v>
      </c>
      <c r="P194" s="233">
        <v>3.86</v>
      </c>
      <c r="Q194" s="233">
        <f>P194*H194</f>
        <v>30880</v>
      </c>
      <c r="R194" s="229" t="s">
        <v>2970</v>
      </c>
      <c r="S194" s="235" t="s">
        <v>3035</v>
      </c>
      <c r="T194" s="229" t="s">
        <v>3036</v>
      </c>
      <c r="U194" s="230" t="s">
        <v>3806</v>
      </c>
      <c r="V194" s="229"/>
      <c r="W194" s="232" t="e">
        <f t="shared" ca="1" si="82"/>
        <v>#NAME?</v>
      </c>
      <c r="X194" s="456">
        <v>8000</v>
      </c>
      <c r="Y194" s="230">
        <v>121</v>
      </c>
      <c r="Z194" s="236">
        <v>43965</v>
      </c>
      <c r="AA194" s="237"/>
      <c r="AD194" s="237"/>
      <c r="AG194" s="238">
        <f t="shared" si="84"/>
        <v>0</v>
      </c>
      <c r="AH194" s="247" t="s">
        <v>2669</v>
      </c>
      <c r="AI194" s="229" t="s">
        <v>2739</v>
      </c>
      <c r="AJ194" s="237">
        <f>+AG194</f>
        <v>0</v>
      </c>
      <c r="AK194" s="241" t="e">
        <f t="shared" ca="1" si="85"/>
        <v>#NAME?</v>
      </c>
      <c r="AL194" s="235" t="s">
        <v>3807</v>
      </c>
      <c r="AM194" s="229"/>
      <c r="AN194" s="229"/>
      <c r="AP194" s="228" t="s">
        <v>3811</v>
      </c>
      <c r="AQ194" s="228" t="s">
        <v>3809</v>
      </c>
      <c r="AR194" s="228" t="s">
        <v>3039</v>
      </c>
      <c r="AS194" s="242">
        <f t="shared" si="86"/>
        <v>30880</v>
      </c>
      <c r="AT194" s="242">
        <f t="shared" si="87"/>
        <v>3118.88</v>
      </c>
      <c r="AU194" s="242">
        <v>0</v>
      </c>
      <c r="AV194" s="242">
        <v>0</v>
      </c>
      <c r="AW194" s="242">
        <f t="shared" si="88"/>
        <v>33998.879999999997</v>
      </c>
      <c r="AX194" s="237">
        <f>+N194</f>
        <v>8000</v>
      </c>
      <c r="AY194" s="242" t="s">
        <v>2739</v>
      </c>
      <c r="AZ194" s="242">
        <f t="shared" si="89"/>
        <v>4.24986</v>
      </c>
      <c r="BA194" s="242" t="s">
        <v>2820</v>
      </c>
      <c r="BB194" s="242" t="s">
        <v>2953</v>
      </c>
      <c r="BC194" s="242">
        <v>1</v>
      </c>
      <c r="BD194" s="242">
        <f t="shared" si="83"/>
        <v>4.24986</v>
      </c>
      <c r="BF194" s="228" t="s">
        <v>36</v>
      </c>
      <c r="BG194" s="227" t="s">
        <v>3628</v>
      </c>
    </row>
    <row r="195" spans="1:59" s="228" customFormat="1" ht="15" customHeight="1">
      <c r="A195" s="21">
        <v>43938</v>
      </c>
      <c r="B195" s="96" t="s">
        <v>3056</v>
      </c>
      <c r="C195" s="22" t="s">
        <v>3685</v>
      </c>
      <c r="D195" s="97" t="s">
        <v>3800</v>
      </c>
      <c r="E195" s="22">
        <v>34405</v>
      </c>
      <c r="F195" s="69" t="s">
        <v>2846</v>
      </c>
      <c r="G195" s="69" t="s">
        <v>2846</v>
      </c>
      <c r="H195" s="70">
        <v>50</v>
      </c>
      <c r="I195" s="71" t="s">
        <v>3313</v>
      </c>
      <c r="J195" s="71">
        <v>240</v>
      </c>
      <c r="K195" s="71" t="s">
        <v>3314</v>
      </c>
      <c r="L195" s="72">
        <v>1</v>
      </c>
      <c r="M195" s="72" t="s">
        <v>64</v>
      </c>
      <c r="N195" s="73">
        <f>H195*J195*L195</f>
        <v>12000</v>
      </c>
      <c r="O195" s="73">
        <f>J195</f>
        <v>240</v>
      </c>
      <c r="P195" s="74">
        <v>7</v>
      </c>
      <c r="Q195" s="74">
        <f>P195*J195</f>
        <v>1680</v>
      </c>
      <c r="R195" s="22" t="s">
        <v>2970</v>
      </c>
      <c r="S195" s="99" t="s">
        <v>3506</v>
      </c>
      <c r="T195" s="22" t="s">
        <v>3036</v>
      </c>
      <c r="U195" s="97" t="s">
        <v>3801</v>
      </c>
      <c r="V195" s="22"/>
      <c r="W195" s="72" t="e">
        <f t="shared" ca="1" si="82"/>
        <v>#NAME?</v>
      </c>
      <c r="X195" s="456">
        <v>0</v>
      </c>
      <c r="Y195" s="97"/>
      <c r="Z195" s="96"/>
      <c r="AA195" s="96"/>
      <c r="AB195" s="96"/>
      <c r="AC195" s="96"/>
      <c r="AD195" s="96"/>
      <c r="AE195" s="96"/>
      <c r="AF195" s="96"/>
      <c r="AG195" s="102">
        <f t="shared" si="84"/>
        <v>240</v>
      </c>
      <c r="AH195" s="110" t="s">
        <v>80</v>
      </c>
      <c r="AI195" s="22" t="s">
        <v>2739</v>
      </c>
      <c r="AJ195" s="101">
        <f>+AG195*H195</f>
        <v>12000</v>
      </c>
      <c r="AK195" s="184" t="e">
        <f t="shared" ca="1" si="85"/>
        <v>#NAME?</v>
      </c>
      <c r="AL195" s="99"/>
      <c r="AM195" s="22"/>
      <c r="AN195" s="22"/>
      <c r="AO195" s="96"/>
      <c r="AP195" s="96" t="s">
        <v>3802</v>
      </c>
      <c r="AQ195" s="96"/>
      <c r="AR195" s="96" t="s">
        <v>3063</v>
      </c>
      <c r="AS195" s="199">
        <f t="shared" si="86"/>
        <v>1680</v>
      </c>
      <c r="AT195" s="199">
        <f t="shared" si="87"/>
        <v>169.68</v>
      </c>
      <c r="AU195" s="199">
        <v>0</v>
      </c>
      <c r="AV195" s="199">
        <v>0</v>
      </c>
      <c r="AW195" s="199">
        <f t="shared" si="88"/>
        <v>1849.68</v>
      </c>
      <c r="AX195" s="101">
        <f>+N195</f>
        <v>12000</v>
      </c>
      <c r="AY195" s="199" t="s">
        <v>2739</v>
      </c>
      <c r="AZ195" s="199">
        <f t="shared" si="89"/>
        <v>0.15414</v>
      </c>
      <c r="BA195" s="199" t="s">
        <v>2725</v>
      </c>
      <c r="BB195" s="199" t="s">
        <v>2733</v>
      </c>
      <c r="BC195" s="199">
        <v>100</v>
      </c>
      <c r="BD195" s="199">
        <f t="shared" si="83"/>
        <v>15.414</v>
      </c>
      <c r="BE195" s="96"/>
      <c r="BF195" s="96" t="s">
        <v>3137</v>
      </c>
      <c r="BG195" s="21" t="s">
        <v>3628</v>
      </c>
    </row>
    <row r="196" spans="1:59" s="228" customFormat="1" ht="15" customHeight="1">
      <c r="A196" s="227">
        <v>43941</v>
      </c>
      <c r="B196" s="228" t="s">
        <v>3138</v>
      </c>
      <c r="C196" s="229" t="s">
        <v>3674</v>
      </c>
      <c r="D196" s="230" t="s">
        <v>3824</v>
      </c>
      <c r="E196" s="229" t="s">
        <v>3825</v>
      </c>
      <c r="F196" s="231" t="s">
        <v>2846</v>
      </c>
      <c r="G196" s="231" t="s">
        <v>2846</v>
      </c>
      <c r="H196" s="231">
        <v>50</v>
      </c>
      <c r="I196" s="229" t="s">
        <v>2739</v>
      </c>
      <c r="J196" s="229" t="s">
        <v>2846</v>
      </c>
      <c r="K196" s="229" t="s">
        <v>2846</v>
      </c>
      <c r="L196" s="232">
        <v>1</v>
      </c>
      <c r="M196" s="232" t="s">
        <v>64</v>
      </c>
      <c r="N196" s="231">
        <f>H196</f>
        <v>50</v>
      </c>
      <c r="O196" s="231" t="s">
        <v>2846</v>
      </c>
      <c r="P196" s="233">
        <v>112.66</v>
      </c>
      <c r="Q196" s="233">
        <f>P196*L196*H196</f>
        <v>5633</v>
      </c>
      <c r="R196" s="227">
        <v>43949</v>
      </c>
      <c r="S196" s="235" t="s">
        <v>3217</v>
      </c>
      <c r="T196" s="229" t="s">
        <v>3036</v>
      </c>
      <c r="U196" s="230" t="s">
        <v>3826</v>
      </c>
      <c r="V196" s="229"/>
      <c r="W196" s="232" t="e">
        <f t="shared" ca="1" si="82"/>
        <v>#NAME?</v>
      </c>
      <c r="X196" s="456">
        <v>50</v>
      </c>
      <c r="Y196" s="230">
        <v>4831223</v>
      </c>
      <c r="Z196" s="236">
        <v>43952</v>
      </c>
      <c r="AA196" s="237"/>
      <c r="AD196" s="237"/>
      <c r="AG196" s="238">
        <f t="shared" si="84"/>
        <v>0</v>
      </c>
      <c r="AH196" s="248" t="s">
        <v>89</v>
      </c>
      <c r="AI196" s="229" t="s">
        <v>2739</v>
      </c>
      <c r="AJ196" s="237">
        <f>+AG196</f>
        <v>0</v>
      </c>
      <c r="AK196" s="241" t="e">
        <f t="shared" ca="1" si="85"/>
        <v>#NAME?</v>
      </c>
      <c r="AL196" s="235" t="s">
        <v>3827</v>
      </c>
      <c r="AM196" s="229"/>
      <c r="AN196" s="229"/>
      <c r="AP196" s="228" t="s">
        <v>3828</v>
      </c>
      <c r="AQ196" s="228" t="s">
        <v>3829</v>
      </c>
      <c r="AR196" s="228" t="s">
        <v>3039</v>
      </c>
      <c r="AS196" s="242">
        <f t="shared" si="86"/>
        <v>5633</v>
      </c>
      <c r="AT196" s="242">
        <f t="shared" si="87"/>
        <v>568.93299999999999</v>
      </c>
      <c r="AU196" s="242">
        <v>0</v>
      </c>
      <c r="AV196" s="242">
        <v>0</v>
      </c>
      <c r="AW196" s="242">
        <f t="shared" si="88"/>
        <v>6201.933</v>
      </c>
      <c r="AX196" s="237">
        <f>+N196</f>
        <v>50</v>
      </c>
      <c r="AY196" s="242" t="s">
        <v>2739</v>
      </c>
      <c r="AZ196" s="242">
        <f t="shared" si="89"/>
        <v>124.03865999999999</v>
      </c>
      <c r="BA196" s="242" t="s">
        <v>2842</v>
      </c>
      <c r="BB196" s="242" t="s">
        <v>2739</v>
      </c>
      <c r="BC196" s="242">
        <v>1</v>
      </c>
      <c r="BD196" s="242">
        <f t="shared" si="83"/>
        <v>124.03865999999999</v>
      </c>
      <c r="BF196" s="228" t="s">
        <v>3162</v>
      </c>
      <c r="BG196" s="227" t="s">
        <v>3628</v>
      </c>
    </row>
    <row r="197" spans="1:59" s="228" customFormat="1" ht="15" customHeight="1">
      <c r="A197" s="227">
        <v>43941</v>
      </c>
      <c r="B197" s="228" t="s">
        <v>3056</v>
      </c>
      <c r="C197" s="229" t="s">
        <v>78</v>
      </c>
      <c r="D197" s="230" t="s">
        <v>3441</v>
      </c>
      <c r="E197" s="229" t="s">
        <v>3442</v>
      </c>
      <c r="F197" s="231" t="s">
        <v>2846</v>
      </c>
      <c r="G197" s="231" t="s">
        <v>2846</v>
      </c>
      <c r="H197" s="231">
        <v>160</v>
      </c>
      <c r="I197" s="229" t="s">
        <v>3313</v>
      </c>
      <c r="J197" s="229">
        <v>1920</v>
      </c>
      <c r="K197" s="229" t="s">
        <v>2781</v>
      </c>
      <c r="L197" s="232">
        <v>1</v>
      </c>
      <c r="M197" s="232" t="s">
        <v>64</v>
      </c>
      <c r="N197" s="231">
        <f>L197*J197*H197</f>
        <v>307200</v>
      </c>
      <c r="O197" s="231">
        <f>J197*L197</f>
        <v>1920</v>
      </c>
      <c r="P197" s="233">
        <v>10.5</v>
      </c>
      <c r="Q197" s="233">
        <f>P197*J197</f>
        <v>20160</v>
      </c>
      <c r="R197" s="227">
        <v>43943</v>
      </c>
      <c r="S197" s="235" t="s">
        <v>3035</v>
      </c>
      <c r="T197" s="229" t="s">
        <v>3036</v>
      </c>
      <c r="U197" s="230" t="s">
        <v>3830</v>
      </c>
      <c r="V197" s="229"/>
      <c r="W197" s="232" t="e">
        <f t="shared" ca="1" si="82"/>
        <v>#NAME?</v>
      </c>
      <c r="X197" s="456">
        <v>1920</v>
      </c>
      <c r="Y197" s="230" t="s">
        <v>3831</v>
      </c>
      <c r="Z197" s="236">
        <v>43962</v>
      </c>
      <c r="AA197" s="237"/>
      <c r="AD197" s="237"/>
      <c r="AG197" s="238">
        <f t="shared" si="84"/>
        <v>0</v>
      </c>
      <c r="AH197" s="248"/>
      <c r="AI197" s="229"/>
      <c r="AJ197" s="237"/>
      <c r="AK197" s="241" t="e">
        <f t="shared" ca="1" si="85"/>
        <v>#NAME?</v>
      </c>
      <c r="AL197" s="235" t="s">
        <v>3832</v>
      </c>
      <c r="AM197" s="229"/>
      <c r="AN197" s="229"/>
      <c r="AP197" s="228" t="s">
        <v>3833</v>
      </c>
      <c r="AQ197" s="228" t="s">
        <v>3834</v>
      </c>
      <c r="AR197" s="228" t="s">
        <v>3063</v>
      </c>
      <c r="AS197" s="242">
        <f t="shared" si="86"/>
        <v>20160</v>
      </c>
      <c r="AT197" s="242">
        <f t="shared" si="87"/>
        <v>2036.16</v>
      </c>
      <c r="AU197" s="242">
        <v>0</v>
      </c>
      <c r="AV197" s="242">
        <v>0</v>
      </c>
      <c r="AW197" s="242">
        <f t="shared" si="88"/>
        <v>22196.16</v>
      </c>
      <c r="AX197" s="237">
        <v>1920</v>
      </c>
      <c r="AY197" s="237" t="s">
        <v>2724</v>
      </c>
      <c r="AZ197" s="242">
        <f t="shared" si="89"/>
        <v>11.560499999999999</v>
      </c>
      <c r="BA197" s="242" t="s">
        <v>2721</v>
      </c>
      <c r="BB197" s="237" t="s">
        <v>2739</v>
      </c>
      <c r="BC197" s="242">
        <v>1</v>
      </c>
      <c r="BD197" s="242">
        <f t="shared" si="83"/>
        <v>11.560499999999999</v>
      </c>
      <c r="BF197" s="228" t="s">
        <v>3137</v>
      </c>
      <c r="BG197" s="227" t="s">
        <v>3628</v>
      </c>
    </row>
    <row r="198" spans="1:59" s="228" customFormat="1" ht="15" customHeight="1">
      <c r="A198" s="227">
        <v>43942</v>
      </c>
      <c r="B198" s="228" t="s">
        <v>3596</v>
      </c>
      <c r="C198" s="229" t="s">
        <v>3674</v>
      </c>
      <c r="D198" s="230" t="s">
        <v>3818</v>
      </c>
      <c r="E198" s="229" t="s">
        <v>3819</v>
      </c>
      <c r="F198" s="231" t="s">
        <v>2846</v>
      </c>
      <c r="G198" s="231" t="s">
        <v>2846</v>
      </c>
      <c r="H198" s="231">
        <v>100</v>
      </c>
      <c r="I198" s="229" t="s">
        <v>2739</v>
      </c>
      <c r="J198" s="229" t="s">
        <v>2846</v>
      </c>
      <c r="K198" s="229" t="s">
        <v>2846</v>
      </c>
      <c r="L198" s="232">
        <v>1</v>
      </c>
      <c r="M198" s="232" t="s">
        <v>64</v>
      </c>
      <c r="N198" s="231">
        <f>H198</f>
        <v>100</v>
      </c>
      <c r="O198" s="231" t="s">
        <v>2846</v>
      </c>
      <c r="P198" s="233">
        <v>71.97</v>
      </c>
      <c r="Q198" s="233">
        <f>P198*L198*H198</f>
        <v>7197</v>
      </c>
      <c r="R198" s="227">
        <v>43962</v>
      </c>
      <c r="S198" s="235" t="s">
        <v>3217</v>
      </c>
      <c r="T198" s="229" t="s">
        <v>3036</v>
      </c>
      <c r="U198" s="230" t="s">
        <v>3839</v>
      </c>
      <c r="V198" s="229"/>
      <c r="W198" s="232" t="e">
        <f t="shared" ca="1" si="82"/>
        <v>#NAME?</v>
      </c>
      <c r="X198" s="456">
        <v>100</v>
      </c>
      <c r="Y198" s="230">
        <v>4202040</v>
      </c>
      <c r="Z198" s="236">
        <v>43952</v>
      </c>
      <c r="AA198" s="237"/>
      <c r="AD198" s="237"/>
      <c r="AG198" s="238">
        <f t="shared" si="84"/>
        <v>0</v>
      </c>
      <c r="AH198" s="248" t="s">
        <v>89</v>
      </c>
      <c r="AI198" s="229" t="s">
        <v>2739</v>
      </c>
      <c r="AJ198" s="237">
        <f>+AG198</f>
        <v>0</v>
      </c>
      <c r="AK198" s="241" t="e">
        <f t="shared" ca="1" si="85"/>
        <v>#NAME?</v>
      </c>
      <c r="AL198" s="235" t="s">
        <v>3840</v>
      </c>
      <c r="AM198" s="229"/>
      <c r="AN198" s="229"/>
      <c r="AP198" s="228" t="s">
        <v>3841</v>
      </c>
      <c r="AQ198" s="228" t="s">
        <v>3842</v>
      </c>
      <c r="AR198" s="228" t="s">
        <v>3039</v>
      </c>
      <c r="AS198" s="242">
        <f t="shared" si="86"/>
        <v>7197</v>
      </c>
      <c r="AT198" s="242">
        <f t="shared" si="87"/>
        <v>726.89700000000005</v>
      </c>
      <c r="AU198" s="242">
        <v>0</v>
      </c>
      <c r="AV198" s="242">
        <v>0</v>
      </c>
      <c r="AW198" s="242">
        <f t="shared" si="88"/>
        <v>7923.8969999999999</v>
      </c>
      <c r="AX198" s="237">
        <f>+N198</f>
        <v>100</v>
      </c>
      <c r="AY198" s="242" t="s">
        <v>2739</v>
      </c>
      <c r="AZ198" s="242">
        <f t="shared" si="89"/>
        <v>79.238969999999995</v>
      </c>
      <c r="BA198" s="242" t="s">
        <v>2842</v>
      </c>
      <c r="BB198" s="242" t="s">
        <v>2739</v>
      </c>
      <c r="BC198" s="242">
        <v>1</v>
      </c>
      <c r="BD198" s="242">
        <f t="shared" si="83"/>
        <v>79.238969999999995</v>
      </c>
      <c r="BF198" s="228" t="s">
        <v>3162</v>
      </c>
      <c r="BG198" s="227" t="s">
        <v>3628</v>
      </c>
    </row>
    <row r="199" spans="1:59" s="228" customFormat="1" ht="15" customHeight="1">
      <c r="A199" s="227">
        <v>43942</v>
      </c>
      <c r="B199" s="228" t="s">
        <v>3596</v>
      </c>
      <c r="C199" s="229" t="s">
        <v>3674</v>
      </c>
      <c r="D199" s="230" t="s">
        <v>3818</v>
      </c>
      <c r="E199" s="229" t="s">
        <v>3819</v>
      </c>
      <c r="F199" s="231" t="s">
        <v>2846</v>
      </c>
      <c r="G199" s="231" t="s">
        <v>2846</v>
      </c>
      <c r="H199" s="231">
        <v>200</v>
      </c>
      <c r="I199" s="229" t="s">
        <v>2739</v>
      </c>
      <c r="J199" s="229" t="s">
        <v>2846</v>
      </c>
      <c r="K199" s="229" t="s">
        <v>2846</v>
      </c>
      <c r="L199" s="232">
        <v>1</v>
      </c>
      <c r="M199" s="232" t="s">
        <v>64</v>
      </c>
      <c r="N199" s="231">
        <f>H199</f>
        <v>200</v>
      </c>
      <c r="O199" s="231" t="s">
        <v>2846</v>
      </c>
      <c r="P199" s="233">
        <v>71.97</v>
      </c>
      <c r="Q199" s="233">
        <f>P199*L199*H199</f>
        <v>14394</v>
      </c>
      <c r="R199" s="227">
        <v>43959</v>
      </c>
      <c r="S199" s="235" t="s">
        <v>3217</v>
      </c>
      <c r="T199" s="229" t="s">
        <v>3036</v>
      </c>
      <c r="U199" s="230" t="s">
        <v>3820</v>
      </c>
      <c r="V199" s="229"/>
      <c r="W199" s="232" t="e">
        <f t="shared" ca="1" si="82"/>
        <v>#NAME?</v>
      </c>
      <c r="X199" s="456">
        <v>197</v>
      </c>
      <c r="Y199" s="230">
        <v>4202039</v>
      </c>
      <c r="Z199" s="236">
        <v>43952</v>
      </c>
      <c r="AA199" s="237"/>
      <c r="AD199" s="237"/>
      <c r="AG199" s="238">
        <f t="shared" si="84"/>
        <v>3</v>
      </c>
      <c r="AH199" s="248" t="s">
        <v>89</v>
      </c>
      <c r="AI199" s="229" t="s">
        <v>2739</v>
      </c>
      <c r="AJ199" s="237">
        <f>+AG199</f>
        <v>3</v>
      </c>
      <c r="AK199" s="241" t="e">
        <f t="shared" ca="1" si="85"/>
        <v>#NAME?</v>
      </c>
      <c r="AL199" s="235" t="s">
        <v>3821</v>
      </c>
      <c r="AM199" s="229"/>
      <c r="AN199" s="229"/>
      <c r="AP199" s="228" t="s">
        <v>3822</v>
      </c>
      <c r="AQ199" s="228" t="s">
        <v>3823</v>
      </c>
      <c r="AR199" s="228" t="s">
        <v>3039</v>
      </c>
      <c r="AS199" s="242">
        <f t="shared" si="86"/>
        <v>14394</v>
      </c>
      <c r="AT199" s="242">
        <f t="shared" si="87"/>
        <v>1453.7940000000001</v>
      </c>
      <c r="AU199" s="242">
        <v>0</v>
      </c>
      <c r="AV199" s="242">
        <v>0</v>
      </c>
      <c r="AW199" s="242">
        <f t="shared" si="88"/>
        <v>15847.794</v>
      </c>
      <c r="AX199" s="237">
        <f>+N199</f>
        <v>200</v>
      </c>
      <c r="AY199" s="242" t="s">
        <v>2739</v>
      </c>
      <c r="AZ199" s="242">
        <f t="shared" si="89"/>
        <v>79.238969999999995</v>
      </c>
      <c r="BA199" s="242" t="s">
        <v>2842</v>
      </c>
      <c r="BB199" s="242" t="s">
        <v>2739</v>
      </c>
      <c r="BC199" s="242">
        <v>1</v>
      </c>
      <c r="BD199" s="242">
        <f t="shared" si="83"/>
        <v>79.238969999999995</v>
      </c>
      <c r="BF199" s="228" t="s">
        <v>3162</v>
      </c>
      <c r="BG199" s="227" t="s">
        <v>3628</v>
      </c>
    </row>
    <row r="200" spans="1:59" s="228" customFormat="1" ht="15" customHeight="1">
      <c r="A200" s="227">
        <v>43943</v>
      </c>
      <c r="B200" s="228" t="s">
        <v>3363</v>
      </c>
      <c r="C200" s="229" t="s">
        <v>1584</v>
      </c>
      <c r="D200" s="230" t="s">
        <v>3848</v>
      </c>
      <c r="E200" s="229" t="s">
        <v>3849</v>
      </c>
      <c r="F200" s="231">
        <v>7040</v>
      </c>
      <c r="G200" s="231">
        <f>F200*H200</f>
        <v>70400</v>
      </c>
      <c r="H200" s="231">
        <v>10</v>
      </c>
      <c r="I200" s="229" t="s">
        <v>2959</v>
      </c>
      <c r="J200" s="229" t="s">
        <v>2846</v>
      </c>
      <c r="K200" s="229" t="s">
        <v>2846</v>
      </c>
      <c r="L200" s="232">
        <v>1</v>
      </c>
      <c r="M200" s="232" t="s">
        <v>64</v>
      </c>
      <c r="N200" s="231">
        <f>H200</f>
        <v>10</v>
      </c>
      <c r="O200" s="231" t="s">
        <v>2846</v>
      </c>
      <c r="P200" s="233">
        <v>1875</v>
      </c>
      <c r="Q200" s="233">
        <f>P200*N200</f>
        <v>18750</v>
      </c>
      <c r="R200" s="229" t="s">
        <v>2970</v>
      </c>
      <c r="S200" s="235" t="s">
        <v>3217</v>
      </c>
      <c r="T200" s="229" t="s">
        <v>3036</v>
      </c>
      <c r="U200" s="230" t="s">
        <v>3850</v>
      </c>
      <c r="V200" s="229"/>
      <c r="W200" s="232" t="e">
        <f t="shared" ca="1" si="82"/>
        <v>#NAME?</v>
      </c>
      <c r="X200" s="456">
        <v>10</v>
      </c>
      <c r="Y200" s="230">
        <v>16185</v>
      </c>
      <c r="Z200" s="236">
        <v>43945</v>
      </c>
      <c r="AG200" s="238">
        <f t="shared" si="84"/>
        <v>0</v>
      </c>
      <c r="AH200" s="248"/>
      <c r="AI200" s="229"/>
      <c r="AJ200" s="237"/>
      <c r="AK200" s="241" t="e">
        <f t="shared" ca="1" si="85"/>
        <v>#NAME?</v>
      </c>
      <c r="AL200" s="235" t="s">
        <v>3851</v>
      </c>
      <c r="AM200" s="229"/>
      <c r="AN200" s="229"/>
      <c r="AP200" s="228" t="s">
        <v>3852</v>
      </c>
      <c r="AQ200" s="228" t="s">
        <v>3853</v>
      </c>
      <c r="AR200" s="228" t="s">
        <v>3039</v>
      </c>
      <c r="AS200" s="242">
        <f t="shared" si="86"/>
        <v>18750</v>
      </c>
      <c r="AT200" s="242">
        <f t="shared" si="87"/>
        <v>1893.7500000000002</v>
      </c>
      <c r="AU200" s="242">
        <v>0</v>
      </c>
      <c r="AV200" s="242">
        <v>0</v>
      </c>
      <c r="AW200" s="242">
        <f t="shared" si="88"/>
        <v>20643.75</v>
      </c>
      <c r="AX200" s="237">
        <f>+N200</f>
        <v>10</v>
      </c>
      <c r="AY200" s="242" t="s">
        <v>2959</v>
      </c>
      <c r="AZ200" s="242">
        <f t="shared" si="89"/>
        <v>2064.375</v>
      </c>
      <c r="BA200" s="242" t="s">
        <v>2831</v>
      </c>
      <c r="BB200" s="242" t="s">
        <v>2959</v>
      </c>
      <c r="BC200" s="242">
        <v>1</v>
      </c>
      <c r="BD200" s="242">
        <f t="shared" si="83"/>
        <v>2064.375</v>
      </c>
      <c r="BF200" s="228" t="s">
        <v>3137</v>
      </c>
      <c r="BG200" s="227" t="s">
        <v>3628</v>
      </c>
    </row>
    <row r="201" spans="1:59" s="228" customFormat="1" ht="15" customHeight="1">
      <c r="A201" s="227">
        <v>43943</v>
      </c>
      <c r="B201" s="228" t="s">
        <v>3138</v>
      </c>
      <c r="C201" s="229" t="s">
        <v>3390</v>
      </c>
      <c r="D201" s="230" t="s">
        <v>3843</v>
      </c>
      <c r="E201" s="229" t="s">
        <v>3844</v>
      </c>
      <c r="F201" s="231" t="s">
        <v>2846</v>
      </c>
      <c r="G201" s="231" t="s">
        <v>2846</v>
      </c>
      <c r="H201" s="231">
        <v>10</v>
      </c>
      <c r="I201" s="229" t="s">
        <v>1269</v>
      </c>
      <c r="J201" s="229">
        <v>10</v>
      </c>
      <c r="K201" s="229" t="s">
        <v>2733</v>
      </c>
      <c r="L201" s="232">
        <v>1</v>
      </c>
      <c r="M201" s="232" t="s">
        <v>64</v>
      </c>
      <c r="N201" s="231">
        <f>H201*J201*L201</f>
        <v>100</v>
      </c>
      <c r="O201" s="231">
        <f>J201</f>
        <v>10</v>
      </c>
      <c r="P201" s="233">
        <v>21.25</v>
      </c>
      <c r="Q201" s="233">
        <f>P201*J201</f>
        <v>212.5</v>
      </c>
      <c r="R201" s="227">
        <v>43999</v>
      </c>
      <c r="S201" s="235" t="s">
        <v>3217</v>
      </c>
      <c r="T201" s="229" t="s">
        <v>3036</v>
      </c>
      <c r="U201" s="230" t="s">
        <v>3845</v>
      </c>
      <c r="V201" s="229"/>
      <c r="W201" s="232" t="e">
        <f t="shared" ca="1" si="82"/>
        <v>#NAME?</v>
      </c>
      <c r="X201" s="456">
        <v>10</v>
      </c>
      <c r="Y201" s="230">
        <v>4862987</v>
      </c>
      <c r="Z201" s="236">
        <v>44025</v>
      </c>
      <c r="AA201" s="237"/>
      <c r="AD201" s="237"/>
      <c r="AG201" s="238">
        <f t="shared" si="84"/>
        <v>0</v>
      </c>
      <c r="AH201" s="248" t="s">
        <v>66</v>
      </c>
      <c r="AI201" s="229" t="s">
        <v>2739</v>
      </c>
      <c r="AJ201" s="237">
        <f>+AG201*H201</f>
        <v>0</v>
      </c>
      <c r="AK201" s="241" t="e">
        <f t="shared" ca="1" si="85"/>
        <v>#NAME?</v>
      </c>
      <c r="AL201" s="235" t="s">
        <v>3846</v>
      </c>
      <c r="AM201" s="229"/>
      <c r="AN201" s="229"/>
      <c r="AP201" s="228" t="s">
        <v>3847</v>
      </c>
      <c r="AR201" s="228" t="s">
        <v>3039</v>
      </c>
      <c r="AS201" s="242">
        <f t="shared" si="86"/>
        <v>212.5</v>
      </c>
      <c r="AT201" s="242">
        <f t="shared" si="87"/>
        <v>21.462500000000002</v>
      </c>
      <c r="AU201" s="242">
        <v>0</v>
      </c>
      <c r="AV201" s="242">
        <v>0</v>
      </c>
      <c r="AW201" s="242">
        <f t="shared" si="88"/>
        <v>233.96250000000001</v>
      </c>
      <c r="AX201" s="237">
        <f>+N201</f>
        <v>100</v>
      </c>
      <c r="AY201" s="242" t="s">
        <v>2739</v>
      </c>
      <c r="AZ201" s="242">
        <f t="shared" si="89"/>
        <v>2.3396249999999998</v>
      </c>
      <c r="BA201" s="242" t="s">
        <v>2742</v>
      </c>
      <c r="BB201" s="242" t="s">
        <v>2733</v>
      </c>
      <c r="BC201" s="242">
        <v>10</v>
      </c>
      <c r="BD201" s="242">
        <f t="shared" si="83"/>
        <v>23.396249999999998</v>
      </c>
      <c r="BF201" s="228" t="s">
        <v>36</v>
      </c>
      <c r="BG201" s="227" t="s">
        <v>3628</v>
      </c>
    </row>
    <row r="202" spans="1:59" s="228" customFormat="1" ht="15" customHeight="1">
      <c r="A202" s="227">
        <v>43943</v>
      </c>
      <c r="B202" s="228" t="s">
        <v>3596</v>
      </c>
      <c r="C202" s="229" t="s">
        <v>3674</v>
      </c>
      <c r="D202" s="230" t="s">
        <v>3818</v>
      </c>
      <c r="E202" s="229" t="s">
        <v>3819</v>
      </c>
      <c r="F202" s="231" t="s">
        <v>2846</v>
      </c>
      <c r="G202" s="231" t="s">
        <v>2846</v>
      </c>
      <c r="H202" s="231">
        <v>250</v>
      </c>
      <c r="I202" s="229" t="s">
        <v>2739</v>
      </c>
      <c r="J202" s="229" t="s">
        <v>2846</v>
      </c>
      <c r="K202" s="229" t="s">
        <v>2846</v>
      </c>
      <c r="L202" s="232">
        <v>1</v>
      </c>
      <c r="M202" s="232" t="s">
        <v>64</v>
      </c>
      <c r="N202" s="231">
        <f>H202</f>
        <v>250</v>
      </c>
      <c r="O202" s="231" t="s">
        <v>2846</v>
      </c>
      <c r="P202" s="233">
        <v>71.97</v>
      </c>
      <c r="Q202" s="233">
        <f>P202*L202*H202</f>
        <v>17992.5</v>
      </c>
      <c r="R202" s="227">
        <v>43959</v>
      </c>
      <c r="S202" s="235" t="s">
        <v>3217</v>
      </c>
      <c r="T202" s="229" t="s">
        <v>3036</v>
      </c>
      <c r="U202" s="230" t="s">
        <v>3854</v>
      </c>
      <c r="V202" s="229"/>
      <c r="W202" s="232" t="e">
        <f t="shared" ca="1" si="82"/>
        <v>#NAME?</v>
      </c>
      <c r="X202" s="456">
        <v>240</v>
      </c>
      <c r="Y202" s="230">
        <v>4202041</v>
      </c>
      <c r="Z202" s="236">
        <v>43952</v>
      </c>
      <c r="AA202" s="237">
        <v>10</v>
      </c>
      <c r="AB202" s="228">
        <v>4203402</v>
      </c>
      <c r="AC202" s="236">
        <v>43959</v>
      </c>
      <c r="AD202" s="237"/>
      <c r="AG202" s="238">
        <f t="shared" si="84"/>
        <v>0</v>
      </c>
      <c r="AH202" s="248" t="s">
        <v>89</v>
      </c>
      <c r="AI202" s="229" t="s">
        <v>2739</v>
      </c>
      <c r="AJ202" s="237">
        <f>+AG202</f>
        <v>0</v>
      </c>
      <c r="AK202" s="241" t="e">
        <f t="shared" ca="1" si="85"/>
        <v>#NAME?</v>
      </c>
      <c r="AL202" s="235" t="s">
        <v>3855</v>
      </c>
      <c r="AM202" s="229"/>
      <c r="AN202" s="229"/>
      <c r="AP202" s="228" t="s">
        <v>3856</v>
      </c>
      <c r="AQ202" s="228" t="s">
        <v>3857</v>
      </c>
      <c r="AR202" s="228" t="s">
        <v>3039</v>
      </c>
      <c r="AS202" s="242">
        <f t="shared" si="86"/>
        <v>17992.5</v>
      </c>
      <c r="AT202" s="242">
        <f t="shared" si="87"/>
        <v>1817.2425000000001</v>
      </c>
      <c r="AU202" s="242">
        <v>0</v>
      </c>
      <c r="AV202" s="242">
        <v>0</v>
      </c>
      <c r="AW202" s="242">
        <f t="shared" si="88"/>
        <v>19809.7425</v>
      </c>
      <c r="AX202" s="237">
        <f>+N202</f>
        <v>250</v>
      </c>
      <c r="AY202" s="242" t="s">
        <v>2739</v>
      </c>
      <c r="AZ202" s="242">
        <f t="shared" si="89"/>
        <v>79.238969999999995</v>
      </c>
      <c r="BA202" s="242" t="s">
        <v>2842</v>
      </c>
      <c r="BB202" s="242" t="s">
        <v>2739</v>
      </c>
      <c r="BC202" s="242">
        <v>1</v>
      </c>
      <c r="BD202" s="242">
        <f t="shared" si="83"/>
        <v>79.238969999999995</v>
      </c>
      <c r="BF202" s="228" t="s">
        <v>3162</v>
      </c>
      <c r="BG202" s="227" t="s">
        <v>3628</v>
      </c>
    </row>
    <row r="203" spans="1:59" s="228" customFormat="1" ht="15" customHeight="1">
      <c r="A203" s="250">
        <v>43943</v>
      </c>
      <c r="B203" s="251" t="s">
        <v>3733</v>
      </c>
      <c r="C203" s="252" t="s">
        <v>3734</v>
      </c>
      <c r="D203" s="253" t="s">
        <v>3972</v>
      </c>
      <c r="E203" s="252" t="s">
        <v>3825</v>
      </c>
      <c r="F203" s="254" t="s">
        <v>2846</v>
      </c>
      <c r="G203" s="254" t="s">
        <v>2846</v>
      </c>
      <c r="H203" s="254">
        <v>20000</v>
      </c>
      <c r="I203" s="252" t="s">
        <v>1269</v>
      </c>
      <c r="J203" s="252" t="s">
        <v>2846</v>
      </c>
      <c r="K203" s="252" t="s">
        <v>2846</v>
      </c>
      <c r="L203" s="255">
        <v>1</v>
      </c>
      <c r="M203" s="255" t="s">
        <v>64</v>
      </c>
      <c r="N203" s="254">
        <v>20000</v>
      </c>
      <c r="O203" s="254" t="s">
        <v>2846</v>
      </c>
      <c r="P203" s="256">
        <v>4.6500000000000004</v>
      </c>
      <c r="Q203" s="256">
        <f>P203*N203</f>
        <v>93000</v>
      </c>
      <c r="R203" s="250">
        <v>43981</v>
      </c>
      <c r="S203" s="257" t="s">
        <v>3891</v>
      </c>
      <c r="T203" s="252" t="s">
        <v>3036</v>
      </c>
      <c r="U203" s="253" t="s">
        <v>3973</v>
      </c>
      <c r="V203" s="252"/>
      <c r="W203" s="255" t="e">
        <f t="shared" ca="1" si="82"/>
        <v>#NAME?</v>
      </c>
      <c r="X203" s="461">
        <f>7632+864+11509</f>
        <v>20005</v>
      </c>
      <c r="Y203" s="263" t="s">
        <v>3974</v>
      </c>
      <c r="Z203" s="262">
        <v>43986</v>
      </c>
      <c r="AA203" s="251"/>
      <c r="AB203" s="251"/>
      <c r="AC203" s="251"/>
      <c r="AD203" s="251"/>
      <c r="AE203" s="251"/>
      <c r="AF203" s="251"/>
      <c r="AG203" s="258">
        <f t="shared" si="84"/>
        <v>-5</v>
      </c>
      <c r="AH203" s="259" t="s">
        <v>69</v>
      </c>
      <c r="AI203" s="252" t="s">
        <v>2739</v>
      </c>
      <c r="AJ203" s="188">
        <v>0</v>
      </c>
      <c r="AK203" s="260" t="e">
        <f t="shared" ca="1" si="85"/>
        <v>#NAME?</v>
      </c>
      <c r="AL203" s="257" t="s">
        <v>3975</v>
      </c>
      <c r="AM203" s="252"/>
      <c r="AN203" s="252"/>
      <c r="AO203" s="252"/>
      <c r="AP203" s="251" t="s">
        <v>3976</v>
      </c>
      <c r="AQ203" s="251" t="s">
        <v>3977</v>
      </c>
      <c r="AR203" s="251" t="s">
        <v>3063</v>
      </c>
      <c r="AS203" s="261">
        <f t="shared" si="86"/>
        <v>93000</v>
      </c>
      <c r="AT203" s="261">
        <f t="shared" si="87"/>
        <v>9393</v>
      </c>
      <c r="AU203" s="261">
        <v>0</v>
      </c>
      <c r="AV203" s="261">
        <v>0</v>
      </c>
      <c r="AW203" s="261">
        <f t="shared" si="88"/>
        <v>102393</v>
      </c>
      <c r="AX203" s="188">
        <v>20000</v>
      </c>
      <c r="AY203" s="261"/>
      <c r="AZ203" s="261">
        <f t="shared" si="89"/>
        <v>5.11965</v>
      </c>
      <c r="BA203" s="261" t="s">
        <v>2748</v>
      </c>
      <c r="BB203" s="261" t="s">
        <v>2739</v>
      </c>
      <c r="BC203" s="261">
        <v>1</v>
      </c>
      <c r="BD203" s="261">
        <f t="shared" si="83"/>
        <v>5.11965</v>
      </c>
      <c r="BE203" s="251"/>
      <c r="BF203" s="251" t="s">
        <v>3162</v>
      </c>
      <c r="BG203" s="250" t="s">
        <v>3910</v>
      </c>
    </row>
    <row r="204" spans="1:59" s="196" customFormat="1" ht="15" customHeight="1">
      <c r="A204" s="227">
        <v>43944</v>
      </c>
      <c r="B204" s="228" t="s">
        <v>3363</v>
      </c>
      <c r="C204" s="229" t="s">
        <v>1584</v>
      </c>
      <c r="D204" s="230" t="s">
        <v>3874</v>
      </c>
      <c r="E204" s="229" t="s">
        <v>3875</v>
      </c>
      <c r="F204" s="231">
        <v>35200</v>
      </c>
      <c r="G204" s="231">
        <v>35200</v>
      </c>
      <c r="H204" s="231">
        <v>1</v>
      </c>
      <c r="I204" s="229" t="s">
        <v>2959</v>
      </c>
      <c r="J204" s="229" t="s">
        <v>2846</v>
      </c>
      <c r="K204" s="229" t="s">
        <v>2846</v>
      </c>
      <c r="L204" s="232">
        <v>1</v>
      </c>
      <c r="M204" s="232" t="s">
        <v>64</v>
      </c>
      <c r="N204" s="231">
        <f>H204</f>
        <v>1</v>
      </c>
      <c r="O204" s="231" t="s">
        <v>2846</v>
      </c>
      <c r="P204" s="233">
        <v>9625</v>
      </c>
      <c r="Q204" s="233">
        <f>P204*L204*H204</f>
        <v>9625</v>
      </c>
      <c r="R204" s="227">
        <v>43944</v>
      </c>
      <c r="S204" s="235" t="s">
        <v>3217</v>
      </c>
      <c r="T204" s="229" t="s">
        <v>3036</v>
      </c>
      <c r="U204" s="230" t="s">
        <v>3876</v>
      </c>
      <c r="V204" s="229"/>
      <c r="W204" s="232" t="e">
        <f t="shared" ca="1" si="82"/>
        <v>#NAME?</v>
      </c>
      <c r="X204" s="456">
        <v>1</v>
      </c>
      <c r="Y204" s="230">
        <v>17138</v>
      </c>
      <c r="Z204" s="236">
        <v>43945</v>
      </c>
      <c r="AA204" s="228"/>
      <c r="AB204" s="228"/>
      <c r="AC204" s="228"/>
      <c r="AD204" s="228"/>
      <c r="AE204" s="228"/>
      <c r="AF204" s="228"/>
      <c r="AG204" s="238">
        <f t="shared" si="84"/>
        <v>0</v>
      </c>
      <c r="AH204" s="247" t="s">
        <v>82</v>
      </c>
      <c r="AI204" s="240" t="s">
        <v>2739</v>
      </c>
      <c r="AJ204" s="237"/>
      <c r="AK204" s="241" t="e">
        <f t="shared" ca="1" si="85"/>
        <v>#NAME?</v>
      </c>
      <c r="AL204" s="235"/>
      <c r="AM204" s="229"/>
      <c r="AN204" s="229"/>
      <c r="AO204" s="229"/>
      <c r="AP204" s="228" t="s">
        <v>3877</v>
      </c>
      <c r="AQ204" s="228" t="s">
        <v>3878</v>
      </c>
      <c r="AR204" s="228" t="s">
        <v>3039</v>
      </c>
      <c r="AS204" s="242">
        <f t="shared" si="86"/>
        <v>9625</v>
      </c>
      <c r="AT204" s="242">
        <f t="shared" si="87"/>
        <v>972.12500000000011</v>
      </c>
      <c r="AU204" s="242">
        <v>0</v>
      </c>
      <c r="AV204" s="242">
        <v>0</v>
      </c>
      <c r="AW204" s="242">
        <f t="shared" si="88"/>
        <v>10597.125</v>
      </c>
      <c r="AX204" s="237">
        <f>+H204</f>
        <v>1</v>
      </c>
      <c r="AY204" s="242" t="s">
        <v>2960</v>
      </c>
      <c r="AZ204" s="242">
        <f t="shared" si="89"/>
        <v>10597.125</v>
      </c>
      <c r="BA204" s="242" t="s">
        <v>2829</v>
      </c>
      <c r="BB204" s="242" t="s">
        <v>2960</v>
      </c>
      <c r="BC204" s="242">
        <v>1</v>
      </c>
      <c r="BD204" s="242">
        <f t="shared" si="83"/>
        <v>10597.125</v>
      </c>
      <c r="BE204" s="228"/>
      <c r="BF204" s="228" t="s">
        <v>3137</v>
      </c>
      <c r="BG204" s="227" t="s">
        <v>3628</v>
      </c>
    </row>
    <row r="205" spans="1:59" s="228" customFormat="1" ht="15" customHeight="1">
      <c r="A205" s="227">
        <v>43944</v>
      </c>
      <c r="B205" s="228" t="s">
        <v>3521</v>
      </c>
      <c r="C205" s="229" t="s">
        <v>1584</v>
      </c>
      <c r="D205" s="230" t="s">
        <v>3858</v>
      </c>
      <c r="E205" s="229" t="s">
        <v>3859</v>
      </c>
      <c r="F205" s="231">
        <v>16.899999999999999</v>
      </c>
      <c r="G205" s="231">
        <f>H205*F205</f>
        <v>211199.3</v>
      </c>
      <c r="H205" s="231">
        <v>12497</v>
      </c>
      <c r="I205" s="229" t="s">
        <v>3132</v>
      </c>
      <c r="J205" s="229" t="s">
        <v>2846</v>
      </c>
      <c r="K205" s="229" t="s">
        <v>2846</v>
      </c>
      <c r="L205" s="232">
        <v>1</v>
      </c>
      <c r="M205" s="232" t="s">
        <v>64</v>
      </c>
      <c r="N205" s="231">
        <f>H205</f>
        <v>12497</v>
      </c>
      <c r="O205" s="231" t="s">
        <v>2846</v>
      </c>
      <c r="P205" s="233">
        <v>4.75</v>
      </c>
      <c r="Q205" s="233">
        <f>P205*L205*H205</f>
        <v>59360.75</v>
      </c>
      <c r="R205" s="227">
        <v>43957</v>
      </c>
      <c r="S205" s="235" t="s">
        <v>3217</v>
      </c>
      <c r="T205" s="229" t="s">
        <v>3036</v>
      </c>
      <c r="U205" s="230" t="s">
        <v>3860</v>
      </c>
      <c r="V205" s="229"/>
      <c r="W205" s="232" t="e">
        <f t="shared" ca="1" si="82"/>
        <v>#NAME?</v>
      </c>
      <c r="X205" s="456">
        <v>12497</v>
      </c>
      <c r="Y205" s="230" t="s">
        <v>3861</v>
      </c>
      <c r="Z205" s="236">
        <v>43943</v>
      </c>
      <c r="AG205" s="238">
        <f t="shared" si="84"/>
        <v>0</v>
      </c>
      <c r="AH205" s="247" t="s">
        <v>82</v>
      </c>
      <c r="AI205" s="240" t="s">
        <v>2739</v>
      </c>
      <c r="AJ205" s="237">
        <f>+AG205</f>
        <v>0</v>
      </c>
      <c r="AK205" s="241" t="e">
        <f t="shared" ca="1" si="85"/>
        <v>#NAME?</v>
      </c>
      <c r="AL205" s="235" t="s">
        <v>3862</v>
      </c>
      <c r="AM205" s="229"/>
      <c r="AN205" s="229"/>
      <c r="AO205" s="229"/>
      <c r="AP205" s="228" t="s">
        <v>3863</v>
      </c>
      <c r="AR205" s="228" t="s">
        <v>3063</v>
      </c>
      <c r="AS205" s="242">
        <f t="shared" si="86"/>
        <v>59360.75</v>
      </c>
      <c r="AT205" s="242">
        <f t="shared" si="87"/>
        <v>5995.4357500000006</v>
      </c>
      <c r="AU205" s="242">
        <v>0</v>
      </c>
      <c r="AV205" s="242">
        <v>0</v>
      </c>
      <c r="AW205" s="242">
        <f t="shared" si="88"/>
        <v>65356.185750000004</v>
      </c>
      <c r="AX205" s="237">
        <f>+H205</f>
        <v>12497</v>
      </c>
      <c r="AY205" s="242" t="s">
        <v>2736</v>
      </c>
      <c r="AZ205" s="242">
        <f t="shared" si="89"/>
        <v>5.2297500000000001</v>
      </c>
      <c r="BA205" s="279" t="s">
        <v>2786</v>
      </c>
      <c r="BB205" s="242" t="s">
        <v>2739</v>
      </c>
      <c r="BC205" s="242">
        <v>1</v>
      </c>
      <c r="BD205" s="242">
        <f t="shared" si="83"/>
        <v>5.2297500000000001</v>
      </c>
      <c r="BF205" s="228" t="s">
        <v>3137</v>
      </c>
      <c r="BG205" s="227" t="s">
        <v>3628</v>
      </c>
    </row>
    <row r="206" spans="1:59" s="228" customFormat="1" ht="15" customHeight="1">
      <c r="A206" s="227">
        <v>43944</v>
      </c>
      <c r="B206" s="228" t="s">
        <v>3521</v>
      </c>
      <c r="C206" s="229" t="s">
        <v>1584</v>
      </c>
      <c r="D206" s="230" t="s">
        <v>3864</v>
      </c>
      <c r="E206" s="229" t="s">
        <v>3865</v>
      </c>
      <c r="F206" s="231">
        <v>16.899999999999999</v>
      </c>
      <c r="G206" s="231">
        <f>H206*F206</f>
        <v>316790.5</v>
      </c>
      <c r="H206" s="231">
        <v>18745</v>
      </c>
      <c r="I206" s="229" t="s">
        <v>3132</v>
      </c>
      <c r="J206" s="229" t="s">
        <v>2846</v>
      </c>
      <c r="K206" s="229" t="s">
        <v>2846</v>
      </c>
      <c r="L206" s="232">
        <v>1</v>
      </c>
      <c r="M206" s="232" t="s">
        <v>64</v>
      </c>
      <c r="N206" s="231">
        <f>H206</f>
        <v>18745</v>
      </c>
      <c r="O206" s="231" t="s">
        <v>2846</v>
      </c>
      <c r="P206" s="233">
        <v>4.75</v>
      </c>
      <c r="Q206" s="233">
        <f>P206*L206*H206</f>
        <v>89038.75</v>
      </c>
      <c r="R206" s="227">
        <v>43957</v>
      </c>
      <c r="S206" s="235" t="s">
        <v>3217</v>
      </c>
      <c r="T206" s="229" t="s">
        <v>3036</v>
      </c>
      <c r="U206" s="230" t="s">
        <v>3860</v>
      </c>
      <c r="V206" s="229"/>
      <c r="W206" s="232" t="e">
        <f t="shared" ca="1" si="82"/>
        <v>#NAME?</v>
      </c>
      <c r="X206" s="456">
        <v>18745</v>
      </c>
      <c r="Y206" s="230" t="s">
        <v>3866</v>
      </c>
      <c r="Z206" s="236">
        <v>43994</v>
      </c>
      <c r="AG206" s="238">
        <f t="shared" si="84"/>
        <v>0</v>
      </c>
      <c r="AH206" s="247" t="s">
        <v>82</v>
      </c>
      <c r="AI206" s="240" t="s">
        <v>2739</v>
      </c>
      <c r="AJ206" s="237">
        <f>+AG206</f>
        <v>0</v>
      </c>
      <c r="AK206" s="241" t="e">
        <f t="shared" ca="1" si="85"/>
        <v>#NAME?</v>
      </c>
      <c r="AL206" s="235" t="s">
        <v>3867</v>
      </c>
      <c r="AM206" s="229"/>
      <c r="AN206" s="229"/>
      <c r="AO206" s="229"/>
      <c r="AP206" s="228" t="s">
        <v>3868</v>
      </c>
      <c r="AQ206" s="228" t="s">
        <v>3869</v>
      </c>
      <c r="AR206" s="228" t="s">
        <v>3063</v>
      </c>
      <c r="AS206" s="242">
        <f t="shared" si="86"/>
        <v>89038.75</v>
      </c>
      <c r="AT206" s="242">
        <f t="shared" si="87"/>
        <v>8992.9137499999997</v>
      </c>
      <c r="AU206" s="242">
        <v>0</v>
      </c>
      <c r="AV206" s="242">
        <v>0</v>
      </c>
      <c r="AW206" s="242">
        <f t="shared" si="88"/>
        <v>98031.663750000007</v>
      </c>
      <c r="AX206" s="237">
        <f>+H206</f>
        <v>18745</v>
      </c>
      <c r="AY206" s="242" t="s">
        <v>2736</v>
      </c>
      <c r="AZ206" s="242">
        <f t="shared" si="89"/>
        <v>5.2297500000000001</v>
      </c>
      <c r="BA206" s="279" t="s">
        <v>2786</v>
      </c>
      <c r="BB206" s="242" t="s">
        <v>2739</v>
      </c>
      <c r="BC206" s="242">
        <v>1</v>
      </c>
      <c r="BD206" s="242">
        <f t="shared" si="83"/>
        <v>5.2297500000000001</v>
      </c>
      <c r="BF206" s="228" t="s">
        <v>3137</v>
      </c>
      <c r="BG206" s="227" t="s">
        <v>3628</v>
      </c>
    </row>
    <row r="207" spans="1:59" s="228" customFormat="1" ht="15" customHeight="1">
      <c r="A207" s="213">
        <v>43944</v>
      </c>
      <c r="B207" s="197" t="s">
        <v>3383</v>
      </c>
      <c r="C207" s="214" t="s">
        <v>3045</v>
      </c>
      <c r="D207" s="215" t="s">
        <v>3567</v>
      </c>
      <c r="E207" s="214" t="s">
        <v>3870</v>
      </c>
      <c r="F207" s="216" t="s">
        <v>2846</v>
      </c>
      <c r="G207" s="216" t="s">
        <v>2846</v>
      </c>
      <c r="H207" s="216"/>
      <c r="I207" s="214" t="s">
        <v>2733</v>
      </c>
      <c r="J207" s="214" t="s">
        <v>2846</v>
      </c>
      <c r="K207" s="214" t="s">
        <v>2846</v>
      </c>
      <c r="L207" s="217">
        <v>1</v>
      </c>
      <c r="M207" s="217" t="s">
        <v>64</v>
      </c>
      <c r="N207" s="216"/>
      <c r="O207" s="216" t="s">
        <v>2846</v>
      </c>
      <c r="P207" s="218"/>
      <c r="Q207" s="218">
        <f>P207*N207</f>
        <v>0</v>
      </c>
      <c r="R207" s="213" t="s">
        <v>2970</v>
      </c>
      <c r="S207" s="219" t="s">
        <v>3217</v>
      </c>
      <c r="T207" s="214" t="s">
        <v>3036</v>
      </c>
      <c r="U207" s="215"/>
      <c r="V207" s="201" t="s">
        <v>3871</v>
      </c>
      <c r="W207" s="217"/>
      <c r="X207" s="456">
        <v>0</v>
      </c>
      <c r="Y207" s="215"/>
      <c r="Z207" s="197"/>
      <c r="AA207" s="197"/>
      <c r="AB207" s="197"/>
      <c r="AC207" s="197"/>
      <c r="AD207" s="197"/>
      <c r="AE207" s="197"/>
      <c r="AF207" s="197"/>
      <c r="AG207" s="221"/>
      <c r="AH207" s="225" t="s">
        <v>70</v>
      </c>
      <c r="AI207" s="226" t="s">
        <v>2762</v>
      </c>
      <c r="AJ207" s="220">
        <f>+AG207*25</f>
        <v>0</v>
      </c>
      <c r="AK207" s="211"/>
      <c r="AL207" s="219" t="s">
        <v>3872</v>
      </c>
      <c r="AM207" s="214"/>
      <c r="AN207" s="214"/>
      <c r="AO207" s="214"/>
      <c r="AP207" s="197" t="s">
        <v>3873</v>
      </c>
      <c r="AQ207" s="197"/>
      <c r="AR207" s="197" t="s">
        <v>3039</v>
      </c>
      <c r="AS207" s="212">
        <f t="shared" si="86"/>
        <v>0</v>
      </c>
      <c r="AT207" s="212">
        <f t="shared" si="87"/>
        <v>0</v>
      </c>
      <c r="AU207" s="212">
        <v>0</v>
      </c>
      <c r="AV207" s="212">
        <v>0</v>
      </c>
      <c r="AW207" s="197"/>
      <c r="AX207" s="220"/>
      <c r="AY207" s="197"/>
      <c r="AZ207" s="212"/>
      <c r="BA207" s="212"/>
      <c r="BB207" s="197"/>
      <c r="BC207" s="294"/>
      <c r="BD207" s="294"/>
      <c r="BE207" s="197"/>
      <c r="BF207" s="196" t="s">
        <v>3108</v>
      </c>
      <c r="BG207" s="213" t="s">
        <v>3628</v>
      </c>
    </row>
    <row r="208" spans="1:59" s="228" customFormat="1" ht="15" customHeight="1">
      <c r="A208" s="227">
        <v>43949</v>
      </c>
      <c r="B208" s="228" t="s">
        <v>3138</v>
      </c>
      <c r="C208" s="229" t="s">
        <v>3390</v>
      </c>
      <c r="D208" s="230" t="s">
        <v>3879</v>
      </c>
      <c r="E208" s="229" t="s">
        <v>3844</v>
      </c>
      <c r="F208" s="231" t="s">
        <v>2846</v>
      </c>
      <c r="G208" s="231" t="s">
        <v>2846</v>
      </c>
      <c r="H208" s="231">
        <v>10</v>
      </c>
      <c r="I208" s="229" t="s">
        <v>1269</v>
      </c>
      <c r="J208" s="229">
        <v>5</v>
      </c>
      <c r="K208" s="229" t="s">
        <v>2733</v>
      </c>
      <c r="L208" s="232">
        <v>1</v>
      </c>
      <c r="M208" s="232" t="s">
        <v>64</v>
      </c>
      <c r="N208" s="231">
        <f>J208*H208</f>
        <v>50</v>
      </c>
      <c r="O208" s="231">
        <f>J208</f>
        <v>5</v>
      </c>
      <c r="P208" s="233">
        <v>21.25</v>
      </c>
      <c r="Q208" s="233">
        <f>P208*O208</f>
        <v>106.25</v>
      </c>
      <c r="R208" s="227">
        <v>43987</v>
      </c>
      <c r="S208" s="235" t="s">
        <v>3217</v>
      </c>
      <c r="T208" s="229" t="s">
        <v>3036</v>
      </c>
      <c r="U208" s="230" t="s">
        <v>3880</v>
      </c>
      <c r="V208" s="229"/>
      <c r="W208" s="232" t="e">
        <f t="shared" ref="W208:W221" ca="1" si="90">_xlfn.SINGLE(IF(AG208=0,"Yes","No"))</f>
        <v>#NAME?</v>
      </c>
      <c r="X208" s="456">
        <v>5</v>
      </c>
      <c r="Y208" s="230">
        <v>4855889</v>
      </c>
      <c r="Z208" s="236">
        <v>44054</v>
      </c>
      <c r="AA208" s="237"/>
      <c r="AD208" s="237"/>
      <c r="AG208" s="238">
        <f>(Q208/P208)-X208-AA208-AD208</f>
        <v>0</v>
      </c>
      <c r="AH208" s="248" t="s">
        <v>66</v>
      </c>
      <c r="AI208" s="229" t="s">
        <v>2739</v>
      </c>
      <c r="AJ208" s="237">
        <f>+AG208*H208</f>
        <v>0</v>
      </c>
      <c r="AK208" s="241" t="e">
        <f t="shared" ref="AK208:AK221" ca="1" si="91">_xlfn.SINGLE(IF(R208="TBD",49674,R208))</f>
        <v>#NAME?</v>
      </c>
      <c r="AL208" s="235" t="s">
        <v>3881</v>
      </c>
      <c r="AM208" s="229"/>
      <c r="AN208" s="229"/>
      <c r="AP208" s="228" t="s">
        <v>3882</v>
      </c>
      <c r="AR208" s="228" t="s">
        <v>3039</v>
      </c>
      <c r="AS208" s="242">
        <f t="shared" si="86"/>
        <v>106.25</v>
      </c>
      <c r="AT208" s="242">
        <f t="shared" si="87"/>
        <v>10.731250000000001</v>
      </c>
      <c r="AU208" s="242">
        <v>0</v>
      </c>
      <c r="AV208" s="242">
        <v>0</v>
      </c>
      <c r="AW208" s="242">
        <f t="shared" ref="AW208:AW221" si="92">SUBTOTAL(9,AS208:AV208)</f>
        <v>116.98125</v>
      </c>
      <c r="AX208" s="237">
        <f>+N208</f>
        <v>50</v>
      </c>
      <c r="AY208" s="242" t="s">
        <v>2739</v>
      </c>
      <c r="AZ208" s="242">
        <f>+AW208/AX208</f>
        <v>2.3396249999999998</v>
      </c>
      <c r="BA208" s="242" t="s">
        <v>2742</v>
      </c>
      <c r="BB208" s="242" t="s">
        <v>2733</v>
      </c>
      <c r="BC208" s="242">
        <v>10</v>
      </c>
      <c r="BD208" s="242">
        <f t="shared" ref="BD208:BD221" si="93">+AZ208*BC208</f>
        <v>23.396249999999998</v>
      </c>
      <c r="BF208" s="228" t="s">
        <v>36</v>
      </c>
      <c r="BG208" s="227" t="s">
        <v>3628</v>
      </c>
    </row>
    <row r="209" spans="1:59" s="96" customFormat="1" ht="15" customHeight="1">
      <c r="A209" s="227">
        <v>43949</v>
      </c>
      <c r="B209" s="228" t="s">
        <v>3596</v>
      </c>
      <c r="C209" s="229" t="s">
        <v>3674</v>
      </c>
      <c r="D209" s="230" t="s">
        <v>3883</v>
      </c>
      <c r="E209" s="229" t="s">
        <v>3819</v>
      </c>
      <c r="F209" s="231" t="s">
        <v>2846</v>
      </c>
      <c r="G209" s="231" t="s">
        <v>2846</v>
      </c>
      <c r="H209" s="231">
        <v>300</v>
      </c>
      <c r="I209" s="229" t="s">
        <v>2739</v>
      </c>
      <c r="J209" s="229" t="s">
        <v>2846</v>
      </c>
      <c r="K209" s="229" t="s">
        <v>2846</v>
      </c>
      <c r="L209" s="232">
        <v>1</v>
      </c>
      <c r="M209" s="232" t="s">
        <v>64</v>
      </c>
      <c r="N209" s="231">
        <f>H209</f>
        <v>300</v>
      </c>
      <c r="O209" s="231" t="str">
        <f>J209</f>
        <v>N/A</v>
      </c>
      <c r="P209" s="233">
        <v>71.97</v>
      </c>
      <c r="Q209" s="233">
        <f>P209*H209</f>
        <v>21591</v>
      </c>
      <c r="R209" s="227">
        <v>43964</v>
      </c>
      <c r="S209" s="235" t="s">
        <v>3217</v>
      </c>
      <c r="T209" s="229" t="s">
        <v>3036</v>
      </c>
      <c r="U209" s="230" t="s">
        <v>3884</v>
      </c>
      <c r="V209" s="229"/>
      <c r="W209" s="232" t="e">
        <f t="shared" ca="1" si="90"/>
        <v>#NAME?</v>
      </c>
      <c r="X209" s="456">
        <v>303</v>
      </c>
      <c r="Y209" s="230" t="s">
        <v>3885</v>
      </c>
      <c r="Z209" s="236">
        <v>43964</v>
      </c>
      <c r="AA209" s="228"/>
      <c r="AB209" s="228"/>
      <c r="AC209" s="228"/>
      <c r="AD209" s="228"/>
      <c r="AE209" s="228"/>
      <c r="AF209" s="228"/>
      <c r="AG209" s="238">
        <f>(Q209/P209)-X209-AA209-AD209</f>
        <v>-3</v>
      </c>
      <c r="AH209" s="239" t="s">
        <v>89</v>
      </c>
      <c r="AI209" s="240" t="s">
        <v>2739</v>
      </c>
      <c r="AJ209" s="237">
        <v>0</v>
      </c>
      <c r="AK209" s="241" t="e">
        <f t="shared" ca="1" si="91"/>
        <v>#NAME?</v>
      </c>
      <c r="AL209" s="235" t="s">
        <v>3886</v>
      </c>
      <c r="AM209" s="229"/>
      <c r="AN209" s="229"/>
      <c r="AO209" s="229"/>
      <c r="AP209" s="228" t="s">
        <v>3887</v>
      </c>
      <c r="AQ209" s="228" t="s">
        <v>3888</v>
      </c>
      <c r="AR209" s="228" t="s">
        <v>3039</v>
      </c>
      <c r="AS209" s="242">
        <f t="shared" si="86"/>
        <v>21591</v>
      </c>
      <c r="AT209" s="242">
        <f t="shared" si="87"/>
        <v>2180.6910000000003</v>
      </c>
      <c r="AU209" s="242">
        <v>0</v>
      </c>
      <c r="AV209" s="242">
        <v>0</v>
      </c>
      <c r="AW209" s="242">
        <f t="shared" si="92"/>
        <v>23771.690999999999</v>
      </c>
      <c r="AX209" s="237">
        <f>+N209</f>
        <v>300</v>
      </c>
      <c r="AY209" s="242" t="s">
        <v>2739</v>
      </c>
      <c r="AZ209" s="242">
        <f>+AW209/AX209</f>
        <v>79.238969999999995</v>
      </c>
      <c r="BA209" s="242" t="s">
        <v>2842</v>
      </c>
      <c r="BB209" s="242" t="s">
        <v>2739</v>
      </c>
      <c r="BC209" s="242">
        <v>1</v>
      </c>
      <c r="BD209" s="242">
        <f t="shared" si="93"/>
        <v>79.238969999999995</v>
      </c>
      <c r="BE209" s="228"/>
      <c r="BF209" s="228" t="s">
        <v>3162</v>
      </c>
      <c r="BG209" s="227" t="s">
        <v>3628</v>
      </c>
    </row>
    <row r="210" spans="1:59" s="228" customFormat="1" ht="15" customHeight="1">
      <c r="A210" s="227">
        <v>43950</v>
      </c>
      <c r="B210" s="228" t="s">
        <v>3310</v>
      </c>
      <c r="C210" s="229" t="s">
        <v>78</v>
      </c>
      <c r="D210" s="230" t="s">
        <v>3889</v>
      </c>
      <c r="E210" s="229" t="s">
        <v>3890</v>
      </c>
      <c r="F210" s="231" t="s">
        <v>2846</v>
      </c>
      <c r="G210" s="231" t="s">
        <v>2846</v>
      </c>
      <c r="H210" s="231">
        <v>100</v>
      </c>
      <c r="I210" s="229" t="s">
        <v>3313</v>
      </c>
      <c r="J210" s="229">
        <v>10</v>
      </c>
      <c r="K210" s="229" t="s">
        <v>2733</v>
      </c>
      <c r="L210" s="232">
        <v>10</v>
      </c>
      <c r="M210" s="232" t="s">
        <v>2953</v>
      </c>
      <c r="N210" s="231">
        <f>L210*J210*H210</f>
        <v>10000</v>
      </c>
      <c r="O210" s="231">
        <f>J210*L210</f>
        <v>100</v>
      </c>
      <c r="P210" s="233">
        <v>76</v>
      </c>
      <c r="Q210" s="233">
        <f>P210*L210</f>
        <v>760</v>
      </c>
      <c r="R210" s="227">
        <v>43982</v>
      </c>
      <c r="S210" s="235" t="s">
        <v>3891</v>
      </c>
      <c r="T210" s="229" t="s">
        <v>3036</v>
      </c>
      <c r="U210" s="230" t="s">
        <v>3892</v>
      </c>
      <c r="V210" s="229"/>
      <c r="W210" s="232" t="e">
        <f t="shared" ca="1" si="90"/>
        <v>#NAME?</v>
      </c>
      <c r="X210" s="456">
        <v>10</v>
      </c>
      <c r="Y210" s="230">
        <v>123458</v>
      </c>
      <c r="Z210" s="236">
        <v>44018</v>
      </c>
      <c r="AG210" s="238">
        <f>(Q210/P210)-X210-AA210-AD210</f>
        <v>0</v>
      </c>
      <c r="AH210" s="248" t="s">
        <v>78</v>
      </c>
      <c r="AI210" s="229" t="s">
        <v>2724</v>
      </c>
      <c r="AJ210" s="237">
        <f>+AG210*10</f>
        <v>0</v>
      </c>
      <c r="AK210" s="241" t="e">
        <f t="shared" ca="1" si="91"/>
        <v>#NAME?</v>
      </c>
      <c r="AL210" s="235" t="s">
        <v>3893</v>
      </c>
      <c r="AM210" s="229"/>
      <c r="AN210" s="229"/>
      <c r="AO210" s="229"/>
      <c r="AP210" s="228" t="s">
        <v>3894</v>
      </c>
      <c r="AR210" s="228" t="s">
        <v>3063</v>
      </c>
      <c r="AS210" s="242">
        <f t="shared" si="86"/>
        <v>760</v>
      </c>
      <c r="AT210" s="242">
        <f t="shared" si="87"/>
        <v>76.760000000000005</v>
      </c>
      <c r="AU210" s="242">
        <v>0</v>
      </c>
      <c r="AV210" s="242">
        <v>0</v>
      </c>
      <c r="AW210" s="242">
        <f t="shared" si="92"/>
        <v>836.76</v>
      </c>
      <c r="AX210" s="237">
        <v>100</v>
      </c>
      <c r="AY210" s="237" t="s">
        <v>2724</v>
      </c>
      <c r="AZ210" s="242">
        <f>+AW210/AX210</f>
        <v>8.3675999999999995</v>
      </c>
      <c r="BA210" s="242" t="s">
        <v>2721</v>
      </c>
      <c r="BB210" s="237" t="s">
        <v>2739</v>
      </c>
      <c r="BC210" s="242">
        <v>1</v>
      </c>
      <c r="BD210" s="242">
        <f t="shared" si="93"/>
        <v>8.3675999999999995</v>
      </c>
      <c r="BF210" s="228" t="s">
        <v>3137</v>
      </c>
      <c r="BG210" s="227" t="s">
        <v>3628</v>
      </c>
    </row>
    <row r="211" spans="1:59" s="228" customFormat="1" ht="15" customHeight="1">
      <c r="A211" s="227">
        <v>43950</v>
      </c>
      <c r="B211" s="228" t="s">
        <v>3310</v>
      </c>
      <c r="C211" s="229" t="s">
        <v>78</v>
      </c>
      <c r="D211" s="230" t="s">
        <v>3900</v>
      </c>
      <c r="E211" s="229" t="s">
        <v>3890</v>
      </c>
      <c r="F211" s="231" t="s">
        <v>2846</v>
      </c>
      <c r="G211" s="231" t="s">
        <v>2846</v>
      </c>
      <c r="H211" s="231">
        <v>100</v>
      </c>
      <c r="I211" s="229" t="s">
        <v>3313</v>
      </c>
      <c r="J211" s="229">
        <v>10</v>
      </c>
      <c r="K211" s="229" t="s">
        <v>2733</v>
      </c>
      <c r="L211" s="232">
        <v>10</v>
      </c>
      <c r="M211" s="232" t="s">
        <v>2953</v>
      </c>
      <c r="N211" s="231">
        <f>L211*J211*H211</f>
        <v>10000</v>
      </c>
      <c r="O211" s="231">
        <f>J211*L211</f>
        <v>100</v>
      </c>
      <c r="P211" s="233">
        <v>76</v>
      </c>
      <c r="Q211" s="233">
        <f>P211*L211</f>
        <v>760</v>
      </c>
      <c r="R211" s="227">
        <v>43958</v>
      </c>
      <c r="S211" s="235" t="s">
        <v>3891</v>
      </c>
      <c r="T211" s="229" t="s">
        <v>3036</v>
      </c>
      <c r="U211" s="230" t="s">
        <v>3901</v>
      </c>
      <c r="V211" s="229"/>
      <c r="W211" s="232" t="e">
        <f t="shared" ca="1" si="90"/>
        <v>#NAME?</v>
      </c>
      <c r="X211" s="456">
        <v>10</v>
      </c>
      <c r="Y211" s="230">
        <v>121560</v>
      </c>
      <c r="Z211" s="236">
        <v>43964</v>
      </c>
      <c r="AG211" s="238">
        <f>(Q211/P211)-X211-AA211-AD211</f>
        <v>0</v>
      </c>
      <c r="AH211" s="239" t="s">
        <v>80</v>
      </c>
      <c r="AI211" s="240" t="s">
        <v>2724</v>
      </c>
      <c r="AJ211" s="237">
        <f>+AG211*10</f>
        <v>0</v>
      </c>
      <c r="AK211" s="241" t="e">
        <f t="shared" ca="1" si="91"/>
        <v>#NAME?</v>
      </c>
      <c r="AL211" s="235" t="s">
        <v>3902</v>
      </c>
      <c r="AM211" s="229"/>
      <c r="AN211" s="229"/>
      <c r="AO211" s="229"/>
      <c r="AP211" s="228" t="s">
        <v>3903</v>
      </c>
      <c r="AQ211" s="228" t="s">
        <v>3904</v>
      </c>
      <c r="AR211" s="228" t="s">
        <v>3063</v>
      </c>
      <c r="AS211" s="242">
        <f t="shared" si="86"/>
        <v>760</v>
      </c>
      <c r="AT211" s="242">
        <f t="shared" si="87"/>
        <v>76.760000000000005</v>
      </c>
      <c r="AU211" s="242">
        <v>0</v>
      </c>
      <c r="AV211" s="242">
        <v>0</v>
      </c>
      <c r="AW211" s="242">
        <f t="shared" si="92"/>
        <v>836.76</v>
      </c>
      <c r="AX211" s="237">
        <f>+N211</f>
        <v>10000</v>
      </c>
      <c r="AY211" s="237" t="s">
        <v>2724</v>
      </c>
      <c r="AZ211" s="242">
        <f>+AW211/AX211</f>
        <v>8.3676E-2</v>
      </c>
      <c r="BA211" s="242" t="s">
        <v>2721</v>
      </c>
      <c r="BB211" s="237" t="s">
        <v>2739</v>
      </c>
      <c r="BC211" s="242">
        <v>1</v>
      </c>
      <c r="BD211" s="242">
        <f t="shared" si="93"/>
        <v>8.3676E-2</v>
      </c>
      <c r="BF211" s="228" t="s">
        <v>3137</v>
      </c>
      <c r="BG211" s="227" t="s">
        <v>3628</v>
      </c>
    </row>
    <row r="212" spans="1:59" s="251" customFormat="1" ht="15" customHeight="1">
      <c r="A212" s="21">
        <v>43950</v>
      </c>
      <c r="B212" s="96" t="s">
        <v>3310</v>
      </c>
      <c r="C212" s="97" t="s">
        <v>3603</v>
      </c>
      <c r="D212" s="97" t="s">
        <v>3895</v>
      </c>
      <c r="E212" s="22" t="s">
        <v>3896</v>
      </c>
      <c r="F212" s="69">
        <v>40.58</v>
      </c>
      <c r="G212" s="69">
        <f>F212*N212</f>
        <v>121740</v>
      </c>
      <c r="H212" s="70">
        <v>4</v>
      </c>
      <c r="I212" s="71" t="s">
        <v>3132</v>
      </c>
      <c r="J212" s="71">
        <v>750</v>
      </c>
      <c r="K212" s="71" t="s">
        <v>2733</v>
      </c>
      <c r="L212" s="72">
        <v>1</v>
      </c>
      <c r="M212" s="72" t="s">
        <v>64</v>
      </c>
      <c r="N212" s="73">
        <f>H212*J212</f>
        <v>3000</v>
      </c>
      <c r="O212" s="73">
        <f>J212</f>
        <v>750</v>
      </c>
      <c r="P212" s="74">
        <v>17.5</v>
      </c>
      <c r="Q212" s="74">
        <f>P212*J212*H212</f>
        <v>52500</v>
      </c>
      <c r="R212" s="21">
        <v>44012</v>
      </c>
      <c r="S212" s="99" t="s">
        <v>3891</v>
      </c>
      <c r="T212" s="22" t="s">
        <v>3036</v>
      </c>
      <c r="U212" s="97" t="s">
        <v>3897</v>
      </c>
      <c r="V212" s="22"/>
      <c r="W212" s="72" t="e">
        <f t="shared" ca="1" si="90"/>
        <v>#NAME?</v>
      </c>
      <c r="X212" s="457">
        <v>24</v>
      </c>
      <c r="Y212" s="97">
        <v>123548</v>
      </c>
      <c r="Z212" s="100">
        <v>44028</v>
      </c>
      <c r="AA212" s="96"/>
      <c r="AB212" s="96"/>
      <c r="AC212" s="96"/>
      <c r="AD212" s="96"/>
      <c r="AE212" s="96"/>
      <c r="AF212" s="96"/>
      <c r="AG212" s="102">
        <f>(Q212/P212)-X212-AA212-AD212</f>
        <v>2976</v>
      </c>
      <c r="AH212" s="187" t="s">
        <v>84</v>
      </c>
      <c r="AI212" s="111" t="s">
        <v>2733</v>
      </c>
      <c r="AJ212" s="101">
        <f>+AG212</f>
        <v>2976</v>
      </c>
      <c r="AK212" s="184" t="e">
        <f t="shared" ca="1" si="91"/>
        <v>#NAME?</v>
      </c>
      <c r="AL212" s="99" t="s">
        <v>3898</v>
      </c>
      <c r="AM212" s="22"/>
      <c r="AN212" s="22"/>
      <c r="AO212" s="22"/>
      <c r="AP212" s="96" t="s">
        <v>3899</v>
      </c>
      <c r="AQ212" s="96"/>
      <c r="AR212" s="96" t="s">
        <v>3063</v>
      </c>
      <c r="AS212" s="199">
        <f t="shared" si="86"/>
        <v>52500</v>
      </c>
      <c r="AT212" s="199">
        <f t="shared" si="87"/>
        <v>5302.5</v>
      </c>
      <c r="AU212" s="199">
        <v>0</v>
      </c>
      <c r="AV212" s="199">
        <v>0</v>
      </c>
      <c r="AW212" s="199">
        <f t="shared" si="92"/>
        <v>57802.5</v>
      </c>
      <c r="AX212" s="101">
        <f>+J212</f>
        <v>750</v>
      </c>
      <c r="AY212" s="199" t="s">
        <v>2739</v>
      </c>
      <c r="AZ212" s="199">
        <f>+AW212/AX212</f>
        <v>77.069999999999993</v>
      </c>
      <c r="BA212" s="199" t="s">
        <v>2784</v>
      </c>
      <c r="BB212" s="199" t="s">
        <v>2739</v>
      </c>
      <c r="BC212" s="199">
        <v>1</v>
      </c>
      <c r="BD212" s="199">
        <f t="shared" si="93"/>
        <v>77.069999999999993</v>
      </c>
      <c r="BE212" s="96"/>
      <c r="BF212" s="96" t="s">
        <v>3137</v>
      </c>
      <c r="BG212" s="21" t="s">
        <v>3628</v>
      </c>
    </row>
    <row r="213" spans="1:59" s="251" customFormat="1" ht="15" customHeight="1">
      <c r="A213" s="227">
        <v>43951</v>
      </c>
      <c r="B213" s="228" t="s">
        <v>3733</v>
      </c>
      <c r="C213" s="229" t="s">
        <v>2971</v>
      </c>
      <c r="D213" s="230" t="s">
        <v>4079</v>
      </c>
      <c r="E213" s="229"/>
      <c r="F213" s="231" t="s">
        <v>2846</v>
      </c>
      <c r="G213" s="231" t="s">
        <v>2846</v>
      </c>
      <c r="H213" s="231">
        <v>20000</v>
      </c>
      <c r="I213" s="229" t="s">
        <v>2739</v>
      </c>
      <c r="J213" s="229" t="s">
        <v>2846</v>
      </c>
      <c r="K213" s="229" t="s">
        <v>2846</v>
      </c>
      <c r="L213" s="232">
        <v>1</v>
      </c>
      <c r="M213" s="232" t="s">
        <v>64</v>
      </c>
      <c r="N213" s="231">
        <v>20000</v>
      </c>
      <c r="O213" s="231" t="s">
        <v>2846</v>
      </c>
      <c r="P213" s="233">
        <v>0.98</v>
      </c>
      <c r="Q213" s="233">
        <f>N213*P213</f>
        <v>19600</v>
      </c>
      <c r="R213" s="227">
        <v>43964</v>
      </c>
      <c r="S213" s="235" t="s">
        <v>4080</v>
      </c>
      <c r="T213" s="229" t="s">
        <v>3036</v>
      </c>
      <c r="U213" s="230" t="s">
        <v>4081</v>
      </c>
      <c r="V213" s="229" t="s">
        <v>4082</v>
      </c>
      <c r="W213" s="232" t="e">
        <f t="shared" ca="1" si="90"/>
        <v>#NAME?</v>
      </c>
      <c r="X213" s="456">
        <f>16190</f>
        <v>16190</v>
      </c>
      <c r="Y213" s="249" t="s">
        <v>3974</v>
      </c>
      <c r="Z213" s="236">
        <v>43986</v>
      </c>
      <c r="AA213" s="228"/>
      <c r="AB213" s="228"/>
      <c r="AC213" s="228"/>
      <c r="AD213" s="228"/>
      <c r="AE213" s="228"/>
      <c r="AF213" s="228"/>
      <c r="AG213" s="238">
        <v>0</v>
      </c>
      <c r="AH213" s="248" t="s">
        <v>2846</v>
      </c>
      <c r="AI213" s="229"/>
      <c r="AJ213" s="237">
        <f>+AG213</f>
        <v>0</v>
      </c>
      <c r="AK213" s="241" t="e">
        <f t="shared" ca="1" si="91"/>
        <v>#NAME?</v>
      </c>
      <c r="AL213" s="235" t="s">
        <v>4083</v>
      </c>
      <c r="AM213" s="229"/>
      <c r="AN213" s="229"/>
      <c r="AO213" s="229"/>
      <c r="AP213" s="228" t="s">
        <v>4084</v>
      </c>
      <c r="AQ213" s="228" t="s">
        <v>3977</v>
      </c>
      <c r="AR213" s="228" t="s">
        <v>3063</v>
      </c>
      <c r="AS213" s="242">
        <f t="shared" si="86"/>
        <v>19600</v>
      </c>
      <c r="AT213" s="242">
        <f t="shared" si="87"/>
        <v>1979.6000000000001</v>
      </c>
      <c r="AU213" s="242">
        <v>0</v>
      </c>
      <c r="AV213" s="242">
        <v>0</v>
      </c>
      <c r="AW213" s="242">
        <f t="shared" si="92"/>
        <v>21579.599999999999</v>
      </c>
      <c r="AX213" s="237"/>
      <c r="AY213" s="242"/>
      <c r="AZ213" s="242"/>
      <c r="BA213" s="242" t="s">
        <v>3333</v>
      </c>
      <c r="BB213" s="242"/>
      <c r="BC213" s="242"/>
      <c r="BD213" s="242">
        <f t="shared" si="93"/>
        <v>0</v>
      </c>
      <c r="BE213" s="228"/>
      <c r="BF213" s="228" t="s">
        <v>3162</v>
      </c>
      <c r="BG213" s="227" t="s">
        <v>3628</v>
      </c>
    </row>
    <row r="214" spans="1:59" s="251" customFormat="1" ht="15" customHeight="1">
      <c r="A214" s="250">
        <v>43952</v>
      </c>
      <c r="B214" s="251" t="s">
        <v>3521</v>
      </c>
      <c r="C214" s="252" t="s">
        <v>1584</v>
      </c>
      <c r="D214" s="253" t="s">
        <v>3864</v>
      </c>
      <c r="E214" s="252" t="s">
        <v>3865</v>
      </c>
      <c r="F214" s="254">
        <v>16.899999999999999</v>
      </c>
      <c r="G214" s="254">
        <f>H214*F214</f>
        <v>63881.999999999993</v>
      </c>
      <c r="H214" s="254">
        <v>3780</v>
      </c>
      <c r="I214" s="252" t="s">
        <v>3132</v>
      </c>
      <c r="J214" s="252" t="s">
        <v>2846</v>
      </c>
      <c r="K214" s="252" t="s">
        <v>2846</v>
      </c>
      <c r="L214" s="255">
        <v>1</v>
      </c>
      <c r="M214" s="255" t="s">
        <v>64</v>
      </c>
      <c r="N214" s="254">
        <f>H214</f>
        <v>3780</v>
      </c>
      <c r="O214" s="254" t="s">
        <v>2846</v>
      </c>
      <c r="P214" s="256">
        <v>4.75</v>
      </c>
      <c r="Q214" s="256">
        <f>P214*L214*H214</f>
        <v>17955</v>
      </c>
      <c r="R214" s="250">
        <v>43957</v>
      </c>
      <c r="S214" s="257" t="s">
        <v>3217</v>
      </c>
      <c r="T214" s="252" t="s">
        <v>3036</v>
      </c>
      <c r="U214" s="253" t="s">
        <v>3860</v>
      </c>
      <c r="V214" s="252"/>
      <c r="W214" s="255" t="e">
        <f t="shared" ca="1" si="90"/>
        <v>#NAME?</v>
      </c>
      <c r="X214" s="460">
        <v>3762</v>
      </c>
      <c r="Y214" s="253" t="s">
        <v>3911</v>
      </c>
      <c r="AG214" s="258">
        <f>(Q214/P214)-X214-AA214-AD214</f>
        <v>18</v>
      </c>
      <c r="AH214" s="264" t="s">
        <v>82</v>
      </c>
      <c r="AI214" s="265" t="s">
        <v>2739</v>
      </c>
      <c r="AJ214" s="188">
        <v>0</v>
      </c>
      <c r="AK214" s="260" t="e">
        <f t="shared" ca="1" si="91"/>
        <v>#NAME?</v>
      </c>
      <c r="AL214" s="257" t="s">
        <v>3867</v>
      </c>
      <c r="AM214" s="252" t="s">
        <v>3084</v>
      </c>
      <c r="AN214" s="252" t="s">
        <v>3084</v>
      </c>
      <c r="AO214" s="252" t="s">
        <v>3912</v>
      </c>
      <c r="AP214" s="251" t="s">
        <v>3913</v>
      </c>
      <c r="AQ214" s="251" t="s">
        <v>3914</v>
      </c>
      <c r="AR214" s="251" t="s">
        <v>3063</v>
      </c>
      <c r="AS214" s="261">
        <f t="shared" si="86"/>
        <v>17955</v>
      </c>
      <c r="AT214" s="261">
        <f t="shared" si="87"/>
        <v>1813.4550000000002</v>
      </c>
      <c r="AU214" s="261">
        <v>0</v>
      </c>
      <c r="AV214" s="261">
        <v>0</v>
      </c>
      <c r="AW214" s="261">
        <f t="shared" si="92"/>
        <v>19768.455000000002</v>
      </c>
      <c r="AX214" s="188">
        <f>+H214</f>
        <v>3780</v>
      </c>
      <c r="AY214" s="261" t="s">
        <v>2736</v>
      </c>
      <c r="AZ214" s="261">
        <f t="shared" ref="AZ214:AZ221" si="94">+AW214/AX214</f>
        <v>5.2297500000000001</v>
      </c>
      <c r="BA214" s="281" t="s">
        <v>2786</v>
      </c>
      <c r="BB214" s="261" t="s">
        <v>2739</v>
      </c>
      <c r="BC214" s="261">
        <v>1</v>
      </c>
      <c r="BD214" s="261">
        <f t="shared" si="93"/>
        <v>5.2297500000000001</v>
      </c>
      <c r="BF214" s="251" t="s">
        <v>3137</v>
      </c>
      <c r="BG214" s="250" t="s">
        <v>3910</v>
      </c>
    </row>
    <row r="215" spans="1:59" s="228" customFormat="1" ht="15" customHeight="1">
      <c r="A215" s="227">
        <v>43952</v>
      </c>
      <c r="B215" s="228" t="s">
        <v>3755</v>
      </c>
      <c r="C215" s="229" t="s">
        <v>3384</v>
      </c>
      <c r="D215" s="230" t="s">
        <v>3905</v>
      </c>
      <c r="E215" s="229" t="s">
        <v>3906</v>
      </c>
      <c r="F215" s="231" t="s">
        <v>2846</v>
      </c>
      <c r="G215" s="231" t="s">
        <v>2846</v>
      </c>
      <c r="H215" s="231">
        <v>5000</v>
      </c>
      <c r="I215" s="229" t="s">
        <v>1269</v>
      </c>
      <c r="J215" s="229" t="s">
        <v>2846</v>
      </c>
      <c r="K215" s="229" t="s">
        <v>2846</v>
      </c>
      <c r="L215" s="232">
        <v>1</v>
      </c>
      <c r="M215" s="232" t="s">
        <v>64</v>
      </c>
      <c r="N215" s="231">
        <f>H215</f>
        <v>5000</v>
      </c>
      <c r="O215" s="231" t="s">
        <v>2846</v>
      </c>
      <c r="P215" s="233">
        <v>2.95</v>
      </c>
      <c r="Q215" s="233">
        <f>P215*N215</f>
        <v>14750</v>
      </c>
      <c r="R215" s="227">
        <v>43977</v>
      </c>
      <c r="S215" s="235" t="s">
        <v>3648</v>
      </c>
      <c r="T215" s="229" t="s">
        <v>3036</v>
      </c>
      <c r="U215" s="230" t="s">
        <v>3907</v>
      </c>
      <c r="V215" s="229"/>
      <c r="W215" s="232" t="e">
        <f t="shared" ca="1" si="90"/>
        <v>#NAME?</v>
      </c>
      <c r="X215" s="456">
        <v>5000</v>
      </c>
      <c r="Y215" s="230">
        <v>1372290</v>
      </c>
      <c r="Z215" s="236">
        <v>44042</v>
      </c>
      <c r="AA215" s="237"/>
      <c r="AD215" s="237"/>
      <c r="AG215" s="238">
        <f>(Q215/P215)-X215-AA215-AD215</f>
        <v>0</v>
      </c>
      <c r="AH215" s="248" t="s">
        <v>66</v>
      </c>
      <c r="AI215" s="229" t="s">
        <v>2739</v>
      </c>
      <c r="AJ215" s="237">
        <f>+AG215</f>
        <v>0</v>
      </c>
      <c r="AK215" s="241" t="e">
        <f t="shared" ca="1" si="91"/>
        <v>#NAME?</v>
      </c>
      <c r="AL215" s="235" t="s">
        <v>3908</v>
      </c>
      <c r="AM215" s="229"/>
      <c r="AN215" s="229"/>
      <c r="AP215" s="228" t="s">
        <v>3909</v>
      </c>
      <c r="AR215" s="228" t="s">
        <v>3039</v>
      </c>
      <c r="AS215" s="242">
        <f t="shared" si="86"/>
        <v>14750</v>
      </c>
      <c r="AT215" s="242">
        <f t="shared" si="87"/>
        <v>1489.75</v>
      </c>
      <c r="AU215" s="242">
        <v>0</v>
      </c>
      <c r="AV215" s="242">
        <v>0</v>
      </c>
      <c r="AW215" s="242">
        <f t="shared" si="92"/>
        <v>16239.75</v>
      </c>
      <c r="AX215" s="237">
        <f>+N215</f>
        <v>5000</v>
      </c>
      <c r="AY215" s="242" t="s">
        <v>2739</v>
      </c>
      <c r="AZ215" s="242">
        <f t="shared" si="94"/>
        <v>3.2479499999999999</v>
      </c>
      <c r="BA215" s="242" t="s">
        <v>2752</v>
      </c>
      <c r="BB215" s="242" t="s">
        <v>2733</v>
      </c>
      <c r="BC215" s="242">
        <v>10</v>
      </c>
      <c r="BD215" s="242">
        <f t="shared" si="93"/>
        <v>32.479500000000002</v>
      </c>
      <c r="BF215" s="228" t="s">
        <v>36</v>
      </c>
      <c r="BG215" s="227" t="s">
        <v>3910</v>
      </c>
    </row>
    <row r="216" spans="1:59" s="228" customFormat="1" ht="15" customHeight="1">
      <c r="A216" s="250">
        <v>43952</v>
      </c>
      <c r="B216" s="251" t="s">
        <v>3521</v>
      </c>
      <c r="C216" s="252" t="s">
        <v>1584</v>
      </c>
      <c r="D216" s="253" t="s">
        <v>3915</v>
      </c>
      <c r="E216" s="252" t="s">
        <v>3865</v>
      </c>
      <c r="F216" s="254">
        <v>16.899999999999999</v>
      </c>
      <c r="G216" s="254">
        <f>H216*F216</f>
        <v>238492.79999999999</v>
      </c>
      <c r="H216" s="254">
        <v>14112</v>
      </c>
      <c r="I216" s="252" t="s">
        <v>3132</v>
      </c>
      <c r="J216" s="252" t="s">
        <v>2846</v>
      </c>
      <c r="K216" s="252" t="s">
        <v>2846</v>
      </c>
      <c r="L216" s="255">
        <v>1</v>
      </c>
      <c r="M216" s="255" t="s">
        <v>64</v>
      </c>
      <c r="N216" s="254">
        <f>H216</f>
        <v>14112</v>
      </c>
      <c r="O216" s="254" t="s">
        <v>2846</v>
      </c>
      <c r="P216" s="256">
        <v>4.6500000000000004</v>
      </c>
      <c r="Q216" s="256">
        <f>P216*L216*H216</f>
        <v>65620.800000000003</v>
      </c>
      <c r="R216" s="250">
        <v>43966</v>
      </c>
      <c r="S216" s="257" t="s">
        <v>3217</v>
      </c>
      <c r="T216" s="252" t="s">
        <v>3036</v>
      </c>
      <c r="U216" s="253" t="s">
        <v>3916</v>
      </c>
      <c r="V216" s="252"/>
      <c r="W216" s="255" t="e">
        <f t="shared" ca="1" si="90"/>
        <v>#NAME?</v>
      </c>
      <c r="X216" s="460">
        <v>14112</v>
      </c>
      <c r="Y216" s="277" t="s">
        <v>3917</v>
      </c>
      <c r="Z216" s="251"/>
      <c r="AA216" s="251"/>
      <c r="AB216" s="251"/>
      <c r="AC216" s="251"/>
      <c r="AD216" s="251"/>
      <c r="AE216" s="251"/>
      <c r="AF216" s="251"/>
      <c r="AG216" s="258">
        <f>(Q216/P216)-X216-AA216-AD216</f>
        <v>0</v>
      </c>
      <c r="AH216" s="264" t="s">
        <v>82</v>
      </c>
      <c r="AI216" s="265" t="s">
        <v>2739</v>
      </c>
      <c r="AJ216" s="188">
        <f>+AG216</f>
        <v>0</v>
      </c>
      <c r="AK216" s="260" t="e">
        <f t="shared" ca="1" si="91"/>
        <v>#NAME?</v>
      </c>
      <c r="AL216" s="257" t="s">
        <v>3918</v>
      </c>
      <c r="AM216" s="252"/>
      <c r="AN216" s="252"/>
      <c r="AO216" s="252"/>
      <c r="AP216" s="251" t="s">
        <v>3919</v>
      </c>
      <c r="AQ216" s="251"/>
      <c r="AR216" s="251" t="s">
        <v>3063</v>
      </c>
      <c r="AS216" s="261">
        <f t="shared" si="86"/>
        <v>65620.800000000003</v>
      </c>
      <c r="AT216" s="261">
        <f t="shared" si="87"/>
        <v>6627.7008000000005</v>
      </c>
      <c r="AU216" s="261">
        <v>0</v>
      </c>
      <c r="AV216" s="261">
        <v>0</v>
      </c>
      <c r="AW216" s="261">
        <f t="shared" si="92"/>
        <v>72248.500800000009</v>
      </c>
      <c r="AX216" s="188">
        <f>+H216</f>
        <v>14112</v>
      </c>
      <c r="AY216" s="261" t="s">
        <v>2736</v>
      </c>
      <c r="AZ216" s="261">
        <f t="shared" si="94"/>
        <v>5.1196500000000009</v>
      </c>
      <c r="BA216" s="281" t="s">
        <v>2786</v>
      </c>
      <c r="BB216" s="261" t="s">
        <v>2739</v>
      </c>
      <c r="BC216" s="261">
        <v>1</v>
      </c>
      <c r="BD216" s="261">
        <f t="shared" si="93"/>
        <v>5.1196500000000009</v>
      </c>
      <c r="BE216" s="251"/>
      <c r="BF216" s="251" t="s">
        <v>3137</v>
      </c>
      <c r="BG216" s="250" t="s">
        <v>3910</v>
      </c>
    </row>
    <row r="217" spans="1:59" s="196" customFormat="1" ht="15" customHeight="1">
      <c r="A217" s="250">
        <v>43952</v>
      </c>
      <c r="B217" s="251" t="s">
        <v>3521</v>
      </c>
      <c r="C217" s="252" t="s">
        <v>1584</v>
      </c>
      <c r="D217" s="253" t="s">
        <v>3920</v>
      </c>
      <c r="E217" s="252" t="s">
        <v>3865</v>
      </c>
      <c r="F217" s="254">
        <v>16.899999999999999</v>
      </c>
      <c r="G217" s="254">
        <f>H217*F217</f>
        <v>357739.19999999995</v>
      </c>
      <c r="H217" s="254">
        <v>21168</v>
      </c>
      <c r="I217" s="252" t="s">
        <v>3132</v>
      </c>
      <c r="J217" s="252" t="s">
        <v>2846</v>
      </c>
      <c r="K217" s="252" t="s">
        <v>2846</v>
      </c>
      <c r="L217" s="255">
        <v>1</v>
      </c>
      <c r="M217" s="255" t="s">
        <v>64</v>
      </c>
      <c r="N217" s="254">
        <f>H217</f>
        <v>21168</v>
      </c>
      <c r="O217" s="254" t="s">
        <v>2846</v>
      </c>
      <c r="P217" s="256">
        <v>4.6500000000000004</v>
      </c>
      <c r="Q217" s="256">
        <f>P217*L217*H217</f>
        <v>98431.200000000012</v>
      </c>
      <c r="R217" s="250">
        <v>43966</v>
      </c>
      <c r="S217" s="257" t="s">
        <v>3217</v>
      </c>
      <c r="T217" s="252" t="s">
        <v>3036</v>
      </c>
      <c r="U217" s="253" t="s">
        <v>3921</v>
      </c>
      <c r="V217" s="252"/>
      <c r="W217" s="255" t="e">
        <f t="shared" ca="1" si="90"/>
        <v>#NAME?</v>
      </c>
      <c r="X217" s="460">
        <v>21168</v>
      </c>
      <c r="Y217" s="277"/>
      <c r="Z217" s="251"/>
      <c r="AA217" s="251"/>
      <c r="AB217" s="251"/>
      <c r="AC217" s="251"/>
      <c r="AD217" s="251"/>
      <c r="AE217" s="251"/>
      <c r="AF217" s="251"/>
      <c r="AG217" s="258">
        <f>(Q217/P217)-X217-AA217-AD217</f>
        <v>0</v>
      </c>
      <c r="AH217" s="264" t="s">
        <v>82</v>
      </c>
      <c r="AI217" s="265" t="s">
        <v>2739</v>
      </c>
      <c r="AJ217" s="188">
        <f>+AG217</f>
        <v>0</v>
      </c>
      <c r="AK217" s="260" t="e">
        <f t="shared" ca="1" si="91"/>
        <v>#NAME?</v>
      </c>
      <c r="AL217" s="257" t="s">
        <v>3922</v>
      </c>
      <c r="AM217" s="252"/>
      <c r="AN217" s="252"/>
      <c r="AO217" s="252"/>
      <c r="AP217" s="251" t="s">
        <v>3923</v>
      </c>
      <c r="AQ217" s="251"/>
      <c r="AR217" s="251" t="s">
        <v>3063</v>
      </c>
      <c r="AS217" s="261">
        <f t="shared" si="86"/>
        <v>98431.200000000012</v>
      </c>
      <c r="AT217" s="261">
        <f t="shared" si="87"/>
        <v>9941.5512000000017</v>
      </c>
      <c r="AU217" s="261">
        <v>0</v>
      </c>
      <c r="AV217" s="261">
        <v>0</v>
      </c>
      <c r="AW217" s="261">
        <f t="shared" si="92"/>
        <v>108372.75120000001</v>
      </c>
      <c r="AX217" s="188">
        <f>+H217</f>
        <v>21168</v>
      </c>
      <c r="AY217" s="261" t="s">
        <v>2736</v>
      </c>
      <c r="AZ217" s="261">
        <f t="shared" si="94"/>
        <v>5.1196500000000009</v>
      </c>
      <c r="BA217" s="281" t="s">
        <v>2786</v>
      </c>
      <c r="BB217" s="261" t="s">
        <v>2739</v>
      </c>
      <c r="BC217" s="261">
        <v>1</v>
      </c>
      <c r="BD217" s="261">
        <f t="shared" si="93"/>
        <v>5.1196500000000009</v>
      </c>
      <c r="BE217" s="251"/>
      <c r="BF217" s="251" t="s">
        <v>3137</v>
      </c>
      <c r="BG217" s="250" t="s">
        <v>3910</v>
      </c>
    </row>
    <row r="218" spans="1:59" s="228" customFormat="1" ht="15" customHeight="1">
      <c r="A218" s="227">
        <v>43955</v>
      </c>
      <c r="B218" s="228" t="s">
        <v>3924</v>
      </c>
      <c r="C218" s="229" t="s">
        <v>3368</v>
      </c>
      <c r="D218" s="230" t="s">
        <v>3925</v>
      </c>
      <c r="E218" s="229"/>
      <c r="F218" s="231" t="s">
        <v>2846</v>
      </c>
      <c r="G218" s="231" t="s">
        <v>2846</v>
      </c>
      <c r="H218" s="231">
        <v>50</v>
      </c>
      <c r="I218" s="229" t="s">
        <v>1269</v>
      </c>
      <c r="J218" s="229">
        <v>18000</v>
      </c>
      <c r="K218" s="229" t="s">
        <v>2733</v>
      </c>
      <c r="L218" s="232">
        <v>1</v>
      </c>
      <c r="M218" s="232" t="s">
        <v>64</v>
      </c>
      <c r="N218" s="231">
        <f>H218*J218</f>
        <v>900000</v>
      </c>
      <c r="O218" s="231" t="s">
        <v>2846</v>
      </c>
      <c r="P218" s="233">
        <v>0.38</v>
      </c>
      <c r="Q218" s="233">
        <f>P218*N218</f>
        <v>342000</v>
      </c>
      <c r="R218" s="227">
        <v>43994</v>
      </c>
      <c r="S218" s="235" t="s">
        <v>3217</v>
      </c>
      <c r="T218" s="229" t="s">
        <v>3036</v>
      </c>
      <c r="U218" s="230" t="s">
        <v>3926</v>
      </c>
      <c r="V218" s="229"/>
      <c r="W218" s="232" t="e">
        <f t="shared" ca="1" si="90"/>
        <v>#NAME?</v>
      </c>
      <c r="X218" s="459">
        <v>900000</v>
      </c>
      <c r="Y218" s="230" t="s">
        <v>3927</v>
      </c>
      <c r="Z218" s="236">
        <v>44018</v>
      </c>
      <c r="AG218" s="238">
        <f>(Q218/P218)-X218-AA218-AD218</f>
        <v>0</v>
      </c>
      <c r="AH218" s="248" t="s">
        <v>68</v>
      </c>
      <c r="AI218" s="229" t="s">
        <v>2739</v>
      </c>
      <c r="AJ218" s="237">
        <f>+AG218</f>
        <v>0</v>
      </c>
      <c r="AK218" s="241" t="e">
        <f t="shared" ca="1" si="91"/>
        <v>#NAME?</v>
      </c>
      <c r="AL218" s="235" t="s">
        <v>3928</v>
      </c>
      <c r="AM218" s="229"/>
      <c r="AN218" s="229"/>
      <c r="AO218" s="229"/>
      <c r="AP218" s="228" t="s">
        <v>3929</v>
      </c>
      <c r="AR218" s="228" t="s">
        <v>3063</v>
      </c>
      <c r="AS218" s="242">
        <f t="shared" si="86"/>
        <v>342000</v>
      </c>
      <c r="AT218" s="242">
        <f t="shared" si="87"/>
        <v>34542</v>
      </c>
      <c r="AU218" s="242">
        <v>0</v>
      </c>
      <c r="AV218" s="242">
        <v>0</v>
      </c>
      <c r="AW218" s="242">
        <f t="shared" si="92"/>
        <v>376542</v>
      </c>
      <c r="AX218" s="237">
        <f>+N218</f>
        <v>900000</v>
      </c>
      <c r="AY218" s="242" t="s">
        <v>2739</v>
      </c>
      <c r="AZ218" s="242">
        <f t="shared" si="94"/>
        <v>0.41837999999999997</v>
      </c>
      <c r="BA218" s="242" t="s">
        <v>2744</v>
      </c>
      <c r="BB218" s="242" t="s">
        <v>2733</v>
      </c>
      <c r="BC218" s="242">
        <v>50</v>
      </c>
      <c r="BD218" s="242">
        <f t="shared" si="93"/>
        <v>20.918999999999997</v>
      </c>
      <c r="BF218" s="228" t="s">
        <v>36</v>
      </c>
      <c r="BG218" s="227" t="s">
        <v>3910</v>
      </c>
    </row>
    <row r="219" spans="1:59" s="228" customFormat="1" ht="15" customHeight="1">
      <c r="A219" s="227">
        <v>43957</v>
      </c>
      <c r="B219" s="228" t="s">
        <v>3785</v>
      </c>
      <c r="C219" s="229" t="s">
        <v>78</v>
      </c>
      <c r="D219" s="230" t="s">
        <v>3938</v>
      </c>
      <c r="E219" s="229">
        <v>3064749</v>
      </c>
      <c r="F219" s="231" t="s">
        <v>2846</v>
      </c>
      <c r="G219" s="231" t="s">
        <v>2846</v>
      </c>
      <c r="H219" s="231">
        <v>35</v>
      </c>
      <c r="I219" s="229" t="s">
        <v>3313</v>
      </c>
      <c r="J219" s="229">
        <v>3</v>
      </c>
      <c r="K219" s="229" t="s">
        <v>3314</v>
      </c>
      <c r="L219" s="232">
        <v>206</v>
      </c>
      <c r="M219" s="232" t="s">
        <v>2953</v>
      </c>
      <c r="N219" s="231">
        <f>H219*J219*L219</f>
        <v>21630</v>
      </c>
      <c r="O219" s="231">
        <f>L219*J219</f>
        <v>618</v>
      </c>
      <c r="P219" s="233">
        <v>6.11</v>
      </c>
      <c r="Q219" s="233">
        <f>P219*L219</f>
        <v>1258.6600000000001</v>
      </c>
      <c r="R219" s="227">
        <v>43987</v>
      </c>
      <c r="S219" s="235" t="s">
        <v>3217</v>
      </c>
      <c r="T219" s="229" t="s">
        <v>3036</v>
      </c>
      <c r="U219" s="230" t="s">
        <v>3931</v>
      </c>
      <c r="V219" s="229"/>
      <c r="W219" s="232" t="e">
        <f t="shared" ca="1" si="90"/>
        <v>#NAME?</v>
      </c>
      <c r="X219" s="459">
        <v>204</v>
      </c>
      <c r="Y219" s="230" t="s">
        <v>3932</v>
      </c>
      <c r="Z219" s="236">
        <v>43965</v>
      </c>
      <c r="AG219" s="238">
        <f>L219-X219-AA219-AD219</f>
        <v>2</v>
      </c>
      <c r="AH219" s="248" t="s">
        <v>78</v>
      </c>
      <c r="AI219" s="229" t="s">
        <v>2724</v>
      </c>
      <c r="AJ219" s="237">
        <f>+AG219*J219</f>
        <v>6</v>
      </c>
      <c r="AK219" s="241" t="e">
        <f t="shared" ca="1" si="91"/>
        <v>#NAME?</v>
      </c>
      <c r="AL219" s="235" t="s">
        <v>3939</v>
      </c>
      <c r="AM219" s="229"/>
      <c r="AN219" s="229"/>
      <c r="AO219" s="229"/>
      <c r="AP219" s="228" t="s">
        <v>3940</v>
      </c>
      <c r="AQ219" s="228" t="s">
        <v>3935</v>
      </c>
      <c r="AR219" s="228" t="s">
        <v>3039</v>
      </c>
      <c r="AS219" s="242">
        <f t="shared" si="86"/>
        <v>1258.6600000000001</v>
      </c>
      <c r="AT219" s="242">
        <f t="shared" si="87"/>
        <v>127.12466000000002</v>
      </c>
      <c r="AU219" s="242">
        <v>0</v>
      </c>
      <c r="AV219" s="242">
        <v>0</v>
      </c>
      <c r="AW219" s="242">
        <f t="shared" si="92"/>
        <v>1385.78466</v>
      </c>
      <c r="AX219" s="237">
        <v>618</v>
      </c>
      <c r="AY219" s="237" t="s">
        <v>2724</v>
      </c>
      <c r="AZ219" s="242">
        <f t="shared" si="94"/>
        <v>2.2423700000000002</v>
      </c>
      <c r="BA219" s="242" t="s">
        <v>2721</v>
      </c>
      <c r="BB219" s="237" t="s">
        <v>2739</v>
      </c>
      <c r="BC219" s="242">
        <v>1</v>
      </c>
      <c r="BD219" s="242">
        <f t="shared" si="93"/>
        <v>2.2423700000000002</v>
      </c>
      <c r="BF219" s="228" t="s">
        <v>3137</v>
      </c>
      <c r="BG219" s="227" t="s">
        <v>3910</v>
      </c>
    </row>
    <row r="220" spans="1:59" s="270" customFormat="1" ht="15" customHeight="1">
      <c r="A220" s="370">
        <v>43957</v>
      </c>
      <c r="B220" s="228" t="s">
        <v>3785</v>
      </c>
      <c r="C220" s="229" t="s">
        <v>78</v>
      </c>
      <c r="D220" s="230" t="s">
        <v>3930</v>
      </c>
      <c r="E220" s="229">
        <v>3064746</v>
      </c>
      <c r="F220" s="231" t="s">
        <v>2846</v>
      </c>
      <c r="G220" s="231" t="s">
        <v>2846</v>
      </c>
      <c r="H220" s="231">
        <v>35</v>
      </c>
      <c r="I220" s="229" t="s">
        <v>3313</v>
      </c>
      <c r="J220" s="229">
        <v>4</v>
      </c>
      <c r="K220" s="229" t="s">
        <v>3314</v>
      </c>
      <c r="L220" s="232">
        <v>966</v>
      </c>
      <c r="M220" s="232" t="s">
        <v>2953</v>
      </c>
      <c r="N220" s="231">
        <f>H220*J220*L220</f>
        <v>135240</v>
      </c>
      <c r="O220" s="231">
        <f>L220*J220</f>
        <v>3864</v>
      </c>
      <c r="P220" s="233">
        <v>9.89</v>
      </c>
      <c r="Q220" s="233">
        <f>P220*L220</f>
        <v>9553.74</v>
      </c>
      <c r="R220" s="227">
        <v>43987</v>
      </c>
      <c r="S220" s="235" t="s">
        <v>3217</v>
      </c>
      <c r="T220" s="229" t="s">
        <v>3036</v>
      </c>
      <c r="U220" s="230" t="s">
        <v>3931</v>
      </c>
      <c r="V220" s="229"/>
      <c r="W220" s="232" t="e">
        <f t="shared" ca="1" si="90"/>
        <v>#NAME?</v>
      </c>
      <c r="X220" s="459">
        <f>171*4</f>
        <v>684</v>
      </c>
      <c r="Y220" s="230" t="s">
        <v>3932</v>
      </c>
      <c r="Z220" s="236">
        <v>43965</v>
      </c>
      <c r="AA220" s="228"/>
      <c r="AB220" s="228"/>
      <c r="AC220" s="228"/>
      <c r="AD220" s="228"/>
      <c r="AE220" s="228"/>
      <c r="AF220" s="228"/>
      <c r="AG220" s="238">
        <f>L220-X220-AA220-AD220</f>
        <v>282</v>
      </c>
      <c r="AH220" s="382" t="s">
        <v>78</v>
      </c>
      <c r="AI220" s="385" t="s">
        <v>2724</v>
      </c>
      <c r="AJ220" s="237">
        <f>+AG220*J220</f>
        <v>1128</v>
      </c>
      <c r="AK220" s="241" t="e">
        <f t="shared" ca="1" si="91"/>
        <v>#NAME?</v>
      </c>
      <c r="AL220" s="387" t="s">
        <v>3933</v>
      </c>
      <c r="AM220" s="380"/>
      <c r="AN220" s="380"/>
      <c r="AO220" s="380"/>
      <c r="AP220" s="389" t="s">
        <v>3934</v>
      </c>
      <c r="AQ220" s="389" t="s">
        <v>3935</v>
      </c>
      <c r="AR220" s="389" t="s">
        <v>3039</v>
      </c>
      <c r="AS220" s="242">
        <f t="shared" si="86"/>
        <v>9553.74</v>
      </c>
      <c r="AT220" s="242">
        <f t="shared" si="87"/>
        <v>964.92774000000009</v>
      </c>
      <c r="AU220" s="242">
        <v>0</v>
      </c>
      <c r="AV220" s="242">
        <v>0</v>
      </c>
      <c r="AW220" s="242">
        <f t="shared" si="92"/>
        <v>10518.667740000001</v>
      </c>
      <c r="AX220" s="237">
        <v>3864</v>
      </c>
      <c r="AY220" s="237" t="s">
        <v>2724</v>
      </c>
      <c r="AZ220" s="242">
        <f t="shared" si="94"/>
        <v>2.7222225</v>
      </c>
      <c r="BA220" s="242" t="s">
        <v>2721</v>
      </c>
      <c r="BB220" s="237" t="s">
        <v>2739</v>
      </c>
      <c r="BC220" s="291">
        <v>1</v>
      </c>
      <c r="BD220" s="291">
        <f t="shared" si="93"/>
        <v>2.7222225</v>
      </c>
      <c r="BE220" s="389"/>
      <c r="BF220" s="389" t="s">
        <v>3137</v>
      </c>
      <c r="BG220" s="370" t="s">
        <v>3910</v>
      </c>
    </row>
    <row r="221" spans="1:59" s="270" customFormat="1" ht="15" customHeight="1">
      <c r="A221" s="370">
        <v>43957</v>
      </c>
      <c r="B221" s="228" t="s">
        <v>3733</v>
      </c>
      <c r="C221" s="229" t="s">
        <v>3674</v>
      </c>
      <c r="D221" s="230" t="s">
        <v>3941</v>
      </c>
      <c r="E221" s="229" t="s">
        <v>3942</v>
      </c>
      <c r="F221" s="231" t="s">
        <v>2846</v>
      </c>
      <c r="G221" s="231" t="s">
        <v>2846</v>
      </c>
      <c r="H221" s="231">
        <v>1000</v>
      </c>
      <c r="I221" s="229" t="s">
        <v>2739</v>
      </c>
      <c r="J221" s="229" t="s">
        <v>2846</v>
      </c>
      <c r="K221" s="229" t="s">
        <v>2846</v>
      </c>
      <c r="L221" s="232">
        <v>1</v>
      </c>
      <c r="M221" s="232" t="s">
        <v>64</v>
      </c>
      <c r="N221" s="231">
        <f t="shared" ref="N221:N226" si="95">H221</f>
        <v>1000</v>
      </c>
      <c r="O221" s="231" t="s">
        <v>2846</v>
      </c>
      <c r="P221" s="233">
        <v>50</v>
      </c>
      <c r="Q221" s="233">
        <f>P221*H221</f>
        <v>50000</v>
      </c>
      <c r="R221" s="227">
        <v>43997</v>
      </c>
      <c r="S221" s="235" t="s">
        <v>3217</v>
      </c>
      <c r="T221" s="229" t="s">
        <v>3036</v>
      </c>
      <c r="U221" s="230" t="s">
        <v>3943</v>
      </c>
      <c r="V221" s="229" t="s">
        <v>3944</v>
      </c>
      <c r="W221" s="232" t="e">
        <f t="shared" ca="1" si="90"/>
        <v>#NAME?</v>
      </c>
      <c r="X221" s="459">
        <v>1000</v>
      </c>
      <c r="Y221" s="249" t="s">
        <v>3945</v>
      </c>
      <c r="Z221" s="236">
        <v>44006</v>
      </c>
      <c r="AA221" s="228"/>
      <c r="AB221" s="228"/>
      <c r="AC221" s="228"/>
      <c r="AD221" s="228"/>
      <c r="AE221" s="228"/>
      <c r="AF221" s="228"/>
      <c r="AG221" s="238">
        <f>N221-X221-AA221-AD221</f>
        <v>0</v>
      </c>
      <c r="AH221" s="382" t="s">
        <v>89</v>
      </c>
      <c r="AI221" s="385" t="s">
        <v>2739</v>
      </c>
      <c r="AJ221" s="237">
        <f>+AG221</f>
        <v>0</v>
      </c>
      <c r="AK221" s="241" t="e">
        <f t="shared" ca="1" si="91"/>
        <v>#NAME?</v>
      </c>
      <c r="AL221" s="387" t="s">
        <v>3946</v>
      </c>
      <c r="AM221" s="380"/>
      <c r="AN221" s="380"/>
      <c r="AO221" s="380"/>
      <c r="AP221" s="389" t="s">
        <v>3947</v>
      </c>
      <c r="AQ221" s="389"/>
      <c r="AR221" s="389" t="s">
        <v>3063</v>
      </c>
      <c r="AS221" s="242">
        <f t="shared" si="86"/>
        <v>50000</v>
      </c>
      <c r="AT221" s="242">
        <f t="shared" si="87"/>
        <v>5050</v>
      </c>
      <c r="AU221" s="242">
        <v>0</v>
      </c>
      <c r="AV221" s="242">
        <v>0</v>
      </c>
      <c r="AW221" s="242">
        <f t="shared" si="92"/>
        <v>55050</v>
      </c>
      <c r="AX221" s="295">
        <f>+N221</f>
        <v>1000</v>
      </c>
      <c r="AY221" s="291" t="s">
        <v>2739</v>
      </c>
      <c r="AZ221" s="242">
        <f t="shared" si="94"/>
        <v>55.05</v>
      </c>
      <c r="BA221" s="242" t="s">
        <v>2842</v>
      </c>
      <c r="BB221" s="291" t="s">
        <v>2739</v>
      </c>
      <c r="BC221" s="291">
        <v>1</v>
      </c>
      <c r="BD221" s="291">
        <f t="shared" si="93"/>
        <v>55.05</v>
      </c>
      <c r="BE221" s="389"/>
      <c r="BF221" s="228" t="s">
        <v>3162</v>
      </c>
      <c r="BG221" s="370" t="s">
        <v>3910</v>
      </c>
    </row>
    <row r="222" spans="1:59" s="297" customFormat="1" ht="15" customHeight="1">
      <c r="A222" s="399">
        <v>43957</v>
      </c>
      <c r="B222" s="196" t="s">
        <v>3785</v>
      </c>
      <c r="C222" s="201"/>
      <c r="D222" s="202" t="s">
        <v>3936</v>
      </c>
      <c r="E222" s="201">
        <v>8031806</v>
      </c>
      <c r="F222" s="203">
        <v>12.5</v>
      </c>
      <c r="G222" s="203">
        <f>F222*H222</f>
        <v>8487.5</v>
      </c>
      <c r="H222" s="203">
        <v>679</v>
      </c>
      <c r="I222" s="201" t="s">
        <v>2739</v>
      </c>
      <c r="J222" s="201" t="s">
        <v>2846</v>
      </c>
      <c r="K222" s="201" t="s">
        <v>2846</v>
      </c>
      <c r="L222" s="204">
        <v>1</v>
      </c>
      <c r="M222" s="204" t="s">
        <v>64</v>
      </c>
      <c r="N222" s="203">
        <f t="shared" si="95"/>
        <v>679</v>
      </c>
      <c r="O222" s="203" t="s">
        <v>2846</v>
      </c>
      <c r="P222" s="205">
        <v>5.39</v>
      </c>
      <c r="Q222" s="205"/>
      <c r="R222" s="200">
        <v>43987</v>
      </c>
      <c r="S222" s="206" t="s">
        <v>3217</v>
      </c>
      <c r="T222" s="201" t="s">
        <v>3036</v>
      </c>
      <c r="U222" s="202" t="s">
        <v>3931</v>
      </c>
      <c r="V222" s="201"/>
      <c r="W222" s="204" t="s">
        <v>183</v>
      </c>
      <c r="X222" s="456">
        <v>0</v>
      </c>
      <c r="Y222" s="202"/>
      <c r="Z222" s="196"/>
      <c r="AA222" s="196"/>
      <c r="AB222" s="196"/>
      <c r="AC222" s="196"/>
      <c r="AD222" s="196"/>
      <c r="AE222" s="196"/>
      <c r="AF222" s="196"/>
      <c r="AG222" s="208">
        <v>0</v>
      </c>
      <c r="AH222" s="408" t="s">
        <v>2846</v>
      </c>
      <c r="AI222" s="201"/>
      <c r="AJ222" s="207">
        <f>+AG222</f>
        <v>0</v>
      </c>
      <c r="AK222" s="211"/>
      <c r="AL222" s="206"/>
      <c r="AM222" s="201"/>
      <c r="AN222" s="201"/>
      <c r="AO222" s="201"/>
      <c r="AP222" s="196" t="s">
        <v>3937</v>
      </c>
      <c r="AQ222" s="196"/>
      <c r="AR222" s="196" t="s">
        <v>3039</v>
      </c>
      <c r="AS222" s="196"/>
      <c r="AT222" s="196"/>
      <c r="AU222" s="196"/>
      <c r="AV222" s="196"/>
      <c r="AW222" s="196"/>
      <c r="AX222" s="207"/>
      <c r="AY222" s="196"/>
      <c r="AZ222" s="212"/>
      <c r="BA222" s="411"/>
      <c r="BB222" s="196"/>
      <c r="BC222" s="212"/>
      <c r="BD222" s="212"/>
      <c r="BE222" s="196"/>
      <c r="BF222" s="196" t="s">
        <v>3108</v>
      </c>
      <c r="BG222" s="399" t="s">
        <v>3910</v>
      </c>
    </row>
    <row r="223" spans="1:59" s="297" customFormat="1" ht="15" customHeight="1">
      <c r="A223" s="398">
        <v>43959</v>
      </c>
      <c r="B223" s="266" t="s">
        <v>3596</v>
      </c>
      <c r="C223" s="229" t="s">
        <v>3948</v>
      </c>
      <c r="D223" s="267" t="s">
        <v>3949</v>
      </c>
      <c r="E223" s="268" t="s">
        <v>3950</v>
      </c>
      <c r="F223" s="231" t="s">
        <v>2846</v>
      </c>
      <c r="G223" s="231" t="s">
        <v>2846</v>
      </c>
      <c r="H223" s="289">
        <v>15</v>
      </c>
      <c r="I223" s="268" t="s">
        <v>2739</v>
      </c>
      <c r="J223" s="268" t="s">
        <v>2846</v>
      </c>
      <c r="K223" s="268" t="s">
        <v>2846</v>
      </c>
      <c r="L223" s="232">
        <v>1</v>
      </c>
      <c r="M223" s="232" t="s">
        <v>64</v>
      </c>
      <c r="N223" s="289">
        <f t="shared" si="95"/>
        <v>15</v>
      </c>
      <c r="O223" s="231" t="s">
        <v>2846</v>
      </c>
      <c r="P223" s="290">
        <v>384.71</v>
      </c>
      <c r="Q223" s="290">
        <f>P223*N223</f>
        <v>5770.65</v>
      </c>
      <c r="R223" s="227">
        <v>43964</v>
      </c>
      <c r="S223" s="235" t="s">
        <v>3217</v>
      </c>
      <c r="T223" s="229" t="s">
        <v>3036</v>
      </c>
      <c r="U223" s="230" t="s">
        <v>3951</v>
      </c>
      <c r="V223" s="230"/>
      <c r="W223" s="232" t="e">
        <f ca="1">_xlfn.SINGLE(IF(AG223=0,"Yes","No"))</f>
        <v>#NAME?</v>
      </c>
      <c r="X223" s="459">
        <v>15</v>
      </c>
      <c r="Y223" s="228">
        <v>4205246</v>
      </c>
      <c r="Z223" s="236">
        <v>43964</v>
      </c>
      <c r="AA223" s="228"/>
      <c r="AB223" s="228"/>
      <c r="AC223" s="228"/>
      <c r="AD223" s="228"/>
      <c r="AE223" s="228"/>
      <c r="AF223" s="228"/>
      <c r="AG223" s="238">
        <f t="shared" ref="AG223:AG230" si="96">(Q223/P223)-X223-AA223-AD223</f>
        <v>0</v>
      </c>
      <c r="AH223" s="269" t="s">
        <v>92</v>
      </c>
      <c r="AI223" s="239" t="s">
        <v>2739</v>
      </c>
      <c r="AJ223" s="237">
        <f>+AG223</f>
        <v>0</v>
      </c>
      <c r="AK223" s="241" t="e">
        <f t="shared" ref="AK223:AK251" ca="1" si="97">_xlfn.SINGLE(IF(R223="TBD",49674,R223))</f>
        <v>#NAME?</v>
      </c>
      <c r="AL223" s="228" t="s">
        <v>3952</v>
      </c>
      <c r="AM223" s="228"/>
      <c r="AN223" s="228"/>
      <c r="AO223" s="228"/>
      <c r="AP223" s="228" t="s">
        <v>3953</v>
      </c>
      <c r="AQ223" s="228" t="s">
        <v>3954</v>
      </c>
      <c r="AR223" s="228" t="s">
        <v>3039</v>
      </c>
      <c r="AS223" s="242">
        <f>+Q223</f>
        <v>5770.65</v>
      </c>
      <c r="AT223" s="242">
        <f>+AS223*0.101</f>
        <v>582.83564999999999</v>
      </c>
      <c r="AU223" s="242">
        <v>0</v>
      </c>
      <c r="AV223" s="242">
        <v>0</v>
      </c>
      <c r="AW223" s="242">
        <f>SUBTOTAL(9,AS223:AV223)</f>
        <v>6353.4856499999996</v>
      </c>
      <c r="AX223" s="237">
        <v>15</v>
      </c>
      <c r="AY223" s="242" t="s">
        <v>2739</v>
      </c>
      <c r="AZ223" s="242">
        <f>+AW223/AX223</f>
        <v>423.56570999999997</v>
      </c>
      <c r="BA223" s="410" t="s">
        <v>2844</v>
      </c>
      <c r="BB223" s="242" t="s">
        <v>2739</v>
      </c>
      <c r="BC223" s="242">
        <v>1</v>
      </c>
      <c r="BD223" s="242">
        <f>+AZ223*BC223</f>
        <v>423.56570999999997</v>
      </c>
      <c r="BE223" s="228"/>
      <c r="BF223" s="228" t="s">
        <v>3955</v>
      </c>
      <c r="BG223" s="398" t="s">
        <v>3910</v>
      </c>
    </row>
    <row r="224" spans="1:59" s="228" customFormat="1" ht="15" customHeight="1">
      <c r="A224" s="271">
        <v>43959</v>
      </c>
      <c r="B224" s="266" t="s">
        <v>3596</v>
      </c>
      <c r="C224" s="229" t="s">
        <v>2971</v>
      </c>
      <c r="D224" s="267" t="s">
        <v>3956</v>
      </c>
      <c r="E224" s="268" t="s">
        <v>3957</v>
      </c>
      <c r="F224" s="231" t="s">
        <v>2846</v>
      </c>
      <c r="G224" s="231" t="s">
        <v>2846</v>
      </c>
      <c r="H224" s="289">
        <v>15</v>
      </c>
      <c r="I224" s="268" t="s">
        <v>2739</v>
      </c>
      <c r="J224" s="268" t="s">
        <v>2846</v>
      </c>
      <c r="K224" s="268" t="s">
        <v>2846</v>
      </c>
      <c r="L224" s="232">
        <v>1</v>
      </c>
      <c r="M224" s="232" t="s">
        <v>64</v>
      </c>
      <c r="N224" s="289">
        <f t="shared" si="95"/>
        <v>15</v>
      </c>
      <c r="O224" s="231" t="s">
        <v>2846</v>
      </c>
      <c r="P224" s="290">
        <v>75</v>
      </c>
      <c r="Q224" s="290">
        <f>P224*N224</f>
        <v>1125</v>
      </c>
      <c r="R224" s="227">
        <v>43964</v>
      </c>
      <c r="S224" s="235" t="s">
        <v>3217</v>
      </c>
      <c r="T224" s="229" t="s">
        <v>3036</v>
      </c>
      <c r="U224" s="230" t="s">
        <v>3951</v>
      </c>
      <c r="V224" s="230"/>
      <c r="W224" s="232" t="e">
        <f ca="1">_xlfn.SINGLE(IF(AG224=0,"Yes","No"))</f>
        <v>#NAME?</v>
      </c>
      <c r="X224" s="459">
        <v>15</v>
      </c>
      <c r="Y224" s="228">
        <v>4205246</v>
      </c>
      <c r="Z224" s="236">
        <v>43964</v>
      </c>
      <c r="AG224" s="238">
        <f t="shared" si="96"/>
        <v>0</v>
      </c>
      <c r="AH224" s="239" t="s">
        <v>2971</v>
      </c>
      <c r="AI224" s="239"/>
      <c r="AJ224" s="237">
        <f>+AG224</f>
        <v>0</v>
      </c>
      <c r="AK224" s="241" t="e">
        <f t="shared" ca="1" si="97"/>
        <v>#NAME?</v>
      </c>
      <c r="AL224" s="228" t="s">
        <v>3952</v>
      </c>
      <c r="AP224" s="228" t="s">
        <v>3958</v>
      </c>
      <c r="AQ224" s="228" t="s">
        <v>3954</v>
      </c>
      <c r="AR224" s="228" t="s">
        <v>3039</v>
      </c>
      <c r="AS224" s="242">
        <f>+Q224</f>
        <v>1125</v>
      </c>
      <c r="AT224" s="242">
        <f>+AS224*0.101</f>
        <v>113.62500000000001</v>
      </c>
      <c r="AU224" s="242">
        <v>0</v>
      </c>
      <c r="AV224" s="242">
        <v>0</v>
      </c>
      <c r="AW224" s="242">
        <f>SUBTOTAL(9,AS224:AV224)</f>
        <v>1238.625</v>
      </c>
      <c r="AX224" s="237">
        <f>+N224</f>
        <v>15</v>
      </c>
      <c r="AY224" s="242" t="s">
        <v>2739</v>
      </c>
      <c r="AZ224" s="242">
        <f>+AW224/AX224</f>
        <v>82.575000000000003</v>
      </c>
      <c r="BA224" s="242" t="s">
        <v>2845</v>
      </c>
      <c r="BB224" s="242" t="s">
        <v>2739</v>
      </c>
      <c r="BC224" s="242">
        <v>1</v>
      </c>
      <c r="BD224" s="242">
        <f>+AZ224*BC224</f>
        <v>82.575000000000003</v>
      </c>
      <c r="BF224" s="228" t="s">
        <v>3162</v>
      </c>
      <c r="BG224" s="271" t="s">
        <v>3910</v>
      </c>
    </row>
    <row r="225" spans="1:59" s="251" customFormat="1" ht="15" customHeight="1">
      <c r="A225" s="369">
        <v>43959</v>
      </c>
      <c r="B225" s="297" t="s">
        <v>3959</v>
      </c>
      <c r="C225" s="298" t="s">
        <v>3960</v>
      </c>
      <c r="D225" s="299" t="s">
        <v>3961</v>
      </c>
      <c r="E225" s="298">
        <v>310650026</v>
      </c>
      <c r="F225" s="300">
        <v>7040</v>
      </c>
      <c r="G225" s="300">
        <f>F225*H225</f>
        <v>35200</v>
      </c>
      <c r="H225" s="300">
        <v>5</v>
      </c>
      <c r="I225" s="301" t="s">
        <v>2739</v>
      </c>
      <c r="J225" s="301" t="s">
        <v>2846</v>
      </c>
      <c r="K225" s="301" t="s">
        <v>2846</v>
      </c>
      <c r="L225" s="302">
        <v>1</v>
      </c>
      <c r="M225" s="302" t="s">
        <v>64</v>
      </c>
      <c r="N225" s="303">
        <f t="shared" si="95"/>
        <v>5</v>
      </c>
      <c r="O225" s="300" t="s">
        <v>2846</v>
      </c>
      <c r="P225" s="304">
        <v>849.99</v>
      </c>
      <c r="Q225" s="305"/>
      <c r="R225" s="306" t="s">
        <v>2970</v>
      </c>
      <c r="S225" s="307" t="s">
        <v>3217</v>
      </c>
      <c r="T225" s="298" t="s">
        <v>3036</v>
      </c>
      <c r="U225" s="299" t="s">
        <v>3962</v>
      </c>
      <c r="V225" s="298"/>
      <c r="W225" s="302" t="s">
        <v>183</v>
      </c>
      <c r="X225" s="456">
        <v>0</v>
      </c>
      <c r="Y225" s="299"/>
      <c r="Z225" s="297"/>
      <c r="AA225" s="297"/>
      <c r="AB225" s="297"/>
      <c r="AC225" s="297"/>
      <c r="AD225" s="297"/>
      <c r="AE225" s="297"/>
      <c r="AF225" s="297"/>
      <c r="AG225" s="308">
        <f t="shared" si="96"/>
        <v>0</v>
      </c>
      <c r="AH225" s="383" t="s">
        <v>87</v>
      </c>
      <c r="AI225" s="298" t="s">
        <v>2849</v>
      </c>
      <c r="AJ225" s="309">
        <f>+AG225*55</f>
        <v>0</v>
      </c>
      <c r="AK225" s="310" t="e">
        <f t="shared" ca="1" si="97"/>
        <v>#NAME?</v>
      </c>
      <c r="AL225" s="307"/>
      <c r="AM225" s="298"/>
      <c r="AN225" s="298"/>
      <c r="AO225" s="298"/>
      <c r="AP225" s="297" t="s">
        <v>3963</v>
      </c>
      <c r="AQ225" s="297"/>
      <c r="AR225" s="297" t="s">
        <v>3039</v>
      </c>
      <c r="AS225" s="311"/>
      <c r="AT225" s="311"/>
      <c r="AU225" s="311"/>
      <c r="AV225" s="311"/>
      <c r="AW225" s="311"/>
      <c r="AX225" s="309">
        <f>+N225</f>
        <v>5</v>
      </c>
      <c r="AY225" s="311" t="s">
        <v>2849</v>
      </c>
      <c r="AZ225" s="311"/>
      <c r="BA225" s="390"/>
      <c r="BB225" s="311"/>
      <c r="BC225" s="311"/>
      <c r="BD225" s="311"/>
      <c r="BE225" s="297"/>
      <c r="BF225" s="297" t="s">
        <v>3137</v>
      </c>
      <c r="BG225" s="369" t="s">
        <v>3910</v>
      </c>
    </row>
    <row r="226" spans="1:59" s="96" customFormat="1" ht="15" customHeight="1">
      <c r="A226" s="369">
        <v>43959</v>
      </c>
      <c r="B226" s="297" t="s">
        <v>3959</v>
      </c>
      <c r="C226" s="298" t="s">
        <v>3960</v>
      </c>
      <c r="D226" s="299" t="s">
        <v>3964</v>
      </c>
      <c r="E226" s="298">
        <v>310650025</v>
      </c>
      <c r="F226" s="300">
        <v>640</v>
      </c>
      <c r="G226" s="300">
        <f>F226*H226</f>
        <v>2560</v>
      </c>
      <c r="H226" s="300">
        <v>4</v>
      </c>
      <c r="I226" s="301" t="s">
        <v>2739</v>
      </c>
      <c r="J226" s="301" t="s">
        <v>2846</v>
      </c>
      <c r="K226" s="301" t="s">
        <v>2846</v>
      </c>
      <c r="L226" s="302">
        <v>1</v>
      </c>
      <c r="M226" s="302" t="s">
        <v>64</v>
      </c>
      <c r="N226" s="303">
        <f t="shared" si="95"/>
        <v>4</v>
      </c>
      <c r="O226" s="300" t="s">
        <v>2846</v>
      </c>
      <c r="P226" s="304">
        <v>93.49</v>
      </c>
      <c r="Q226" s="305"/>
      <c r="R226" s="306" t="s">
        <v>2970</v>
      </c>
      <c r="S226" s="307" t="s">
        <v>3217</v>
      </c>
      <c r="T226" s="298" t="s">
        <v>3036</v>
      </c>
      <c r="U226" s="299" t="s">
        <v>3962</v>
      </c>
      <c r="V226" s="298"/>
      <c r="W226" s="302" t="s">
        <v>183</v>
      </c>
      <c r="X226" s="456">
        <v>0</v>
      </c>
      <c r="Y226" s="299"/>
      <c r="Z226" s="297"/>
      <c r="AA226" s="297"/>
      <c r="AB226" s="297"/>
      <c r="AC226" s="297"/>
      <c r="AD226" s="297"/>
      <c r="AE226" s="297"/>
      <c r="AF226" s="297"/>
      <c r="AG226" s="308">
        <f t="shared" si="96"/>
        <v>0</v>
      </c>
      <c r="AH226" s="383" t="s">
        <v>87</v>
      </c>
      <c r="AI226" s="298" t="s">
        <v>2849</v>
      </c>
      <c r="AJ226" s="309">
        <f>+AG226*5</f>
        <v>0</v>
      </c>
      <c r="AK226" s="310" t="e">
        <f t="shared" ca="1" si="97"/>
        <v>#NAME?</v>
      </c>
      <c r="AL226" s="307"/>
      <c r="AM226" s="298"/>
      <c r="AN226" s="298"/>
      <c r="AO226" s="298"/>
      <c r="AP226" s="297" t="s">
        <v>3965</v>
      </c>
      <c r="AQ226" s="297"/>
      <c r="AR226" s="297" t="s">
        <v>3039</v>
      </c>
      <c r="AS226" s="311"/>
      <c r="AT226" s="311"/>
      <c r="AU226" s="311"/>
      <c r="AV226" s="311"/>
      <c r="AW226" s="311"/>
      <c r="AX226" s="309">
        <f>+N226</f>
        <v>4</v>
      </c>
      <c r="AY226" s="311" t="s">
        <v>2849</v>
      </c>
      <c r="AZ226" s="311"/>
      <c r="BA226" s="390"/>
      <c r="BB226" s="311"/>
      <c r="BC226" s="311"/>
      <c r="BD226" s="311"/>
      <c r="BE226" s="297"/>
      <c r="BF226" s="297" t="s">
        <v>3137</v>
      </c>
      <c r="BG226" s="369" t="s">
        <v>3910</v>
      </c>
    </row>
    <row r="227" spans="1:59" s="96" customFormat="1" ht="15" customHeight="1">
      <c r="A227" s="227">
        <v>43963</v>
      </c>
      <c r="B227" s="228" t="s">
        <v>3056</v>
      </c>
      <c r="C227" s="229" t="s">
        <v>3685</v>
      </c>
      <c r="D227" s="230" t="s">
        <v>3966</v>
      </c>
      <c r="E227" s="229">
        <v>34400</v>
      </c>
      <c r="F227" s="231" t="s">
        <v>2846</v>
      </c>
      <c r="G227" s="231" t="s">
        <v>2846</v>
      </c>
      <c r="H227" s="231">
        <v>100</v>
      </c>
      <c r="I227" s="229" t="s">
        <v>3313</v>
      </c>
      <c r="J227" s="229">
        <v>10</v>
      </c>
      <c r="K227" s="229" t="s">
        <v>3688</v>
      </c>
      <c r="L227" s="232">
        <v>10</v>
      </c>
      <c r="M227" s="232" t="s">
        <v>2953</v>
      </c>
      <c r="N227" s="231">
        <f>H227*J227*L227</f>
        <v>10000</v>
      </c>
      <c r="O227" s="231">
        <f>J227*L227</f>
        <v>100</v>
      </c>
      <c r="P227" s="233">
        <v>9.25</v>
      </c>
      <c r="Q227" s="233">
        <f>P227*O227</f>
        <v>925</v>
      </c>
      <c r="R227" s="227">
        <v>43966</v>
      </c>
      <c r="S227" s="235" t="s">
        <v>3794</v>
      </c>
      <c r="T227" s="229" t="s">
        <v>3036</v>
      </c>
      <c r="U227" s="230" t="s">
        <v>3967</v>
      </c>
      <c r="V227" s="229"/>
      <c r="W227" s="232" t="e">
        <f t="shared" ref="W227:W250" ca="1" si="98">_xlfn.SINGLE(IF(AG227=0,"Yes","No"))</f>
        <v>#NAME?</v>
      </c>
      <c r="X227" s="456">
        <v>100</v>
      </c>
      <c r="Y227" s="230" t="s">
        <v>3968</v>
      </c>
      <c r="Z227" s="236">
        <v>43969</v>
      </c>
      <c r="AA227" s="228"/>
      <c r="AB227" s="228"/>
      <c r="AC227" s="228"/>
      <c r="AD227" s="228"/>
      <c r="AE227" s="228"/>
      <c r="AF227" s="228"/>
      <c r="AG227" s="238">
        <f t="shared" si="96"/>
        <v>0</v>
      </c>
      <c r="AH227" s="239" t="s">
        <v>80</v>
      </c>
      <c r="AI227" s="240" t="s">
        <v>2739</v>
      </c>
      <c r="AJ227" s="237">
        <f>+AG227*L227*J227</f>
        <v>0</v>
      </c>
      <c r="AK227" s="241" t="e">
        <f t="shared" ca="1" si="97"/>
        <v>#NAME?</v>
      </c>
      <c r="AL227" s="235" t="s">
        <v>3969</v>
      </c>
      <c r="AM227" s="229"/>
      <c r="AN227" s="229"/>
      <c r="AO227" s="229"/>
      <c r="AP227" s="228" t="s">
        <v>3970</v>
      </c>
      <c r="AQ227" s="228" t="s">
        <v>3971</v>
      </c>
      <c r="AR227" s="228" t="s">
        <v>3063</v>
      </c>
      <c r="AS227" s="242">
        <f t="shared" ref="AS227:AS249" si="99">+Q227</f>
        <v>925</v>
      </c>
      <c r="AT227" s="242">
        <f t="shared" ref="AT227:AT250" si="100">+AS227*0.101</f>
        <v>93.425000000000011</v>
      </c>
      <c r="AU227" s="242">
        <v>0</v>
      </c>
      <c r="AV227" s="242">
        <v>0</v>
      </c>
      <c r="AW227" s="242">
        <f t="shared" ref="AW227:AW245" si="101">SUBTOTAL(9,AS227:AV227)</f>
        <v>1018.425</v>
      </c>
      <c r="AX227" s="237">
        <f>+N227</f>
        <v>10000</v>
      </c>
      <c r="AY227" s="242" t="s">
        <v>2739</v>
      </c>
      <c r="AZ227" s="242">
        <f>+AW227/AX227</f>
        <v>0.10184249999999999</v>
      </c>
      <c r="BA227" s="242" t="s">
        <v>2725</v>
      </c>
      <c r="BB227" s="242" t="s">
        <v>2733</v>
      </c>
      <c r="BC227" s="242">
        <v>100</v>
      </c>
      <c r="BD227" s="242">
        <f t="shared" ref="BD227:BD260" si="102">+AZ227*BC227</f>
        <v>10.184249999999999</v>
      </c>
      <c r="BE227" s="228"/>
      <c r="BF227" s="228" t="s">
        <v>3137</v>
      </c>
      <c r="BG227" s="227" t="s">
        <v>3910</v>
      </c>
    </row>
    <row r="228" spans="1:59" s="228" customFormat="1" ht="15" customHeight="1">
      <c r="A228" s="21">
        <v>43963</v>
      </c>
      <c r="B228" s="96" t="s">
        <v>3310</v>
      </c>
      <c r="C228" s="22" t="s">
        <v>2971</v>
      </c>
      <c r="D228" s="97" t="s">
        <v>3978</v>
      </c>
      <c r="E228" s="22" t="s">
        <v>3979</v>
      </c>
      <c r="F228" s="69" t="s">
        <v>2846</v>
      </c>
      <c r="G228" s="69" t="s">
        <v>2846</v>
      </c>
      <c r="H228" s="70">
        <v>250</v>
      </c>
      <c r="I228" s="71" t="s">
        <v>2739</v>
      </c>
      <c r="J228" s="71" t="s">
        <v>2846</v>
      </c>
      <c r="K228" s="71" t="s">
        <v>2846</v>
      </c>
      <c r="L228" s="72">
        <v>1</v>
      </c>
      <c r="M228" s="72" t="s">
        <v>64</v>
      </c>
      <c r="N228" s="73">
        <f>H228</f>
        <v>250</v>
      </c>
      <c r="O228" s="73" t="s">
        <v>2846</v>
      </c>
      <c r="P228" s="74">
        <v>99</v>
      </c>
      <c r="Q228" s="74">
        <f>P228*N228</f>
        <v>24750</v>
      </c>
      <c r="R228" s="21" t="s">
        <v>2970</v>
      </c>
      <c r="S228" s="99" t="s">
        <v>3891</v>
      </c>
      <c r="T228" s="22" t="s">
        <v>3036</v>
      </c>
      <c r="U228" s="97" t="s">
        <v>3980</v>
      </c>
      <c r="V228" s="22"/>
      <c r="W228" s="72" t="e">
        <f t="shared" ca="1" si="98"/>
        <v>#NAME?</v>
      </c>
      <c r="X228" s="456">
        <v>0</v>
      </c>
      <c r="Y228" s="97"/>
      <c r="Z228" s="96"/>
      <c r="AA228" s="96"/>
      <c r="AB228" s="96"/>
      <c r="AC228" s="96"/>
      <c r="AD228" s="96"/>
      <c r="AE228" s="96"/>
      <c r="AF228" s="96"/>
      <c r="AG228" s="102">
        <f t="shared" si="96"/>
        <v>250</v>
      </c>
      <c r="AH228" s="174" t="s">
        <v>90</v>
      </c>
      <c r="AI228" s="22" t="s">
        <v>2739</v>
      </c>
      <c r="AJ228" s="101">
        <f t="shared" ref="AJ228:AJ233" si="103">+AG228</f>
        <v>250</v>
      </c>
      <c r="AK228" s="184" t="e">
        <f t="shared" ca="1" si="97"/>
        <v>#NAME?</v>
      </c>
      <c r="AL228" s="99"/>
      <c r="AM228" s="22"/>
      <c r="AN228" s="22"/>
      <c r="AO228" s="22"/>
      <c r="AP228" s="96" t="s">
        <v>3981</v>
      </c>
      <c r="AQ228" s="96"/>
      <c r="AR228" s="96" t="s">
        <v>3063</v>
      </c>
      <c r="AS228" s="199">
        <f t="shared" si="99"/>
        <v>24750</v>
      </c>
      <c r="AT228" s="199">
        <f t="shared" si="100"/>
        <v>2499.75</v>
      </c>
      <c r="AU228" s="199">
        <v>0</v>
      </c>
      <c r="AV228" s="199">
        <v>0</v>
      </c>
      <c r="AW228" s="199">
        <f t="shared" si="101"/>
        <v>27249.75</v>
      </c>
      <c r="AX228" s="101"/>
      <c r="AY228" s="199"/>
      <c r="AZ228" s="199"/>
      <c r="BA228" s="199" t="s">
        <v>3333</v>
      </c>
      <c r="BB228" s="199"/>
      <c r="BC228" s="199"/>
      <c r="BD228" s="199">
        <f t="shared" si="102"/>
        <v>0</v>
      </c>
      <c r="BE228" s="96"/>
      <c r="BF228" s="96" t="s">
        <v>3137</v>
      </c>
      <c r="BG228" s="21" t="s">
        <v>3910</v>
      </c>
    </row>
    <row r="229" spans="1:59" s="228" customFormat="1" ht="15" customHeight="1">
      <c r="A229" s="21">
        <v>43963</v>
      </c>
      <c r="B229" s="96" t="s">
        <v>3310</v>
      </c>
      <c r="C229" s="22" t="s">
        <v>2971</v>
      </c>
      <c r="D229" s="97" t="s">
        <v>3982</v>
      </c>
      <c r="E229" s="22">
        <v>2428</v>
      </c>
      <c r="F229" s="69" t="s">
        <v>2846</v>
      </c>
      <c r="G229" s="69" t="s">
        <v>2846</v>
      </c>
      <c r="H229" s="70">
        <v>250</v>
      </c>
      <c r="I229" s="71" t="s">
        <v>2739</v>
      </c>
      <c r="J229" s="71" t="s">
        <v>2846</v>
      </c>
      <c r="K229" s="71" t="s">
        <v>2846</v>
      </c>
      <c r="L229" s="72">
        <v>1</v>
      </c>
      <c r="M229" s="72" t="s">
        <v>64</v>
      </c>
      <c r="N229" s="73">
        <v>250</v>
      </c>
      <c r="O229" s="73" t="s">
        <v>2846</v>
      </c>
      <c r="P229" s="74">
        <v>16</v>
      </c>
      <c r="Q229" s="74">
        <f>P229*N229</f>
        <v>4000</v>
      </c>
      <c r="R229" s="21" t="s">
        <v>2970</v>
      </c>
      <c r="S229" s="99" t="s">
        <v>3891</v>
      </c>
      <c r="T229" s="22" t="s">
        <v>3036</v>
      </c>
      <c r="U229" s="97" t="s">
        <v>3980</v>
      </c>
      <c r="V229" s="22"/>
      <c r="W229" s="72" t="e">
        <f t="shared" ca="1" si="98"/>
        <v>#NAME?</v>
      </c>
      <c r="X229" s="456">
        <v>0</v>
      </c>
      <c r="Y229" s="97"/>
      <c r="Z229" s="96"/>
      <c r="AA229" s="96"/>
      <c r="AB229" s="96"/>
      <c r="AC229" s="96"/>
      <c r="AD229" s="96"/>
      <c r="AE229" s="96"/>
      <c r="AF229" s="96"/>
      <c r="AG229" s="102">
        <f t="shared" si="96"/>
        <v>250</v>
      </c>
      <c r="AH229" s="174" t="s">
        <v>91</v>
      </c>
      <c r="AI229" s="22" t="s">
        <v>2739</v>
      </c>
      <c r="AJ229" s="101">
        <f t="shared" si="103"/>
        <v>250</v>
      </c>
      <c r="AK229" s="184" t="e">
        <f t="shared" ca="1" si="97"/>
        <v>#NAME?</v>
      </c>
      <c r="AL229" s="99"/>
      <c r="AM229" s="22"/>
      <c r="AN229" s="22"/>
      <c r="AO229" s="22"/>
      <c r="AP229" s="96" t="s">
        <v>3983</v>
      </c>
      <c r="AQ229" s="96"/>
      <c r="AR229" s="96" t="s">
        <v>3063</v>
      </c>
      <c r="AS229" s="199">
        <f t="shared" si="99"/>
        <v>4000</v>
      </c>
      <c r="AT229" s="199">
        <f t="shared" si="100"/>
        <v>404</v>
      </c>
      <c r="AU229" s="199">
        <v>0</v>
      </c>
      <c r="AV229" s="199">
        <v>0</v>
      </c>
      <c r="AW229" s="199">
        <f t="shared" si="101"/>
        <v>4404</v>
      </c>
      <c r="AX229" s="101"/>
      <c r="AY229" s="199"/>
      <c r="AZ229" s="199"/>
      <c r="BA229" s="199" t="s">
        <v>3333</v>
      </c>
      <c r="BB229" s="199"/>
      <c r="BC229" s="199"/>
      <c r="BD229" s="199">
        <f t="shared" si="102"/>
        <v>0</v>
      </c>
      <c r="BE229" s="96"/>
      <c r="BF229" s="96" t="s">
        <v>3137</v>
      </c>
      <c r="BG229" s="21" t="s">
        <v>3910</v>
      </c>
    </row>
    <row r="230" spans="1:59" s="96" customFormat="1" ht="15" customHeight="1">
      <c r="A230" s="227">
        <v>43964</v>
      </c>
      <c r="B230" s="228" t="s">
        <v>3714</v>
      </c>
      <c r="C230" s="229" t="s">
        <v>3695</v>
      </c>
      <c r="D230" s="230" t="s">
        <v>3984</v>
      </c>
      <c r="E230" s="229" t="s">
        <v>3985</v>
      </c>
      <c r="F230" s="231">
        <v>32</v>
      </c>
      <c r="G230" s="231">
        <v>528000</v>
      </c>
      <c r="H230" s="231">
        <v>16500</v>
      </c>
      <c r="I230" s="229" t="s">
        <v>3132</v>
      </c>
      <c r="J230" s="229" t="s">
        <v>2846</v>
      </c>
      <c r="K230" s="229" t="s">
        <v>2846</v>
      </c>
      <c r="L230" s="232">
        <v>1</v>
      </c>
      <c r="M230" s="232" t="s">
        <v>64</v>
      </c>
      <c r="N230" s="231">
        <v>16500</v>
      </c>
      <c r="O230" s="231" t="s">
        <v>2846</v>
      </c>
      <c r="P230" s="233">
        <v>8.85</v>
      </c>
      <c r="Q230" s="233">
        <f>N230*P230</f>
        <v>146025</v>
      </c>
      <c r="R230" s="227">
        <v>43979</v>
      </c>
      <c r="S230" s="235" t="s">
        <v>3986</v>
      </c>
      <c r="T230" s="229" t="s">
        <v>3036</v>
      </c>
      <c r="U230" s="230" t="s">
        <v>3987</v>
      </c>
      <c r="V230" s="229"/>
      <c r="W230" s="232" t="e">
        <f t="shared" ca="1" si="98"/>
        <v>#NAME?</v>
      </c>
      <c r="X230" s="456">
        <f>15900+600</f>
        <v>16500</v>
      </c>
      <c r="Y230" s="230" t="s">
        <v>3988</v>
      </c>
      <c r="Z230" s="236">
        <v>43994</v>
      </c>
      <c r="AA230" s="228"/>
      <c r="AB230" s="228"/>
      <c r="AC230" s="228"/>
      <c r="AD230" s="228"/>
      <c r="AE230" s="228"/>
      <c r="AF230" s="228"/>
      <c r="AG230" s="238">
        <f t="shared" si="96"/>
        <v>0</v>
      </c>
      <c r="AH230" s="239" t="s">
        <v>86</v>
      </c>
      <c r="AI230" s="229" t="s">
        <v>2736</v>
      </c>
      <c r="AJ230" s="237">
        <f t="shared" si="103"/>
        <v>0</v>
      </c>
      <c r="AK230" s="241" t="e">
        <f t="shared" ca="1" si="97"/>
        <v>#NAME?</v>
      </c>
      <c r="AL230" s="235" t="s">
        <v>3989</v>
      </c>
      <c r="AM230" s="229"/>
      <c r="AN230" s="229"/>
      <c r="AO230" s="229"/>
      <c r="AP230" s="228" t="s">
        <v>3990</v>
      </c>
      <c r="AQ230" s="228" t="s">
        <v>3991</v>
      </c>
      <c r="AR230" s="228" t="s">
        <v>3063</v>
      </c>
      <c r="AS230" s="242">
        <f t="shared" si="99"/>
        <v>146025</v>
      </c>
      <c r="AT230" s="242">
        <f t="shared" si="100"/>
        <v>14748.525000000001</v>
      </c>
      <c r="AU230" s="242">
        <v>0</v>
      </c>
      <c r="AV230" s="242">
        <v>0</v>
      </c>
      <c r="AW230" s="242">
        <f t="shared" si="101"/>
        <v>160773.52499999999</v>
      </c>
      <c r="AX230" s="237">
        <f>+N230</f>
        <v>16500</v>
      </c>
      <c r="AY230" s="242" t="s">
        <v>2739</v>
      </c>
      <c r="AZ230" s="242">
        <f t="shared" ref="AZ230:AZ238" si="104">+AW230/AX230</f>
        <v>9.7438500000000001</v>
      </c>
      <c r="BA230" s="242" t="s">
        <v>2836</v>
      </c>
      <c r="BB230" s="242" t="s">
        <v>2739</v>
      </c>
      <c r="BC230" s="242">
        <v>1</v>
      </c>
      <c r="BD230" s="242">
        <f t="shared" si="102"/>
        <v>9.7438500000000001</v>
      </c>
      <c r="BE230" s="228"/>
      <c r="BF230" s="228" t="s">
        <v>3137</v>
      </c>
      <c r="BG230" s="227" t="s">
        <v>3910</v>
      </c>
    </row>
    <row r="231" spans="1:59" s="96" customFormat="1" ht="15" customHeight="1">
      <c r="A231" s="271">
        <v>43965</v>
      </c>
      <c r="B231" s="266" t="s">
        <v>3310</v>
      </c>
      <c r="C231" s="268" t="s">
        <v>78</v>
      </c>
      <c r="D231" s="267" t="s">
        <v>3992</v>
      </c>
      <c r="E231" s="268" t="s">
        <v>3993</v>
      </c>
      <c r="F231" s="272" t="s">
        <v>2846</v>
      </c>
      <c r="G231" s="272" t="s">
        <v>2846</v>
      </c>
      <c r="H231" s="272">
        <v>160</v>
      </c>
      <c r="I231" s="268" t="s">
        <v>3313</v>
      </c>
      <c r="J231" s="268">
        <v>500</v>
      </c>
      <c r="K231" s="268" t="s">
        <v>3314</v>
      </c>
      <c r="L231" s="273">
        <v>1</v>
      </c>
      <c r="M231" s="273" t="s">
        <v>64</v>
      </c>
      <c r="N231" s="272">
        <f>H231*J231</f>
        <v>80000</v>
      </c>
      <c r="O231" s="272">
        <v>500</v>
      </c>
      <c r="P231" s="274">
        <v>5.9</v>
      </c>
      <c r="Q231" s="275">
        <f>O231*P231</f>
        <v>2950</v>
      </c>
      <c r="R231" s="271">
        <v>43987</v>
      </c>
      <c r="S231" s="276" t="s">
        <v>3891</v>
      </c>
      <c r="T231" s="268" t="s">
        <v>3036</v>
      </c>
      <c r="U231" s="267" t="s">
        <v>3994</v>
      </c>
      <c r="V231" s="229"/>
      <c r="W231" s="232" t="e">
        <f t="shared" ca="1" si="98"/>
        <v>#NAME?</v>
      </c>
      <c r="X231" s="456">
        <v>120</v>
      </c>
      <c r="Y231" s="230">
        <v>122126</v>
      </c>
      <c r="Z231" s="236">
        <v>43984</v>
      </c>
      <c r="AA231" s="228">
        <v>380</v>
      </c>
      <c r="AB231" s="228">
        <v>122369</v>
      </c>
      <c r="AC231" s="236">
        <v>43987</v>
      </c>
      <c r="AD231" s="228"/>
      <c r="AE231" s="228"/>
      <c r="AF231" s="228"/>
      <c r="AG231" s="238">
        <v>0</v>
      </c>
      <c r="AH231" s="239" t="s">
        <v>78</v>
      </c>
      <c r="AI231" s="229" t="s">
        <v>79</v>
      </c>
      <c r="AJ231" s="237">
        <f t="shared" si="103"/>
        <v>0</v>
      </c>
      <c r="AK231" s="241" t="e">
        <f t="shared" ca="1" si="97"/>
        <v>#NAME?</v>
      </c>
      <c r="AL231" s="235" t="s">
        <v>3995</v>
      </c>
      <c r="AM231" s="229"/>
      <c r="AN231" s="229"/>
      <c r="AO231" s="229"/>
      <c r="AP231" s="228" t="s">
        <v>3996</v>
      </c>
      <c r="AQ231" s="228" t="s">
        <v>3997</v>
      </c>
      <c r="AR231" s="228" t="s">
        <v>3063</v>
      </c>
      <c r="AS231" s="242">
        <f t="shared" si="99"/>
        <v>2950</v>
      </c>
      <c r="AT231" s="242">
        <f t="shared" si="100"/>
        <v>297.95000000000005</v>
      </c>
      <c r="AU231" s="242">
        <v>0</v>
      </c>
      <c r="AV231" s="242">
        <v>0</v>
      </c>
      <c r="AW231" s="242">
        <f t="shared" si="101"/>
        <v>3247.95</v>
      </c>
      <c r="AX231" s="237">
        <v>500</v>
      </c>
      <c r="AY231" s="237" t="s">
        <v>2724</v>
      </c>
      <c r="AZ231" s="242">
        <f t="shared" si="104"/>
        <v>6.4958999999999998</v>
      </c>
      <c r="BA231" s="242" t="s">
        <v>2721</v>
      </c>
      <c r="BB231" s="237" t="s">
        <v>2739</v>
      </c>
      <c r="BC231" s="242">
        <v>1</v>
      </c>
      <c r="BD231" s="242">
        <f t="shared" si="102"/>
        <v>6.4958999999999998</v>
      </c>
      <c r="BE231" s="228"/>
      <c r="BF231" s="228" t="s">
        <v>3137</v>
      </c>
      <c r="BG231" s="271" t="s">
        <v>3910</v>
      </c>
    </row>
    <row r="232" spans="1:59" s="228" customFormat="1" ht="15" customHeight="1">
      <c r="A232" s="21">
        <v>43966</v>
      </c>
      <c r="B232" s="96" t="s">
        <v>3310</v>
      </c>
      <c r="C232" s="22" t="s">
        <v>3384</v>
      </c>
      <c r="D232" s="97" t="s">
        <v>3998</v>
      </c>
      <c r="E232" s="22"/>
      <c r="F232" s="69" t="s">
        <v>2846</v>
      </c>
      <c r="G232" s="69" t="s">
        <v>2846</v>
      </c>
      <c r="H232" s="70">
        <v>20</v>
      </c>
      <c r="I232" s="71" t="s">
        <v>1269</v>
      </c>
      <c r="J232" s="71">
        <v>25004</v>
      </c>
      <c r="K232" s="71" t="s">
        <v>2733</v>
      </c>
      <c r="L232" s="72">
        <v>1</v>
      </c>
      <c r="M232" s="72" t="s">
        <v>64</v>
      </c>
      <c r="N232" s="73">
        <f>H232*J232</f>
        <v>500080</v>
      </c>
      <c r="O232" s="73" t="s">
        <v>2846</v>
      </c>
      <c r="P232" s="74">
        <v>1.5</v>
      </c>
      <c r="Q232" s="74">
        <f>N232*P232</f>
        <v>750120</v>
      </c>
      <c r="R232" s="21">
        <v>44043</v>
      </c>
      <c r="S232" s="99" t="s">
        <v>3891</v>
      </c>
      <c r="T232" s="22" t="s">
        <v>3036</v>
      </c>
      <c r="U232" s="97" t="s">
        <v>3999</v>
      </c>
      <c r="V232" s="22"/>
      <c r="W232" s="72" t="e">
        <f t="shared" ca="1" si="98"/>
        <v>#NAME?</v>
      </c>
      <c r="X232" s="462">
        <v>6400</v>
      </c>
      <c r="Y232" s="97">
        <v>122704</v>
      </c>
      <c r="Z232" s="100">
        <v>43998</v>
      </c>
      <c r="AA232" s="96">
        <v>11200</v>
      </c>
      <c r="AB232" s="96">
        <v>122967</v>
      </c>
      <c r="AC232" s="100">
        <v>44019</v>
      </c>
      <c r="AD232" s="96">
        <f>2400+16+40+400+80+144</f>
        <v>3080</v>
      </c>
      <c r="AE232" s="96" t="s">
        <v>4000</v>
      </c>
      <c r="AF232" s="100">
        <v>44018</v>
      </c>
      <c r="AG232" s="102">
        <f>(Q232/P232)-X232-AA232-AD232</f>
        <v>479400</v>
      </c>
      <c r="AH232" s="278" t="s">
        <v>66</v>
      </c>
      <c r="AI232" s="22" t="s">
        <v>2739</v>
      </c>
      <c r="AJ232" s="101">
        <f t="shared" si="103"/>
        <v>479400</v>
      </c>
      <c r="AK232" s="184" t="e">
        <f t="shared" ca="1" si="97"/>
        <v>#NAME?</v>
      </c>
      <c r="AL232" s="99" t="s">
        <v>4001</v>
      </c>
      <c r="AM232" s="22"/>
      <c r="AN232" s="22"/>
      <c r="AO232" s="22"/>
      <c r="AP232" s="96" t="s">
        <v>4002</v>
      </c>
      <c r="AQ232" s="96"/>
      <c r="AR232" s="96" t="s">
        <v>3063</v>
      </c>
      <c r="AS232" s="199">
        <f t="shared" si="99"/>
        <v>750120</v>
      </c>
      <c r="AT232" s="199">
        <f t="shared" si="100"/>
        <v>75762.12000000001</v>
      </c>
      <c r="AU232" s="199">
        <v>0</v>
      </c>
      <c r="AV232" s="199">
        <v>0</v>
      </c>
      <c r="AW232" s="199">
        <f t="shared" si="101"/>
        <v>825882.12</v>
      </c>
      <c r="AX232" s="101">
        <f>+N232</f>
        <v>500080</v>
      </c>
      <c r="AY232" s="199" t="s">
        <v>2739</v>
      </c>
      <c r="AZ232" s="199">
        <f t="shared" si="104"/>
        <v>1.6515</v>
      </c>
      <c r="BA232" s="199" t="s">
        <v>2742</v>
      </c>
      <c r="BB232" s="199" t="s">
        <v>2733</v>
      </c>
      <c r="BC232" s="199">
        <v>10</v>
      </c>
      <c r="BD232" s="199">
        <f t="shared" si="102"/>
        <v>16.515000000000001</v>
      </c>
      <c r="BE232" s="96"/>
      <c r="BF232" s="96" t="s">
        <v>36</v>
      </c>
      <c r="BG232" s="21" t="s">
        <v>3910</v>
      </c>
    </row>
    <row r="233" spans="1:59" s="228" customFormat="1" ht="15" customHeight="1">
      <c r="A233" s="21">
        <v>43966</v>
      </c>
      <c r="B233" s="96" t="s">
        <v>4024</v>
      </c>
      <c r="C233" s="22" t="s">
        <v>3384</v>
      </c>
      <c r="D233" s="97" t="s">
        <v>4116</v>
      </c>
      <c r="E233" s="22" t="s">
        <v>4117</v>
      </c>
      <c r="F233" s="69" t="s">
        <v>2846</v>
      </c>
      <c r="G233" s="69" t="s">
        <v>2846</v>
      </c>
      <c r="H233" s="70">
        <v>20</v>
      </c>
      <c r="I233" s="71" t="s">
        <v>1269</v>
      </c>
      <c r="J233" s="71">
        <v>10</v>
      </c>
      <c r="K233" s="71" t="s">
        <v>2733</v>
      </c>
      <c r="L233" s="72">
        <v>2500</v>
      </c>
      <c r="M233" s="72" t="s">
        <v>2953</v>
      </c>
      <c r="N233" s="73">
        <f>H233*J233*L233</f>
        <v>500000</v>
      </c>
      <c r="O233" s="73">
        <v>200</v>
      </c>
      <c r="P233" s="74">
        <v>1.85</v>
      </c>
      <c r="Q233" s="74">
        <f>N233*P233</f>
        <v>925000</v>
      </c>
      <c r="R233" s="22" t="s">
        <v>2970</v>
      </c>
      <c r="S233" s="99" t="s">
        <v>3891</v>
      </c>
      <c r="T233" s="22" t="s">
        <v>3036</v>
      </c>
      <c r="U233" s="97" t="s">
        <v>4118</v>
      </c>
      <c r="V233" s="22"/>
      <c r="W233" s="72" t="e">
        <f t="shared" ca="1" si="98"/>
        <v>#NAME?</v>
      </c>
      <c r="X233" s="456">
        <v>0</v>
      </c>
      <c r="Y233" s="97"/>
      <c r="Z233" s="96"/>
      <c r="AA233" s="96"/>
      <c r="AB233" s="96"/>
      <c r="AC233" s="96"/>
      <c r="AD233" s="96"/>
      <c r="AE233" s="96"/>
      <c r="AF233" s="96"/>
      <c r="AG233" s="102">
        <f>(Q233/P233)-X233-AA233-AD233</f>
        <v>500000</v>
      </c>
      <c r="AH233" s="278" t="s">
        <v>66</v>
      </c>
      <c r="AI233" s="22" t="s">
        <v>2739</v>
      </c>
      <c r="AJ233" s="101">
        <f t="shared" si="103"/>
        <v>500000</v>
      </c>
      <c r="AK233" s="184" t="e">
        <f t="shared" ca="1" si="97"/>
        <v>#NAME?</v>
      </c>
      <c r="AL233" s="99"/>
      <c r="AM233" s="22"/>
      <c r="AN233" s="22"/>
      <c r="AO233" s="22"/>
      <c r="AP233" s="96" t="s">
        <v>4119</v>
      </c>
      <c r="AQ233" s="96"/>
      <c r="AR233" s="96" t="s">
        <v>3063</v>
      </c>
      <c r="AS233" s="199">
        <f t="shared" si="99"/>
        <v>925000</v>
      </c>
      <c r="AT233" s="199">
        <f t="shared" si="100"/>
        <v>93425</v>
      </c>
      <c r="AU233" s="199">
        <v>0</v>
      </c>
      <c r="AV233" s="199">
        <v>0</v>
      </c>
      <c r="AW233" s="199">
        <f t="shared" si="101"/>
        <v>1018425</v>
      </c>
      <c r="AX233" s="101">
        <f>+N233</f>
        <v>500000</v>
      </c>
      <c r="AY233" s="199" t="s">
        <v>2739</v>
      </c>
      <c r="AZ233" s="199">
        <f t="shared" si="104"/>
        <v>2.0368499999999998</v>
      </c>
      <c r="BA233" s="199" t="s">
        <v>2742</v>
      </c>
      <c r="BB233" s="199" t="s">
        <v>2733</v>
      </c>
      <c r="BC233" s="199">
        <v>10</v>
      </c>
      <c r="BD233" s="199">
        <f t="shared" si="102"/>
        <v>20.368499999999997</v>
      </c>
      <c r="BE233" s="96"/>
      <c r="BF233" s="96" t="s">
        <v>36</v>
      </c>
      <c r="BG233" s="21" t="s">
        <v>3910</v>
      </c>
    </row>
    <row r="234" spans="1:59" s="228" customFormat="1" ht="15" customHeight="1">
      <c r="A234" s="227">
        <v>43970</v>
      </c>
      <c r="B234" s="228" t="s">
        <v>4003</v>
      </c>
      <c r="C234" s="229" t="s">
        <v>3960</v>
      </c>
      <c r="D234" s="230" t="s">
        <v>4004</v>
      </c>
      <c r="E234" s="237" t="s">
        <v>4005</v>
      </c>
      <c r="F234" s="231">
        <v>7040</v>
      </c>
      <c r="G234" s="231">
        <v>14080</v>
      </c>
      <c r="H234" s="231">
        <v>2</v>
      </c>
      <c r="I234" s="229" t="s">
        <v>4006</v>
      </c>
      <c r="J234" s="229" t="s">
        <v>2846</v>
      </c>
      <c r="K234" s="229" t="s">
        <v>2846</v>
      </c>
      <c r="L234" s="232">
        <v>1</v>
      </c>
      <c r="M234" s="232" t="s">
        <v>4007</v>
      </c>
      <c r="N234" s="231">
        <v>2</v>
      </c>
      <c r="O234" s="231" t="s">
        <v>4008</v>
      </c>
      <c r="P234" s="233">
        <v>1039.21</v>
      </c>
      <c r="Q234" s="233">
        <v>2078.42</v>
      </c>
      <c r="R234" s="227">
        <v>43980</v>
      </c>
      <c r="S234" s="235" t="s">
        <v>3891</v>
      </c>
      <c r="T234" s="229" t="s">
        <v>3036</v>
      </c>
      <c r="U234" s="230" t="s">
        <v>4009</v>
      </c>
      <c r="V234" s="229"/>
      <c r="W234" s="232" t="e">
        <f t="shared" ca="1" si="98"/>
        <v>#NAME?</v>
      </c>
      <c r="X234" s="456">
        <v>2</v>
      </c>
      <c r="Y234" s="230">
        <v>777</v>
      </c>
      <c r="Z234" s="236">
        <v>43997</v>
      </c>
      <c r="AG234" s="238">
        <f>(Q234/P234)-X234-AA234-AD234</f>
        <v>0</v>
      </c>
      <c r="AH234" s="239" t="s">
        <v>87</v>
      </c>
      <c r="AI234" s="229" t="s">
        <v>2849</v>
      </c>
      <c r="AJ234" s="237">
        <f>+AG234*55</f>
        <v>0</v>
      </c>
      <c r="AK234" s="241" t="e">
        <f t="shared" ca="1" si="97"/>
        <v>#NAME?</v>
      </c>
      <c r="AL234" s="235" t="s">
        <v>4010</v>
      </c>
      <c r="AM234" s="229"/>
      <c r="AN234" s="229"/>
      <c r="AO234" s="229"/>
      <c r="AP234" s="228" t="s">
        <v>4011</v>
      </c>
      <c r="AQ234" s="228" t="s">
        <v>4012</v>
      </c>
      <c r="AR234" s="228" t="s">
        <v>3039</v>
      </c>
      <c r="AS234" s="242">
        <f t="shared" si="99"/>
        <v>2078.42</v>
      </c>
      <c r="AT234" s="242">
        <f t="shared" si="100"/>
        <v>209.92042000000001</v>
      </c>
      <c r="AU234" s="242">
        <v>0</v>
      </c>
      <c r="AV234" s="242">
        <v>0</v>
      </c>
      <c r="AW234" s="242">
        <f t="shared" si="101"/>
        <v>2288.34042</v>
      </c>
      <c r="AX234" s="237">
        <f>+N234</f>
        <v>2</v>
      </c>
      <c r="AY234" s="242" t="s">
        <v>2959</v>
      </c>
      <c r="AZ234" s="242">
        <f t="shared" si="104"/>
        <v>1144.17021</v>
      </c>
      <c r="BA234" s="279" t="s">
        <v>2850</v>
      </c>
      <c r="BB234" s="242" t="s">
        <v>2959</v>
      </c>
      <c r="BC234" s="242">
        <v>1</v>
      </c>
      <c r="BD234" s="242">
        <f t="shared" si="102"/>
        <v>1144.17021</v>
      </c>
      <c r="BF234" s="228" t="s">
        <v>3137</v>
      </c>
      <c r="BG234" s="227" t="s">
        <v>3910</v>
      </c>
    </row>
    <row r="235" spans="1:59" s="96" customFormat="1" ht="15" customHeight="1">
      <c r="A235" s="227">
        <v>43970</v>
      </c>
      <c r="B235" s="228" t="s">
        <v>4003</v>
      </c>
      <c r="C235" s="229" t="s">
        <v>3960</v>
      </c>
      <c r="D235" s="230" t="s">
        <v>4013</v>
      </c>
      <c r="E235" s="229" t="s">
        <v>4014</v>
      </c>
      <c r="F235" s="231">
        <v>640</v>
      </c>
      <c r="G235" s="231">
        <v>14080</v>
      </c>
      <c r="H235" s="231">
        <v>22</v>
      </c>
      <c r="I235" s="229" t="s">
        <v>4015</v>
      </c>
      <c r="J235" s="229" t="s">
        <v>2846</v>
      </c>
      <c r="K235" s="229" t="s">
        <v>2846</v>
      </c>
      <c r="L235" s="232">
        <v>1</v>
      </c>
      <c r="M235" s="232" t="s">
        <v>4007</v>
      </c>
      <c r="N235" s="231">
        <v>22</v>
      </c>
      <c r="O235" s="231" t="s">
        <v>4008</v>
      </c>
      <c r="P235" s="233">
        <v>151.4</v>
      </c>
      <c r="Q235" s="233">
        <v>3330.8</v>
      </c>
      <c r="R235" s="227">
        <v>43980</v>
      </c>
      <c r="S235" s="235" t="s">
        <v>3891</v>
      </c>
      <c r="T235" s="229" t="s">
        <v>3036</v>
      </c>
      <c r="U235" s="230" t="s">
        <v>4009</v>
      </c>
      <c r="V235" s="229"/>
      <c r="W235" s="232" t="e">
        <f t="shared" ca="1" si="98"/>
        <v>#NAME?</v>
      </c>
      <c r="X235" s="456">
        <v>22</v>
      </c>
      <c r="Y235" s="230">
        <v>777</v>
      </c>
      <c r="Z235" s="236">
        <v>43997</v>
      </c>
      <c r="AA235" s="228"/>
      <c r="AB235" s="228"/>
      <c r="AC235" s="228"/>
      <c r="AD235" s="228"/>
      <c r="AE235" s="228"/>
      <c r="AF235" s="228"/>
      <c r="AG235" s="238">
        <f>(Q235/P235)-X235-AA235-AD235</f>
        <v>0</v>
      </c>
      <c r="AH235" s="239" t="s">
        <v>87</v>
      </c>
      <c r="AI235" s="229" t="s">
        <v>2849</v>
      </c>
      <c r="AJ235" s="237">
        <f>+AG235*5</f>
        <v>0</v>
      </c>
      <c r="AK235" s="241" t="e">
        <f t="shared" ca="1" si="97"/>
        <v>#NAME?</v>
      </c>
      <c r="AL235" s="235" t="s">
        <v>4016</v>
      </c>
      <c r="AM235" s="229"/>
      <c r="AN235" s="229"/>
      <c r="AO235" s="229"/>
      <c r="AP235" s="228" t="s">
        <v>4017</v>
      </c>
      <c r="AQ235" s="228" t="s">
        <v>4012</v>
      </c>
      <c r="AR235" s="228" t="s">
        <v>3039</v>
      </c>
      <c r="AS235" s="242">
        <f t="shared" si="99"/>
        <v>3330.8</v>
      </c>
      <c r="AT235" s="242">
        <f t="shared" si="100"/>
        <v>336.41080000000005</v>
      </c>
      <c r="AU235" s="242">
        <v>0</v>
      </c>
      <c r="AV235" s="242">
        <v>0</v>
      </c>
      <c r="AW235" s="242">
        <f t="shared" si="101"/>
        <v>3667.2108000000003</v>
      </c>
      <c r="AX235" s="237">
        <f>+N235</f>
        <v>22</v>
      </c>
      <c r="AY235" s="242" t="s">
        <v>2849</v>
      </c>
      <c r="AZ235" s="242">
        <f t="shared" si="104"/>
        <v>166.69140000000002</v>
      </c>
      <c r="BA235" s="279" t="s">
        <v>2847</v>
      </c>
      <c r="BB235" s="242" t="s">
        <v>2849</v>
      </c>
      <c r="BC235" s="242">
        <v>5</v>
      </c>
      <c r="BD235" s="242">
        <f t="shared" si="102"/>
        <v>833.45700000000011</v>
      </c>
      <c r="BE235" s="228"/>
      <c r="BF235" s="228" t="s">
        <v>3137</v>
      </c>
      <c r="BG235" s="227" t="s">
        <v>3910</v>
      </c>
    </row>
    <row r="236" spans="1:59" s="228" customFormat="1" ht="15" customHeight="1">
      <c r="A236" s="227">
        <v>43972</v>
      </c>
      <c r="B236" s="228" t="s">
        <v>3924</v>
      </c>
      <c r="C236" s="229" t="s">
        <v>1584</v>
      </c>
      <c r="D236" s="230" t="s">
        <v>4035</v>
      </c>
      <c r="E236" s="229"/>
      <c r="F236" s="231">
        <v>16.899999999999999</v>
      </c>
      <c r="G236" s="231">
        <v>371800</v>
      </c>
      <c r="H236" s="231">
        <v>22000</v>
      </c>
      <c r="I236" s="229" t="s">
        <v>3132</v>
      </c>
      <c r="J236" s="229" t="s">
        <v>2846</v>
      </c>
      <c r="K236" s="229" t="s">
        <v>2846</v>
      </c>
      <c r="L236" s="232">
        <v>1</v>
      </c>
      <c r="M236" s="232" t="s">
        <v>4007</v>
      </c>
      <c r="N236" s="231">
        <v>22000</v>
      </c>
      <c r="O236" s="231" t="s">
        <v>4008</v>
      </c>
      <c r="P236" s="233">
        <v>3.25</v>
      </c>
      <c r="Q236" s="233">
        <v>71500</v>
      </c>
      <c r="R236" s="227">
        <v>44022</v>
      </c>
      <c r="S236" s="235" t="s">
        <v>3891</v>
      </c>
      <c r="T236" s="229" t="s">
        <v>3036</v>
      </c>
      <c r="U236" s="230" t="s">
        <v>4036</v>
      </c>
      <c r="V236" s="229"/>
      <c r="W236" s="232" t="e">
        <f t="shared" ca="1" si="98"/>
        <v>#NAME?</v>
      </c>
      <c r="X236" s="459">
        <v>22000</v>
      </c>
      <c r="Y236" s="230" t="s">
        <v>4037</v>
      </c>
      <c r="Z236" s="236">
        <v>44020</v>
      </c>
      <c r="AG236" s="238">
        <f>(Q236/P236)-X236-AA236-AD236</f>
        <v>0</v>
      </c>
      <c r="AH236" s="248" t="s">
        <v>82</v>
      </c>
      <c r="AI236" s="229" t="s">
        <v>2736</v>
      </c>
      <c r="AJ236" s="237">
        <f>+AG236</f>
        <v>0</v>
      </c>
      <c r="AK236" s="241" t="e">
        <f t="shared" ca="1" si="97"/>
        <v>#NAME?</v>
      </c>
      <c r="AL236" s="235" t="s">
        <v>4038</v>
      </c>
      <c r="AM236" s="229"/>
      <c r="AN236" s="229"/>
      <c r="AO236" s="229"/>
      <c r="AP236" s="228" t="s">
        <v>4039</v>
      </c>
      <c r="AR236" s="228" t="s">
        <v>3063</v>
      </c>
      <c r="AS236" s="242">
        <f t="shared" si="99"/>
        <v>71500</v>
      </c>
      <c r="AT236" s="242">
        <f t="shared" si="100"/>
        <v>7221.5000000000009</v>
      </c>
      <c r="AU236" s="242">
        <v>0</v>
      </c>
      <c r="AV236" s="242">
        <v>0</v>
      </c>
      <c r="AW236" s="242">
        <f t="shared" si="101"/>
        <v>78721.5</v>
      </c>
      <c r="AX236" s="237">
        <f>+H236</f>
        <v>22000</v>
      </c>
      <c r="AY236" s="242" t="s">
        <v>2736</v>
      </c>
      <c r="AZ236" s="242">
        <f t="shared" si="104"/>
        <v>3.5782500000000002</v>
      </c>
      <c r="BA236" s="242" t="s">
        <v>2786</v>
      </c>
      <c r="BB236" s="242" t="s">
        <v>2739</v>
      </c>
      <c r="BC236" s="242">
        <v>1</v>
      </c>
      <c r="BD236" s="242">
        <f t="shared" si="102"/>
        <v>3.5782500000000002</v>
      </c>
      <c r="BF236" s="228" t="s">
        <v>3137</v>
      </c>
      <c r="BG236" s="227" t="s">
        <v>3910</v>
      </c>
    </row>
    <row r="237" spans="1:59" s="228" customFormat="1" ht="15" customHeight="1">
      <c r="A237" s="21">
        <v>43972</v>
      </c>
      <c r="B237" s="96" t="s">
        <v>3383</v>
      </c>
      <c r="C237" s="22" t="s">
        <v>3804</v>
      </c>
      <c r="D237" s="97" t="s">
        <v>4018</v>
      </c>
      <c r="E237" s="22" t="s">
        <v>4019</v>
      </c>
      <c r="F237" s="69" t="s">
        <v>4008</v>
      </c>
      <c r="G237" s="69" t="s">
        <v>4008</v>
      </c>
      <c r="H237" s="70">
        <v>15</v>
      </c>
      <c r="I237" s="71" t="s">
        <v>3804</v>
      </c>
      <c r="J237" s="76">
        <v>13333</v>
      </c>
      <c r="K237" s="71" t="s">
        <v>3688</v>
      </c>
      <c r="L237" s="72">
        <v>1</v>
      </c>
      <c r="M237" s="72" t="s">
        <v>4007</v>
      </c>
      <c r="N237" s="73">
        <v>199995</v>
      </c>
      <c r="O237" s="73">
        <v>13333</v>
      </c>
      <c r="P237" s="74">
        <v>27.95</v>
      </c>
      <c r="Q237" s="74">
        <v>372657.35</v>
      </c>
      <c r="R237" s="21" t="s">
        <v>2970</v>
      </c>
      <c r="S237" s="99" t="s">
        <v>4020</v>
      </c>
      <c r="T237" s="22" t="s">
        <v>3036</v>
      </c>
      <c r="U237" s="97" t="s">
        <v>4021</v>
      </c>
      <c r="V237" s="22" t="s">
        <v>4022</v>
      </c>
      <c r="W237" s="72" t="e">
        <f t="shared" ca="1" si="98"/>
        <v>#NAME?</v>
      </c>
      <c r="X237" s="456">
        <v>0</v>
      </c>
      <c r="Y237" s="97"/>
      <c r="Z237" s="96"/>
      <c r="AA237" s="96"/>
      <c r="AB237" s="96"/>
      <c r="AC237" s="96"/>
      <c r="AD237" s="96"/>
      <c r="AE237" s="96"/>
      <c r="AF237" s="96"/>
      <c r="AG237" s="102">
        <f>N237-X237-AA237-AD237</f>
        <v>199995</v>
      </c>
      <c r="AH237" s="174" t="s">
        <v>2669</v>
      </c>
      <c r="AI237" s="22" t="s">
        <v>2739</v>
      </c>
      <c r="AJ237" s="101">
        <f>+AG237</f>
        <v>199995</v>
      </c>
      <c r="AK237" s="184" t="e">
        <f t="shared" ca="1" si="97"/>
        <v>#NAME?</v>
      </c>
      <c r="AL237" s="99"/>
      <c r="AM237" s="22"/>
      <c r="AN237" s="22"/>
      <c r="AO237" s="22"/>
      <c r="AP237" s="96" t="s">
        <v>4023</v>
      </c>
      <c r="AQ237" s="96"/>
      <c r="AR237" s="96" t="s">
        <v>3039</v>
      </c>
      <c r="AS237" s="199">
        <f t="shared" si="99"/>
        <v>372657.35</v>
      </c>
      <c r="AT237" s="199">
        <f t="shared" si="100"/>
        <v>37638.392350000002</v>
      </c>
      <c r="AU237" s="199">
        <v>0</v>
      </c>
      <c r="AV237" s="199">
        <v>0</v>
      </c>
      <c r="AW237" s="199">
        <f t="shared" si="101"/>
        <v>410295.74234999996</v>
      </c>
      <c r="AX237" s="287">
        <f>+N237</f>
        <v>199995</v>
      </c>
      <c r="AY237" s="199" t="s">
        <v>2739</v>
      </c>
      <c r="AZ237" s="199">
        <f t="shared" si="104"/>
        <v>2.0515299999999996</v>
      </c>
      <c r="BA237" s="199" t="s">
        <v>2820</v>
      </c>
      <c r="BB237" s="199" t="s">
        <v>2953</v>
      </c>
      <c r="BC237" s="199">
        <v>1</v>
      </c>
      <c r="BD237" s="199">
        <f t="shared" si="102"/>
        <v>2.0515299999999996</v>
      </c>
      <c r="BE237" s="96"/>
      <c r="BF237" s="96" t="s">
        <v>36</v>
      </c>
      <c r="BG237" s="21" t="s">
        <v>3910</v>
      </c>
    </row>
    <row r="238" spans="1:59" s="228" customFormat="1" ht="15" customHeight="1">
      <c r="A238" s="21">
        <v>43972</v>
      </c>
      <c r="B238" s="96" t="s">
        <v>3269</v>
      </c>
      <c r="C238" s="22" t="s">
        <v>3695</v>
      </c>
      <c r="D238" s="97" t="s">
        <v>4029</v>
      </c>
      <c r="E238" s="22" t="s">
        <v>4030</v>
      </c>
      <c r="F238" s="69">
        <v>16</v>
      </c>
      <c r="G238" s="69">
        <v>192000</v>
      </c>
      <c r="H238" s="70">
        <v>12000</v>
      </c>
      <c r="I238" s="71" t="s">
        <v>3132</v>
      </c>
      <c r="J238" s="71" t="s">
        <v>2846</v>
      </c>
      <c r="K238" s="71" t="s">
        <v>2846</v>
      </c>
      <c r="L238" s="72">
        <v>1</v>
      </c>
      <c r="M238" s="72" t="s">
        <v>4007</v>
      </c>
      <c r="N238" s="73">
        <v>12000</v>
      </c>
      <c r="O238" s="73" t="s">
        <v>4008</v>
      </c>
      <c r="P238" s="74">
        <v>1.2</v>
      </c>
      <c r="Q238" s="74">
        <v>14400</v>
      </c>
      <c r="R238" s="21">
        <v>44055</v>
      </c>
      <c r="S238" s="99" t="s">
        <v>4031</v>
      </c>
      <c r="T238" s="22" t="s">
        <v>3036</v>
      </c>
      <c r="U238" s="97" t="s">
        <v>4032</v>
      </c>
      <c r="V238" s="22" t="s">
        <v>4033</v>
      </c>
      <c r="W238" s="72" t="e">
        <f t="shared" ca="1" si="98"/>
        <v>#NAME?</v>
      </c>
      <c r="X238" s="456">
        <v>0</v>
      </c>
      <c r="Y238" s="97"/>
      <c r="Z238" s="96"/>
      <c r="AA238" s="96"/>
      <c r="AB238" s="96"/>
      <c r="AC238" s="96"/>
      <c r="AD238" s="96"/>
      <c r="AE238" s="96"/>
      <c r="AF238" s="96"/>
      <c r="AG238" s="102">
        <f>(Q238/P238)-X238-AA238-AD238</f>
        <v>12000</v>
      </c>
      <c r="AH238" s="110" t="s">
        <v>86</v>
      </c>
      <c r="AI238" s="22" t="s">
        <v>2736</v>
      </c>
      <c r="AJ238" s="101">
        <f>+AG238</f>
        <v>12000</v>
      </c>
      <c r="AK238" s="184" t="e">
        <f t="shared" ca="1" si="97"/>
        <v>#NAME?</v>
      </c>
      <c r="AL238" s="99"/>
      <c r="AM238" s="22"/>
      <c r="AN238" s="22"/>
      <c r="AO238" s="22"/>
      <c r="AP238" s="96" t="s">
        <v>4034</v>
      </c>
      <c r="AQ238" s="96"/>
      <c r="AR238" s="96" t="s">
        <v>3063</v>
      </c>
      <c r="AS238" s="199">
        <f t="shared" si="99"/>
        <v>14400</v>
      </c>
      <c r="AT238" s="199">
        <f t="shared" si="100"/>
        <v>1454.4</v>
      </c>
      <c r="AU238" s="199">
        <v>0</v>
      </c>
      <c r="AV238" s="199">
        <v>0</v>
      </c>
      <c r="AW238" s="199">
        <f t="shared" si="101"/>
        <v>15854.4</v>
      </c>
      <c r="AX238" s="287">
        <f>+N238</f>
        <v>12000</v>
      </c>
      <c r="AY238" s="199" t="s">
        <v>2739</v>
      </c>
      <c r="AZ238" s="199">
        <f t="shared" si="104"/>
        <v>1.3211999999999999</v>
      </c>
      <c r="BA238" s="199" t="s">
        <v>2836</v>
      </c>
      <c r="BB238" s="199" t="s">
        <v>2739</v>
      </c>
      <c r="BC238" s="199">
        <v>1</v>
      </c>
      <c r="BD238" s="199">
        <f t="shared" si="102"/>
        <v>1.3211999999999999</v>
      </c>
      <c r="BE238" s="96"/>
      <c r="BF238" s="96" t="s">
        <v>3137</v>
      </c>
      <c r="BG238" s="21" t="s">
        <v>3910</v>
      </c>
    </row>
    <row r="239" spans="1:59" s="228" customFormat="1" ht="15" customHeight="1">
      <c r="A239" s="227">
        <v>43977</v>
      </c>
      <c r="B239" s="228" t="s">
        <v>4040</v>
      </c>
      <c r="C239" s="229" t="s">
        <v>2971</v>
      </c>
      <c r="D239" s="230" t="s">
        <v>4041</v>
      </c>
      <c r="E239" s="229" t="s">
        <v>4042</v>
      </c>
      <c r="F239" s="231" t="s">
        <v>2846</v>
      </c>
      <c r="G239" s="231" t="s">
        <v>2846</v>
      </c>
      <c r="H239" s="231">
        <v>500</v>
      </c>
      <c r="I239" s="229" t="s">
        <v>4043</v>
      </c>
      <c r="J239" s="229">
        <v>60</v>
      </c>
      <c r="K239" s="229" t="s">
        <v>3688</v>
      </c>
      <c r="L239" s="232">
        <v>1</v>
      </c>
      <c r="M239" s="232" t="s">
        <v>64</v>
      </c>
      <c r="N239" s="231">
        <f>H239*J239</f>
        <v>30000</v>
      </c>
      <c r="O239" s="231" t="s">
        <v>2846</v>
      </c>
      <c r="P239" s="233">
        <v>244.99</v>
      </c>
      <c r="Q239" s="233">
        <f>J239*P239</f>
        <v>14699.400000000001</v>
      </c>
      <c r="R239" s="227">
        <v>43994</v>
      </c>
      <c r="S239" s="235" t="s">
        <v>4044</v>
      </c>
      <c r="T239" s="229" t="s">
        <v>3036</v>
      </c>
      <c r="U239" s="230">
        <v>5262020</v>
      </c>
      <c r="V239" s="229" t="s">
        <v>4045</v>
      </c>
      <c r="W239" s="232" t="e">
        <f t="shared" ca="1" si="98"/>
        <v>#NAME?</v>
      </c>
      <c r="X239" s="456">
        <v>21390</v>
      </c>
      <c r="Y239" s="230"/>
      <c r="AA239" s="228">
        <v>8610</v>
      </c>
      <c r="AG239" s="238">
        <f>N239-X239-AA239-AD239</f>
        <v>0</v>
      </c>
      <c r="AH239" s="248" t="s">
        <v>2846</v>
      </c>
      <c r="AI239" s="229"/>
      <c r="AJ239" s="237">
        <f>+AG239</f>
        <v>0</v>
      </c>
      <c r="AK239" s="241" t="e">
        <f t="shared" ca="1" si="97"/>
        <v>#NAME?</v>
      </c>
      <c r="AL239" s="235" t="s">
        <v>4046</v>
      </c>
      <c r="AM239" s="229"/>
      <c r="AN239" s="229"/>
      <c r="AO239" s="229"/>
      <c r="AP239" s="228" t="s">
        <v>4047</v>
      </c>
      <c r="AR239" s="228" t="s">
        <v>3039</v>
      </c>
      <c r="AS239" s="242">
        <f t="shared" si="99"/>
        <v>14699.400000000001</v>
      </c>
      <c r="AT239" s="242">
        <f t="shared" si="100"/>
        <v>1484.6394000000003</v>
      </c>
      <c r="AU239" s="242">
        <v>5.99</v>
      </c>
      <c r="AV239" s="242">
        <v>0</v>
      </c>
      <c r="AW239" s="242">
        <f t="shared" si="101"/>
        <v>16190.029400000001</v>
      </c>
      <c r="AX239" s="237"/>
      <c r="AY239" s="242"/>
      <c r="AZ239" s="242"/>
      <c r="BA239" s="242" t="s">
        <v>3333</v>
      </c>
      <c r="BB239" s="242"/>
      <c r="BC239" s="242"/>
      <c r="BD239" s="242">
        <f t="shared" si="102"/>
        <v>0</v>
      </c>
      <c r="BF239" s="228" t="s">
        <v>3162</v>
      </c>
      <c r="BG239" s="227" t="s">
        <v>3910</v>
      </c>
    </row>
    <row r="240" spans="1:59" s="228" customFormat="1" ht="15" customHeight="1">
      <c r="A240" s="227">
        <v>43979</v>
      </c>
      <c r="B240" s="228" t="s">
        <v>3383</v>
      </c>
      <c r="C240" s="229" t="s">
        <v>3430</v>
      </c>
      <c r="D240" s="230" t="s">
        <v>4060</v>
      </c>
      <c r="E240" s="229" t="s">
        <v>4061</v>
      </c>
      <c r="F240" s="231" t="s">
        <v>2846</v>
      </c>
      <c r="G240" s="231" t="s">
        <v>2846</v>
      </c>
      <c r="H240" s="231">
        <v>25</v>
      </c>
      <c r="I240" s="229" t="s">
        <v>2739</v>
      </c>
      <c r="J240" s="229">
        <v>40</v>
      </c>
      <c r="K240" s="229" t="s">
        <v>3688</v>
      </c>
      <c r="L240" s="232">
        <v>1</v>
      </c>
      <c r="M240" s="232" t="s">
        <v>64</v>
      </c>
      <c r="N240" s="231">
        <f>H240*J240</f>
        <v>1000</v>
      </c>
      <c r="O240" s="231">
        <v>40</v>
      </c>
      <c r="P240" s="233">
        <v>147.41999999999999</v>
      </c>
      <c r="Q240" s="233">
        <f>O240*P240</f>
        <v>5896.7999999999993</v>
      </c>
      <c r="R240" s="227">
        <v>43987</v>
      </c>
      <c r="S240" s="235" t="s">
        <v>4044</v>
      </c>
      <c r="T240" s="229" t="s">
        <v>3036</v>
      </c>
      <c r="U240" s="230" t="s">
        <v>4062</v>
      </c>
      <c r="V240" s="229"/>
      <c r="W240" s="232" t="e">
        <f t="shared" ca="1" si="98"/>
        <v>#NAME?</v>
      </c>
      <c r="X240" s="456">
        <v>25</v>
      </c>
      <c r="Y240" s="230" t="s">
        <v>4063</v>
      </c>
      <c r="Z240" s="236">
        <v>43997</v>
      </c>
      <c r="AA240" s="228">
        <v>8</v>
      </c>
      <c r="AB240" s="228">
        <v>954293715</v>
      </c>
      <c r="AC240" s="236">
        <v>43997</v>
      </c>
      <c r="AD240" s="228">
        <v>7</v>
      </c>
      <c r="AE240" s="228">
        <v>954293715</v>
      </c>
      <c r="AF240" s="236">
        <v>43997</v>
      </c>
      <c r="AG240" s="238">
        <f t="shared" ref="AG240:AG245" si="105">(Q240/P240)-X240-AA240-AD240</f>
        <v>0</v>
      </c>
      <c r="AH240" s="248" t="s">
        <v>75</v>
      </c>
      <c r="AI240" s="229" t="s">
        <v>2739</v>
      </c>
      <c r="AJ240" s="237">
        <f>+AG240*H240</f>
        <v>0</v>
      </c>
      <c r="AK240" s="241" t="e">
        <f t="shared" ca="1" si="97"/>
        <v>#NAME?</v>
      </c>
      <c r="AL240" s="235" t="s">
        <v>4064</v>
      </c>
      <c r="AM240" s="229"/>
      <c r="AN240" s="229"/>
      <c r="AO240" s="229"/>
      <c r="AP240" s="228" t="s">
        <v>4065</v>
      </c>
      <c r="AQ240" s="228" t="s">
        <v>4066</v>
      </c>
      <c r="AR240" s="228" t="s">
        <v>3039</v>
      </c>
      <c r="AS240" s="242">
        <f t="shared" si="99"/>
        <v>5896.7999999999993</v>
      </c>
      <c r="AT240" s="242">
        <f t="shared" si="100"/>
        <v>595.57679999999993</v>
      </c>
      <c r="AU240" s="242">
        <v>0</v>
      </c>
      <c r="AV240" s="242">
        <v>0</v>
      </c>
      <c r="AW240" s="242">
        <f t="shared" si="101"/>
        <v>6492.3767999999991</v>
      </c>
      <c r="AX240" s="237">
        <f t="shared" ref="AX240:AX247" si="106">+N240</f>
        <v>1000</v>
      </c>
      <c r="AY240" s="242" t="s">
        <v>2739</v>
      </c>
      <c r="AZ240" s="242">
        <f t="shared" ref="AZ240:AZ271" si="107">+AW240/AX240</f>
        <v>6.4923767999999988</v>
      </c>
      <c r="BA240" s="242" t="s">
        <v>2806</v>
      </c>
      <c r="BB240" s="242" t="s">
        <v>2739</v>
      </c>
      <c r="BC240" s="242">
        <v>1</v>
      </c>
      <c r="BD240" s="242">
        <f t="shared" si="102"/>
        <v>6.4923767999999988</v>
      </c>
      <c r="BF240" s="228" t="s">
        <v>36</v>
      </c>
      <c r="BG240" s="227" t="s">
        <v>3910</v>
      </c>
    </row>
    <row r="241" spans="1:59" s="96" customFormat="1" ht="15" customHeight="1">
      <c r="A241" s="21">
        <v>43979</v>
      </c>
      <c r="B241" s="96" t="s">
        <v>3596</v>
      </c>
      <c r="C241" s="22" t="s">
        <v>3436</v>
      </c>
      <c r="D241" s="97" t="s">
        <v>4067</v>
      </c>
      <c r="E241" s="22" t="s">
        <v>3598</v>
      </c>
      <c r="F241" s="69" t="s">
        <v>2846</v>
      </c>
      <c r="G241" s="69" t="s">
        <v>2846</v>
      </c>
      <c r="H241" s="70">
        <v>25</v>
      </c>
      <c r="I241" s="71" t="s">
        <v>3804</v>
      </c>
      <c r="J241" s="71">
        <v>40</v>
      </c>
      <c r="K241" s="71" t="s">
        <v>2953</v>
      </c>
      <c r="L241" s="72">
        <v>1</v>
      </c>
      <c r="M241" s="72" t="s">
        <v>64</v>
      </c>
      <c r="N241" s="73">
        <f>H241*J241</f>
        <v>1000</v>
      </c>
      <c r="O241" s="73">
        <v>40</v>
      </c>
      <c r="P241" s="74">
        <v>4.3600000000000003</v>
      </c>
      <c r="Q241" s="74">
        <f>N241*P241</f>
        <v>4360</v>
      </c>
      <c r="R241" s="21">
        <v>44092</v>
      </c>
      <c r="S241" s="99" t="s">
        <v>3891</v>
      </c>
      <c r="T241" s="22" t="s">
        <v>3036</v>
      </c>
      <c r="U241" s="97" t="s">
        <v>4068</v>
      </c>
      <c r="V241" s="22"/>
      <c r="W241" s="72" t="e">
        <f t="shared" ca="1" si="98"/>
        <v>#NAME?</v>
      </c>
      <c r="X241" s="457">
        <v>200</v>
      </c>
      <c r="Y241" s="97">
        <v>4216194</v>
      </c>
      <c r="Z241" s="100">
        <v>44005</v>
      </c>
      <c r="AG241" s="102">
        <f t="shared" si="105"/>
        <v>799.99999999999989</v>
      </c>
      <c r="AH241" s="174" t="s">
        <v>74</v>
      </c>
      <c r="AI241" s="22" t="s">
        <v>2739</v>
      </c>
      <c r="AJ241" s="101">
        <f>+AG241</f>
        <v>799.99999999999989</v>
      </c>
      <c r="AK241" s="184" t="e">
        <f t="shared" ca="1" si="97"/>
        <v>#NAME?</v>
      </c>
      <c r="AL241" s="99" t="s">
        <v>4069</v>
      </c>
      <c r="AM241" s="22"/>
      <c r="AN241" s="22"/>
      <c r="AO241" s="22"/>
      <c r="AP241" s="96" t="s">
        <v>4070</v>
      </c>
      <c r="AR241" s="96" t="s">
        <v>3039</v>
      </c>
      <c r="AS241" s="199">
        <f t="shared" si="99"/>
        <v>4360</v>
      </c>
      <c r="AT241" s="199">
        <f t="shared" si="100"/>
        <v>440.36</v>
      </c>
      <c r="AU241" s="199">
        <v>0</v>
      </c>
      <c r="AV241" s="199">
        <v>0</v>
      </c>
      <c r="AW241" s="199">
        <f t="shared" si="101"/>
        <v>4800.3599999999997</v>
      </c>
      <c r="AX241" s="101">
        <f t="shared" si="106"/>
        <v>1000</v>
      </c>
      <c r="AY241" s="199" t="s">
        <v>2739</v>
      </c>
      <c r="AZ241" s="199">
        <f t="shared" si="107"/>
        <v>4.8003599999999995</v>
      </c>
      <c r="BA241" s="199" t="s">
        <v>2804</v>
      </c>
      <c r="BB241" s="199" t="s">
        <v>2739</v>
      </c>
      <c r="BC241" s="199">
        <v>1</v>
      </c>
      <c r="BD241" s="199">
        <f t="shared" si="102"/>
        <v>4.8003599999999995</v>
      </c>
      <c r="BF241" s="96" t="s">
        <v>36</v>
      </c>
      <c r="BG241" s="21" t="s">
        <v>3910</v>
      </c>
    </row>
    <row r="242" spans="1:59" s="228" customFormat="1" ht="15" customHeight="1">
      <c r="A242" s="227">
        <v>43979</v>
      </c>
      <c r="B242" s="228" t="s">
        <v>3552</v>
      </c>
      <c r="C242" s="229" t="s">
        <v>3368</v>
      </c>
      <c r="D242" s="230" t="s">
        <v>4048</v>
      </c>
      <c r="E242" s="229" t="s">
        <v>4049</v>
      </c>
      <c r="F242" s="231" t="s">
        <v>4008</v>
      </c>
      <c r="G242" s="231" t="s">
        <v>4008</v>
      </c>
      <c r="H242" s="231">
        <v>50</v>
      </c>
      <c r="I242" s="229" t="s">
        <v>1269</v>
      </c>
      <c r="J242" s="229">
        <v>4000</v>
      </c>
      <c r="K242" s="229" t="s">
        <v>2733</v>
      </c>
      <c r="L242" s="232">
        <v>1</v>
      </c>
      <c r="M242" s="232" t="s">
        <v>4007</v>
      </c>
      <c r="N242" s="231">
        <v>200000</v>
      </c>
      <c r="O242" s="231">
        <v>4000</v>
      </c>
      <c r="P242" s="233">
        <v>17.95</v>
      </c>
      <c r="Q242" s="233">
        <v>71800</v>
      </c>
      <c r="R242" s="227">
        <v>43994</v>
      </c>
      <c r="S242" s="235" t="s">
        <v>3794</v>
      </c>
      <c r="T242" s="229" t="s">
        <v>3036</v>
      </c>
      <c r="U242" s="230" t="s">
        <v>4050</v>
      </c>
      <c r="W242" s="232" t="e">
        <f t="shared" ca="1" si="98"/>
        <v>#NAME?</v>
      </c>
      <c r="X242" s="456">
        <v>4000</v>
      </c>
      <c r="Y242" s="230" t="s">
        <v>4051</v>
      </c>
      <c r="Z242" s="236">
        <v>43997</v>
      </c>
      <c r="AG242" s="238">
        <f t="shared" si="105"/>
        <v>0</v>
      </c>
      <c r="AH242" s="248" t="s">
        <v>68</v>
      </c>
      <c r="AI242" s="229" t="s">
        <v>2739</v>
      </c>
      <c r="AJ242" s="237">
        <f>+AG242*H242</f>
        <v>0</v>
      </c>
      <c r="AK242" s="241" t="e">
        <f t="shared" ca="1" si="97"/>
        <v>#NAME?</v>
      </c>
      <c r="AL242" s="235" t="s">
        <v>4052</v>
      </c>
      <c r="AM242" s="229"/>
      <c r="AN242" s="229"/>
      <c r="AO242" s="229"/>
      <c r="AP242" s="228" t="s">
        <v>4053</v>
      </c>
      <c r="AQ242" s="228" t="s">
        <v>4054</v>
      </c>
      <c r="AR242" s="228" t="s">
        <v>3039</v>
      </c>
      <c r="AS242" s="242">
        <f t="shared" si="99"/>
        <v>71800</v>
      </c>
      <c r="AT242" s="242">
        <f t="shared" si="100"/>
        <v>7251.8</v>
      </c>
      <c r="AU242" s="242">
        <v>0</v>
      </c>
      <c r="AV242" s="242">
        <v>0</v>
      </c>
      <c r="AW242" s="242">
        <f t="shared" si="101"/>
        <v>79051.8</v>
      </c>
      <c r="AX242" s="237">
        <f t="shared" si="106"/>
        <v>200000</v>
      </c>
      <c r="AY242" s="242" t="s">
        <v>2739</v>
      </c>
      <c r="AZ242" s="242">
        <f t="shared" si="107"/>
        <v>0.39525900000000003</v>
      </c>
      <c r="BA242" s="242" t="s">
        <v>2744</v>
      </c>
      <c r="BB242" s="242" t="s">
        <v>2733</v>
      </c>
      <c r="BC242" s="242">
        <v>50</v>
      </c>
      <c r="BD242" s="242">
        <f t="shared" si="102"/>
        <v>19.76295</v>
      </c>
      <c r="BF242" s="228" t="s">
        <v>36</v>
      </c>
      <c r="BG242" s="227" t="s">
        <v>3910</v>
      </c>
    </row>
    <row r="243" spans="1:59" s="228" customFormat="1" ht="15" customHeight="1">
      <c r="A243" s="227">
        <v>43979</v>
      </c>
      <c r="B243" s="228" t="s">
        <v>3552</v>
      </c>
      <c r="C243" s="229" t="s">
        <v>3368</v>
      </c>
      <c r="D243" s="230" t="s">
        <v>4055</v>
      </c>
      <c r="E243" s="229" t="s">
        <v>4049</v>
      </c>
      <c r="F243" s="231" t="s">
        <v>4008</v>
      </c>
      <c r="G243" s="231" t="s">
        <v>4008</v>
      </c>
      <c r="H243" s="231">
        <v>50</v>
      </c>
      <c r="I243" s="229" t="s">
        <v>1269</v>
      </c>
      <c r="J243" s="229">
        <v>16000</v>
      </c>
      <c r="K243" s="229" t="s">
        <v>2733</v>
      </c>
      <c r="L243" s="232">
        <v>1</v>
      </c>
      <c r="M243" s="232" t="s">
        <v>4007</v>
      </c>
      <c r="N243" s="231">
        <v>800000</v>
      </c>
      <c r="O243" s="231">
        <v>16000</v>
      </c>
      <c r="P243" s="233">
        <v>17.95</v>
      </c>
      <c r="Q243" s="233">
        <v>287200</v>
      </c>
      <c r="R243" s="227">
        <v>44018</v>
      </c>
      <c r="S243" s="235" t="s">
        <v>3794</v>
      </c>
      <c r="T243" s="229" t="s">
        <v>3036</v>
      </c>
      <c r="U243" s="230" t="s">
        <v>4050</v>
      </c>
      <c r="W243" s="232" t="e">
        <f t="shared" ca="1" si="98"/>
        <v>#NAME?</v>
      </c>
      <c r="X243" s="456">
        <v>8000</v>
      </c>
      <c r="Y243" s="230" t="s">
        <v>4056</v>
      </c>
      <c r="Z243" s="236">
        <v>44048</v>
      </c>
      <c r="AA243" s="228">
        <v>8000</v>
      </c>
      <c r="AB243" s="228" t="s">
        <v>4057</v>
      </c>
      <c r="AC243" s="236">
        <v>44060</v>
      </c>
      <c r="AG243" s="238">
        <f t="shared" si="105"/>
        <v>0</v>
      </c>
      <c r="AH243" s="248" t="s">
        <v>68</v>
      </c>
      <c r="AI243" s="229" t="s">
        <v>2739</v>
      </c>
      <c r="AJ243" s="237">
        <f>+AG243*H243</f>
        <v>0</v>
      </c>
      <c r="AK243" s="241" t="e">
        <f t="shared" ca="1" si="97"/>
        <v>#NAME?</v>
      </c>
      <c r="AL243" s="235" t="s">
        <v>4058</v>
      </c>
      <c r="AM243" s="229"/>
      <c r="AN243" s="229"/>
      <c r="AO243" s="229"/>
      <c r="AP243" s="228" t="s">
        <v>4059</v>
      </c>
      <c r="AR243" s="228" t="s">
        <v>3039</v>
      </c>
      <c r="AS243" s="242">
        <f t="shared" si="99"/>
        <v>287200</v>
      </c>
      <c r="AT243" s="242">
        <f t="shared" si="100"/>
        <v>29007.200000000001</v>
      </c>
      <c r="AU243" s="242">
        <v>0</v>
      </c>
      <c r="AV243" s="242">
        <v>0</v>
      </c>
      <c r="AW243" s="242">
        <f t="shared" si="101"/>
        <v>316207.2</v>
      </c>
      <c r="AX243" s="237">
        <f t="shared" si="106"/>
        <v>800000</v>
      </c>
      <c r="AY243" s="242" t="s">
        <v>2739</v>
      </c>
      <c r="AZ243" s="242">
        <f t="shared" si="107"/>
        <v>0.39525900000000003</v>
      </c>
      <c r="BA243" s="242" t="s">
        <v>2744</v>
      </c>
      <c r="BB243" s="242" t="s">
        <v>2733</v>
      </c>
      <c r="BC243" s="242">
        <v>50</v>
      </c>
      <c r="BD243" s="242">
        <f t="shared" si="102"/>
        <v>19.76295</v>
      </c>
      <c r="BF243" s="228" t="s">
        <v>36</v>
      </c>
      <c r="BG243" s="227" t="s">
        <v>3910</v>
      </c>
    </row>
    <row r="244" spans="1:59" s="228" customFormat="1" ht="15" customHeight="1">
      <c r="A244" s="271">
        <v>43983</v>
      </c>
      <c r="B244" s="266" t="s">
        <v>3785</v>
      </c>
      <c r="C244" s="268" t="s">
        <v>2971</v>
      </c>
      <c r="D244" s="267" t="s">
        <v>4071</v>
      </c>
      <c r="E244" s="268" t="s">
        <v>4072</v>
      </c>
      <c r="F244" s="282">
        <v>12.5</v>
      </c>
      <c r="G244" s="272" t="s">
        <v>2846</v>
      </c>
      <c r="H244" s="272">
        <v>12</v>
      </c>
      <c r="I244" s="268" t="s">
        <v>2739</v>
      </c>
      <c r="J244" s="229">
        <v>141</v>
      </c>
      <c r="K244" s="229" t="s">
        <v>2953</v>
      </c>
      <c r="L244" s="232">
        <v>1</v>
      </c>
      <c r="M244" s="232" t="s">
        <v>64</v>
      </c>
      <c r="N244" s="231">
        <f>H244*J244</f>
        <v>1692</v>
      </c>
      <c r="O244" s="231">
        <v>141</v>
      </c>
      <c r="P244" s="233">
        <v>5.39</v>
      </c>
      <c r="Q244" s="233">
        <f>N244*P244</f>
        <v>9119.8799999999992</v>
      </c>
      <c r="R244" s="227">
        <v>43990</v>
      </c>
      <c r="S244" s="235" t="s">
        <v>4073</v>
      </c>
      <c r="T244" s="229" t="s">
        <v>3036</v>
      </c>
      <c r="U244" s="230" t="s">
        <v>4074</v>
      </c>
      <c r="V244" s="229"/>
      <c r="W244" s="232" t="e">
        <f t="shared" ca="1" si="98"/>
        <v>#NAME?</v>
      </c>
      <c r="X244" s="456">
        <v>1692</v>
      </c>
      <c r="Y244" s="230" t="s">
        <v>4075</v>
      </c>
      <c r="Z244" s="236">
        <v>43997</v>
      </c>
      <c r="AG244" s="238">
        <f t="shared" si="105"/>
        <v>0</v>
      </c>
      <c r="AH244" s="248" t="s">
        <v>2846</v>
      </c>
      <c r="AI244" s="229"/>
      <c r="AJ244" s="237">
        <f t="shared" ref="AJ244:AJ249" si="108">+AG244</f>
        <v>0</v>
      </c>
      <c r="AK244" s="241" t="e">
        <f t="shared" ca="1" si="97"/>
        <v>#NAME?</v>
      </c>
      <c r="AL244" s="235" t="s">
        <v>4076</v>
      </c>
      <c r="AM244" s="229"/>
      <c r="AN244" s="229"/>
      <c r="AO244" s="229"/>
      <c r="AP244" s="228" t="s">
        <v>4077</v>
      </c>
      <c r="AQ244" s="228" t="s">
        <v>4078</v>
      </c>
      <c r="AR244" s="228" t="s">
        <v>3039</v>
      </c>
      <c r="AS244" s="242">
        <f t="shared" si="99"/>
        <v>9119.8799999999992</v>
      </c>
      <c r="AT244" s="242">
        <f t="shared" si="100"/>
        <v>921.10788000000002</v>
      </c>
      <c r="AU244" s="242">
        <v>0</v>
      </c>
      <c r="AV244" s="242">
        <v>0</v>
      </c>
      <c r="AW244" s="242">
        <f t="shared" si="101"/>
        <v>10040.987879999999</v>
      </c>
      <c r="AX244" s="237">
        <f t="shared" si="106"/>
        <v>1692</v>
      </c>
      <c r="AY244" s="242" t="s">
        <v>2739</v>
      </c>
      <c r="AZ244" s="242">
        <f t="shared" si="107"/>
        <v>5.9343899999999996</v>
      </c>
      <c r="BA244" s="242" t="s">
        <v>2728</v>
      </c>
      <c r="BB244" s="242" t="s">
        <v>2739</v>
      </c>
      <c r="BC244" s="242">
        <v>1</v>
      </c>
      <c r="BD244" s="242">
        <f t="shared" si="102"/>
        <v>5.9343899999999996</v>
      </c>
      <c r="BF244" s="228" t="s">
        <v>3137</v>
      </c>
      <c r="BG244" s="271" t="s">
        <v>4028</v>
      </c>
    </row>
    <row r="245" spans="1:59" s="96" customFormat="1" ht="15" customHeight="1">
      <c r="A245" s="227">
        <v>43985</v>
      </c>
      <c r="B245" s="228" t="s">
        <v>3129</v>
      </c>
      <c r="C245" s="229" t="s">
        <v>1584</v>
      </c>
      <c r="D245" s="230" t="s">
        <v>4085</v>
      </c>
      <c r="E245" s="229" t="s">
        <v>4086</v>
      </c>
      <c r="F245" s="231">
        <v>33.799999999999997</v>
      </c>
      <c r="G245" s="231">
        <v>5272.8</v>
      </c>
      <c r="H245" s="231">
        <v>156</v>
      </c>
      <c r="I245" s="229" t="s">
        <v>3132</v>
      </c>
      <c r="J245" s="229" t="s">
        <v>2846</v>
      </c>
      <c r="K245" s="229" t="s">
        <v>2846</v>
      </c>
      <c r="L245" s="232">
        <v>1</v>
      </c>
      <c r="M245" s="232" t="s">
        <v>64</v>
      </c>
      <c r="N245" s="231">
        <v>156</v>
      </c>
      <c r="O245" s="231" t="s">
        <v>2846</v>
      </c>
      <c r="P245" s="233">
        <v>22</v>
      </c>
      <c r="Q245" s="233">
        <f>N245*P245</f>
        <v>3432</v>
      </c>
      <c r="R245" s="227">
        <v>43991</v>
      </c>
      <c r="S245" s="235" t="s">
        <v>3891</v>
      </c>
      <c r="T245" s="229" t="s">
        <v>3036</v>
      </c>
      <c r="U245" s="230" t="s">
        <v>4087</v>
      </c>
      <c r="V245" s="229"/>
      <c r="W245" s="232" t="e">
        <f t="shared" ca="1" si="98"/>
        <v>#NAME?</v>
      </c>
      <c r="X245" s="456">
        <v>156</v>
      </c>
      <c r="Y245" s="230" t="s">
        <v>4088</v>
      </c>
      <c r="Z245" s="236">
        <v>43997</v>
      </c>
      <c r="AA245" s="228"/>
      <c r="AB245" s="228"/>
      <c r="AC245" s="228"/>
      <c r="AD245" s="228"/>
      <c r="AE245" s="228"/>
      <c r="AF245" s="228"/>
      <c r="AG245" s="238">
        <f t="shared" si="105"/>
        <v>0</v>
      </c>
      <c r="AH245" s="247" t="s">
        <v>82</v>
      </c>
      <c r="AI245" s="229" t="s">
        <v>2736</v>
      </c>
      <c r="AJ245" s="237">
        <f t="shared" si="108"/>
        <v>0</v>
      </c>
      <c r="AK245" s="241" t="e">
        <f t="shared" ca="1" si="97"/>
        <v>#NAME?</v>
      </c>
      <c r="AL245" s="235" t="s">
        <v>4089</v>
      </c>
      <c r="AM245" s="229"/>
      <c r="AN245" s="229"/>
      <c r="AO245" s="229"/>
      <c r="AP245" s="228" t="s">
        <v>4090</v>
      </c>
      <c r="AQ245" s="228" t="s">
        <v>4091</v>
      </c>
      <c r="AR245" s="228" t="s">
        <v>3063</v>
      </c>
      <c r="AS245" s="242">
        <f t="shared" si="99"/>
        <v>3432</v>
      </c>
      <c r="AT245" s="242">
        <f t="shared" si="100"/>
        <v>346.63200000000001</v>
      </c>
      <c r="AU245" s="242">
        <v>0</v>
      </c>
      <c r="AV245" s="242">
        <v>0</v>
      </c>
      <c r="AW245" s="242">
        <f t="shared" si="101"/>
        <v>3778.6320000000001</v>
      </c>
      <c r="AX245" s="237">
        <f t="shared" si="106"/>
        <v>156</v>
      </c>
      <c r="AY245" s="242" t="s">
        <v>2736</v>
      </c>
      <c r="AZ245" s="242">
        <f t="shared" si="107"/>
        <v>24.222000000000001</v>
      </c>
      <c r="BA245" s="279" t="s">
        <v>2788</v>
      </c>
      <c r="BB245" s="242" t="s">
        <v>2739</v>
      </c>
      <c r="BC245" s="242">
        <v>1</v>
      </c>
      <c r="BD245" s="242">
        <f t="shared" si="102"/>
        <v>24.222000000000001</v>
      </c>
      <c r="BE245" s="228"/>
      <c r="BF245" s="228" t="s">
        <v>3137</v>
      </c>
      <c r="BG245" s="227" t="s">
        <v>4028</v>
      </c>
    </row>
    <row r="246" spans="1:59" s="96" customFormat="1" ht="15" customHeight="1">
      <c r="A246" s="227">
        <v>43990</v>
      </c>
      <c r="B246" s="228" t="s">
        <v>3596</v>
      </c>
      <c r="C246" s="229" t="s">
        <v>3948</v>
      </c>
      <c r="D246" s="230" t="s">
        <v>4099</v>
      </c>
      <c r="E246" s="229" t="s">
        <v>4100</v>
      </c>
      <c r="F246" s="231" t="s">
        <v>2846</v>
      </c>
      <c r="G246" s="231" t="s">
        <v>2846</v>
      </c>
      <c r="H246" s="231">
        <v>10</v>
      </c>
      <c r="I246" s="229" t="s">
        <v>2739</v>
      </c>
      <c r="J246" s="229" t="s">
        <v>2846</v>
      </c>
      <c r="K246" s="229" t="s">
        <v>2846</v>
      </c>
      <c r="L246" s="232">
        <v>1</v>
      </c>
      <c r="M246" s="232" t="s">
        <v>64</v>
      </c>
      <c r="N246" s="231">
        <v>10</v>
      </c>
      <c r="O246" s="231" t="s">
        <v>2846</v>
      </c>
      <c r="P246" s="233">
        <v>384.71</v>
      </c>
      <c r="Q246" s="233">
        <f>N246*P246</f>
        <v>3847.1</v>
      </c>
      <c r="R246" s="227">
        <v>43994</v>
      </c>
      <c r="S246" s="235" t="s">
        <v>4101</v>
      </c>
      <c r="T246" s="229" t="s">
        <v>3036</v>
      </c>
      <c r="U246" s="230" t="s">
        <v>4102</v>
      </c>
      <c r="V246" s="229"/>
      <c r="W246" s="232" t="e">
        <f t="shared" ca="1" si="98"/>
        <v>#NAME?</v>
      </c>
      <c r="X246" s="456">
        <v>10</v>
      </c>
      <c r="Y246" s="230">
        <v>4213966</v>
      </c>
      <c r="Z246" s="236">
        <v>43994</v>
      </c>
      <c r="AA246" s="228"/>
      <c r="AB246" s="228"/>
      <c r="AC246" s="228"/>
      <c r="AD246" s="228"/>
      <c r="AE246" s="228"/>
      <c r="AF246" s="228"/>
      <c r="AG246" s="238">
        <f>N246-X246-AA246-AD246</f>
        <v>0</v>
      </c>
      <c r="AH246" s="239" t="s">
        <v>92</v>
      </c>
      <c r="AI246" s="239" t="s">
        <v>2739</v>
      </c>
      <c r="AJ246" s="237">
        <f t="shared" si="108"/>
        <v>0</v>
      </c>
      <c r="AK246" s="241" t="e">
        <f t="shared" ca="1" si="97"/>
        <v>#NAME?</v>
      </c>
      <c r="AL246" s="235" t="s">
        <v>4103</v>
      </c>
      <c r="AM246" s="229"/>
      <c r="AN246" s="229"/>
      <c r="AO246" s="229"/>
      <c r="AP246" s="228" t="s">
        <v>4104</v>
      </c>
      <c r="AQ246" s="228" t="s">
        <v>4105</v>
      </c>
      <c r="AR246" s="228" t="s">
        <v>3039</v>
      </c>
      <c r="AS246" s="242">
        <f t="shared" si="99"/>
        <v>3847.1</v>
      </c>
      <c r="AT246" s="242">
        <f t="shared" si="100"/>
        <v>388.55709999999999</v>
      </c>
      <c r="AU246" s="242">
        <v>0</v>
      </c>
      <c r="AV246" s="242">
        <v>0</v>
      </c>
      <c r="AW246" s="335">
        <f>AS246+AT246</f>
        <v>4235.6571000000004</v>
      </c>
      <c r="AX246" s="237">
        <f t="shared" si="106"/>
        <v>10</v>
      </c>
      <c r="AY246" s="228" t="s">
        <v>2739</v>
      </c>
      <c r="AZ246" s="243">
        <f t="shared" si="107"/>
        <v>423.56571000000002</v>
      </c>
      <c r="BA246" s="228" t="s">
        <v>2844</v>
      </c>
      <c r="BB246" s="228" t="s">
        <v>2739</v>
      </c>
      <c r="BC246" s="242">
        <v>1</v>
      </c>
      <c r="BD246" s="242">
        <f t="shared" si="102"/>
        <v>423.56571000000002</v>
      </c>
      <c r="BE246" s="228"/>
      <c r="BF246" s="228" t="s">
        <v>3955</v>
      </c>
      <c r="BG246" s="227" t="s">
        <v>4028</v>
      </c>
    </row>
    <row r="247" spans="1:59" s="228" customFormat="1" ht="15" customHeight="1">
      <c r="A247" s="227">
        <v>43990</v>
      </c>
      <c r="B247" s="228" t="s">
        <v>3596</v>
      </c>
      <c r="C247" s="229" t="s">
        <v>2971</v>
      </c>
      <c r="D247" s="230" t="s">
        <v>4106</v>
      </c>
      <c r="E247" s="229" t="s">
        <v>4107</v>
      </c>
      <c r="F247" s="231" t="s">
        <v>2846</v>
      </c>
      <c r="G247" s="231" t="s">
        <v>2846</v>
      </c>
      <c r="H247" s="231">
        <v>10</v>
      </c>
      <c r="I247" s="229" t="s">
        <v>2739</v>
      </c>
      <c r="J247" s="229" t="s">
        <v>2846</v>
      </c>
      <c r="K247" s="229" t="s">
        <v>2846</v>
      </c>
      <c r="L247" s="232">
        <v>1</v>
      </c>
      <c r="M247" s="232" t="s">
        <v>64</v>
      </c>
      <c r="N247" s="231">
        <v>10</v>
      </c>
      <c r="O247" s="231" t="s">
        <v>2846</v>
      </c>
      <c r="P247" s="233">
        <v>75</v>
      </c>
      <c r="Q247" s="233">
        <f>N247*P247</f>
        <v>750</v>
      </c>
      <c r="R247" s="227">
        <v>43994</v>
      </c>
      <c r="S247" s="235" t="s">
        <v>3891</v>
      </c>
      <c r="T247" s="229" t="s">
        <v>3036</v>
      </c>
      <c r="U247" s="230" t="s">
        <v>4102</v>
      </c>
      <c r="V247" s="229"/>
      <c r="W247" s="232" t="e">
        <f t="shared" ca="1" si="98"/>
        <v>#NAME?</v>
      </c>
      <c r="X247" s="456">
        <v>10</v>
      </c>
      <c r="Y247" s="230">
        <v>4214863</v>
      </c>
      <c r="Z247" s="236">
        <v>43998</v>
      </c>
      <c r="AG247" s="238">
        <f>N247-X247-AA247-AD247</f>
        <v>0</v>
      </c>
      <c r="AH247" s="382" t="s">
        <v>2846</v>
      </c>
      <c r="AI247" s="269" t="s">
        <v>2739</v>
      </c>
      <c r="AJ247" s="237">
        <f t="shared" si="108"/>
        <v>0</v>
      </c>
      <c r="AK247" s="241" t="e">
        <f t="shared" ca="1" si="97"/>
        <v>#NAME?</v>
      </c>
      <c r="AL247" s="235" t="s">
        <v>4108</v>
      </c>
      <c r="AM247" s="229"/>
      <c r="AN247" s="229"/>
      <c r="AO247" s="229"/>
      <c r="AP247" s="228" t="s">
        <v>4109</v>
      </c>
      <c r="AR247" s="228" t="s">
        <v>3039</v>
      </c>
      <c r="AS247" s="242">
        <f t="shared" si="99"/>
        <v>750</v>
      </c>
      <c r="AT247" s="242">
        <f t="shared" si="100"/>
        <v>75.75</v>
      </c>
      <c r="AW247" s="335">
        <f>AS247+AT247</f>
        <v>825.75</v>
      </c>
      <c r="AX247" s="237">
        <f t="shared" si="106"/>
        <v>10</v>
      </c>
      <c r="AY247" s="237" t="s">
        <v>2739</v>
      </c>
      <c r="AZ247" s="243">
        <f t="shared" si="107"/>
        <v>82.575000000000003</v>
      </c>
      <c r="BA247" s="228" t="s">
        <v>2845</v>
      </c>
      <c r="BB247" s="237" t="s">
        <v>2739</v>
      </c>
      <c r="BC247" s="242">
        <v>1</v>
      </c>
      <c r="BD247" s="242">
        <f t="shared" si="102"/>
        <v>82.575000000000003</v>
      </c>
      <c r="BF247" s="228" t="s">
        <v>3955</v>
      </c>
      <c r="BG247" s="227" t="s">
        <v>4028</v>
      </c>
    </row>
    <row r="248" spans="1:59" s="96" customFormat="1" ht="15" customHeight="1">
      <c r="A248" s="21">
        <v>43990</v>
      </c>
      <c r="B248" s="96" t="s">
        <v>4092</v>
      </c>
      <c r="C248" s="22" t="s">
        <v>78</v>
      </c>
      <c r="D248" s="97" t="s">
        <v>4093</v>
      </c>
      <c r="E248" s="22">
        <v>2239</v>
      </c>
      <c r="F248" s="69" t="s">
        <v>2846</v>
      </c>
      <c r="G248" s="69" t="s">
        <v>2846</v>
      </c>
      <c r="H248" s="70">
        <v>80</v>
      </c>
      <c r="I248" s="71" t="s">
        <v>3313</v>
      </c>
      <c r="J248" s="71">
        <v>5000</v>
      </c>
      <c r="K248" s="71" t="s">
        <v>3314</v>
      </c>
      <c r="L248" s="72">
        <v>1</v>
      </c>
      <c r="M248" s="72" t="s">
        <v>64</v>
      </c>
      <c r="N248" s="73">
        <v>400000</v>
      </c>
      <c r="O248" s="73">
        <v>5000</v>
      </c>
      <c r="P248" s="74">
        <v>3.45</v>
      </c>
      <c r="Q248" s="74">
        <f>O248*P248</f>
        <v>17250</v>
      </c>
      <c r="R248" s="21">
        <v>44001</v>
      </c>
      <c r="S248" s="99" t="s">
        <v>4094</v>
      </c>
      <c r="T248" s="22" t="s">
        <v>3036</v>
      </c>
      <c r="U248" s="97" t="s">
        <v>4095</v>
      </c>
      <c r="V248" s="22"/>
      <c r="W248" s="72" t="e">
        <f t="shared" ca="1" si="98"/>
        <v>#NAME?</v>
      </c>
      <c r="X248" s="456">
        <v>0</v>
      </c>
      <c r="Y248" s="97"/>
      <c r="AG248" s="102">
        <f>O248-X248-AA248-AD248</f>
        <v>5000</v>
      </c>
      <c r="AH248" s="110" t="s">
        <v>78</v>
      </c>
      <c r="AI248" s="386" t="s">
        <v>79</v>
      </c>
      <c r="AJ248" s="101">
        <f t="shared" si="108"/>
        <v>5000</v>
      </c>
      <c r="AK248" s="184" t="e">
        <f t="shared" ca="1" si="97"/>
        <v>#NAME?</v>
      </c>
      <c r="AL248" s="99"/>
      <c r="AM248" s="22"/>
      <c r="AN248" s="22"/>
      <c r="AO248" s="22"/>
      <c r="AP248" s="96" t="s">
        <v>4096</v>
      </c>
      <c r="AR248" s="96" t="s">
        <v>3063</v>
      </c>
      <c r="AS248" s="199">
        <f t="shared" si="99"/>
        <v>17250</v>
      </c>
      <c r="AT248" s="199">
        <f t="shared" si="100"/>
        <v>1742.25</v>
      </c>
      <c r="AU248" s="199">
        <v>0</v>
      </c>
      <c r="AV248" s="199">
        <v>0</v>
      </c>
      <c r="AW248" s="199">
        <f>SUBTOTAL(9,AS248:AV248)</f>
        <v>18992.25</v>
      </c>
      <c r="AX248" s="101">
        <v>5000</v>
      </c>
      <c r="AY248" s="237" t="s">
        <v>2724</v>
      </c>
      <c r="AZ248" s="199">
        <f t="shared" si="107"/>
        <v>3.7984499999999999</v>
      </c>
      <c r="BA248" s="199" t="s">
        <v>2721</v>
      </c>
      <c r="BB248" s="287" t="s">
        <v>2739</v>
      </c>
      <c r="BC248" s="199">
        <v>1</v>
      </c>
      <c r="BD248" s="199">
        <f t="shared" si="102"/>
        <v>3.7984499999999999</v>
      </c>
      <c r="BF248" s="96" t="s">
        <v>3137</v>
      </c>
      <c r="BG248" s="21" t="s">
        <v>4028</v>
      </c>
    </row>
    <row r="249" spans="1:59" s="228" customFormat="1" ht="15" customHeight="1">
      <c r="A249" s="21">
        <v>43990</v>
      </c>
      <c r="B249" s="96" t="s">
        <v>4092</v>
      </c>
      <c r="C249" s="22" t="s">
        <v>78</v>
      </c>
      <c r="D249" s="97" t="s">
        <v>4093</v>
      </c>
      <c r="E249" s="22">
        <v>2239</v>
      </c>
      <c r="F249" s="69" t="s">
        <v>2846</v>
      </c>
      <c r="G249" s="69" t="s">
        <v>2846</v>
      </c>
      <c r="H249" s="70">
        <v>80</v>
      </c>
      <c r="I249" s="71" t="s">
        <v>3313</v>
      </c>
      <c r="J249" s="71">
        <v>15000</v>
      </c>
      <c r="K249" s="71" t="s">
        <v>3314</v>
      </c>
      <c r="L249" s="72">
        <v>1</v>
      </c>
      <c r="M249" s="72" t="s">
        <v>64</v>
      </c>
      <c r="N249" s="73">
        <v>1200000</v>
      </c>
      <c r="O249" s="73">
        <v>15000</v>
      </c>
      <c r="P249" s="74">
        <v>3.45</v>
      </c>
      <c r="Q249" s="74">
        <f>O249*P249</f>
        <v>51750</v>
      </c>
      <c r="R249" s="21">
        <v>44008</v>
      </c>
      <c r="S249" s="99" t="s">
        <v>4097</v>
      </c>
      <c r="T249" s="22" t="s">
        <v>3036</v>
      </c>
      <c r="U249" s="97" t="s">
        <v>4095</v>
      </c>
      <c r="V249" s="22"/>
      <c r="W249" s="72" t="e">
        <f t="shared" ca="1" si="98"/>
        <v>#NAME?</v>
      </c>
      <c r="X249" s="456">
        <v>0</v>
      </c>
      <c r="Y249" s="97"/>
      <c r="Z249" s="96"/>
      <c r="AA249" s="96"/>
      <c r="AB249" s="96"/>
      <c r="AC249" s="96"/>
      <c r="AD249" s="96"/>
      <c r="AE249" s="96"/>
      <c r="AF249" s="96"/>
      <c r="AG249" s="102">
        <f>O249-X249-AA249-AD249</f>
        <v>15000</v>
      </c>
      <c r="AH249" s="110" t="s">
        <v>78</v>
      </c>
      <c r="AI249" s="22" t="s">
        <v>79</v>
      </c>
      <c r="AJ249" s="101">
        <f t="shared" si="108"/>
        <v>15000</v>
      </c>
      <c r="AK249" s="184" t="e">
        <f t="shared" ca="1" si="97"/>
        <v>#NAME?</v>
      </c>
      <c r="AL249" s="99"/>
      <c r="AM249" s="22"/>
      <c r="AN249" s="22"/>
      <c r="AO249" s="22"/>
      <c r="AP249" s="96" t="s">
        <v>4098</v>
      </c>
      <c r="AQ249" s="96"/>
      <c r="AR249" s="96" t="s">
        <v>3063</v>
      </c>
      <c r="AS249" s="199">
        <f t="shared" si="99"/>
        <v>51750</v>
      </c>
      <c r="AT249" s="199">
        <f t="shared" si="100"/>
        <v>5226.75</v>
      </c>
      <c r="AU249" s="199">
        <v>0</v>
      </c>
      <c r="AV249" s="199">
        <v>0</v>
      </c>
      <c r="AW249" s="199">
        <f>SUBTOTAL(9,AS249:AV249)</f>
        <v>56976.75</v>
      </c>
      <c r="AX249" s="101">
        <v>15000</v>
      </c>
      <c r="AY249" s="237" t="s">
        <v>2724</v>
      </c>
      <c r="AZ249" s="199">
        <f t="shared" si="107"/>
        <v>3.7984499999999999</v>
      </c>
      <c r="BA249" s="199" t="s">
        <v>2721</v>
      </c>
      <c r="BB249" s="287" t="s">
        <v>2739</v>
      </c>
      <c r="BC249" s="199">
        <v>1</v>
      </c>
      <c r="BD249" s="199">
        <f t="shared" si="102"/>
        <v>3.7984499999999999</v>
      </c>
      <c r="BE249" s="96"/>
      <c r="BF249" s="96" t="s">
        <v>3137</v>
      </c>
      <c r="BG249" s="21" t="s">
        <v>4028</v>
      </c>
    </row>
    <row r="250" spans="1:59" s="228" customFormat="1" ht="15" customHeight="1">
      <c r="A250" s="227">
        <v>43993</v>
      </c>
      <c r="B250" s="228" t="s">
        <v>3714</v>
      </c>
      <c r="C250" s="229" t="s">
        <v>3695</v>
      </c>
      <c r="D250" s="230" t="s">
        <v>3984</v>
      </c>
      <c r="E250" s="229" t="s">
        <v>3985</v>
      </c>
      <c r="F250" s="231">
        <v>32</v>
      </c>
      <c r="G250" s="231">
        <v>528192</v>
      </c>
      <c r="H250" s="231">
        <v>16506</v>
      </c>
      <c r="I250" s="229" t="s">
        <v>2736</v>
      </c>
      <c r="J250" s="229">
        <v>1834</v>
      </c>
      <c r="K250" s="229" t="s">
        <v>2953</v>
      </c>
      <c r="L250" s="232">
        <v>1</v>
      </c>
      <c r="M250" s="232" t="s">
        <v>64</v>
      </c>
      <c r="N250" s="231">
        <v>16506</v>
      </c>
      <c r="O250" s="231" t="s">
        <v>2846</v>
      </c>
      <c r="P250" s="233">
        <v>8.3000000000000007</v>
      </c>
      <c r="Q250" s="233">
        <f t="shared" ref="Q250:Q255" si="109">N250*P250</f>
        <v>136999.80000000002</v>
      </c>
      <c r="R250" s="227">
        <v>44012</v>
      </c>
      <c r="S250" s="235" t="s">
        <v>4110</v>
      </c>
      <c r="T250" s="229" t="s">
        <v>3036</v>
      </c>
      <c r="U250" s="230" t="s">
        <v>4111</v>
      </c>
      <c r="V250" s="229" t="s">
        <v>4112</v>
      </c>
      <c r="W250" s="232" t="e">
        <f t="shared" ca="1" si="98"/>
        <v>#NAME?</v>
      </c>
      <c r="X250" s="456">
        <v>16506</v>
      </c>
      <c r="Y250" s="230" t="s">
        <v>4113</v>
      </c>
      <c r="Z250" s="236">
        <v>44019</v>
      </c>
      <c r="AG250" s="238">
        <f>N250-X250-AA250-AD250</f>
        <v>0</v>
      </c>
      <c r="AH250" s="239" t="s">
        <v>86</v>
      </c>
      <c r="AI250" s="229" t="s">
        <v>2736</v>
      </c>
      <c r="AJ250" s="237">
        <f>+AG250*2</f>
        <v>0</v>
      </c>
      <c r="AK250" s="241" t="e">
        <f t="shared" ca="1" si="97"/>
        <v>#NAME?</v>
      </c>
      <c r="AL250" s="235" t="s">
        <v>4114</v>
      </c>
      <c r="AM250" s="229"/>
      <c r="AN250" s="229"/>
      <c r="AO250" s="229"/>
      <c r="AP250" s="228" t="s">
        <v>4115</v>
      </c>
      <c r="AR250" s="228" t="s">
        <v>3063</v>
      </c>
      <c r="AS250" s="334">
        <f t="shared" ref="AS250:AS256" si="110">Q250</f>
        <v>136999.80000000002</v>
      </c>
      <c r="AT250" s="242">
        <f t="shared" si="100"/>
        <v>13836.979800000003</v>
      </c>
      <c r="AW250" s="335">
        <f>AS250+AT250</f>
        <v>150836.77980000002</v>
      </c>
      <c r="AX250" s="237">
        <f>+N250</f>
        <v>16506</v>
      </c>
      <c r="AY250" s="237" t="s">
        <v>2736</v>
      </c>
      <c r="AZ250" s="243">
        <f t="shared" si="107"/>
        <v>9.138300000000001</v>
      </c>
      <c r="BA250" s="228" t="s">
        <v>2836</v>
      </c>
      <c r="BB250" s="237" t="s">
        <v>2739</v>
      </c>
      <c r="BC250" s="242">
        <v>1</v>
      </c>
      <c r="BD250" s="242">
        <f t="shared" si="102"/>
        <v>9.138300000000001</v>
      </c>
      <c r="BF250" s="228" t="s">
        <v>3137</v>
      </c>
      <c r="BG250" s="227" t="s">
        <v>4028</v>
      </c>
    </row>
    <row r="251" spans="1:59" s="228" customFormat="1" ht="15" customHeight="1">
      <c r="A251" s="227">
        <v>43993</v>
      </c>
      <c r="B251" s="228" t="s">
        <v>4024</v>
      </c>
      <c r="C251" s="229" t="s">
        <v>1584</v>
      </c>
      <c r="D251" s="230" t="s">
        <v>3915</v>
      </c>
      <c r="E251" s="229" t="s">
        <v>3865</v>
      </c>
      <c r="F251" s="231">
        <v>-16.899999999999999</v>
      </c>
      <c r="G251" s="231">
        <f>F251*18</f>
        <v>-304.2</v>
      </c>
      <c r="H251" s="231">
        <v>-18</v>
      </c>
      <c r="I251" s="229" t="s">
        <v>3132</v>
      </c>
      <c r="J251" s="229" t="s">
        <v>2846</v>
      </c>
      <c r="K251" s="229" t="s">
        <v>2846</v>
      </c>
      <c r="L251" s="232">
        <v>1</v>
      </c>
      <c r="M251" s="232" t="s">
        <v>64</v>
      </c>
      <c r="N251" s="231">
        <f>H251</f>
        <v>-18</v>
      </c>
      <c r="O251" s="231" t="s">
        <v>2846</v>
      </c>
      <c r="P251" s="233">
        <v>4.75</v>
      </c>
      <c r="Q251" s="233">
        <f t="shared" si="109"/>
        <v>-85.5</v>
      </c>
      <c r="R251" s="229" t="s">
        <v>2970</v>
      </c>
      <c r="S251" s="235" t="s">
        <v>2846</v>
      </c>
      <c r="T251" s="229" t="s">
        <v>2846</v>
      </c>
      <c r="U251" s="230" t="s">
        <v>4025</v>
      </c>
      <c r="V251" s="229" t="s">
        <v>4026</v>
      </c>
      <c r="W251" s="232" t="s">
        <v>4027</v>
      </c>
      <c r="X251" s="456">
        <v>0</v>
      </c>
      <c r="Y251" s="230" t="s">
        <v>4027</v>
      </c>
      <c r="AG251" s="238">
        <f>N251</f>
        <v>-18</v>
      </c>
      <c r="AH251" s="248" t="s">
        <v>82</v>
      </c>
      <c r="AI251" s="229" t="s">
        <v>2739</v>
      </c>
      <c r="AJ251" s="237">
        <v>0</v>
      </c>
      <c r="AK251" s="241" t="e">
        <f t="shared" ca="1" si="97"/>
        <v>#NAME?</v>
      </c>
      <c r="AL251" s="235"/>
      <c r="AM251" s="229"/>
      <c r="AN251" s="229"/>
      <c r="AO251" s="229"/>
      <c r="AP251" s="228" t="s">
        <v>4023</v>
      </c>
      <c r="AR251" s="228" t="s">
        <v>3063</v>
      </c>
      <c r="AS251" s="334">
        <f t="shared" si="110"/>
        <v>-85.5</v>
      </c>
      <c r="AT251" s="335">
        <f t="shared" ref="AT251:AT256" si="111">AS251*0.101</f>
        <v>-8.6355000000000004</v>
      </c>
      <c r="AU251" s="242">
        <v>0</v>
      </c>
      <c r="AV251" s="242">
        <v>0</v>
      </c>
      <c r="AW251" s="242">
        <f>SUBTOTAL(9,AS251:AV251)</f>
        <v>-94.135500000000008</v>
      </c>
      <c r="AX251" s="237">
        <f>+H251</f>
        <v>-18</v>
      </c>
      <c r="AY251" s="237" t="s">
        <v>2736</v>
      </c>
      <c r="AZ251" s="242">
        <f t="shared" si="107"/>
        <v>5.2297500000000001</v>
      </c>
      <c r="BA251" s="279" t="s">
        <v>2786</v>
      </c>
      <c r="BB251" s="237" t="s">
        <v>2739</v>
      </c>
      <c r="BC251" s="242">
        <v>1</v>
      </c>
      <c r="BD251" s="242">
        <f t="shared" si="102"/>
        <v>5.2297500000000001</v>
      </c>
      <c r="BF251" s="228" t="s">
        <v>3137</v>
      </c>
      <c r="BG251" s="227" t="s">
        <v>4028</v>
      </c>
    </row>
    <row r="252" spans="1:59" s="228" customFormat="1" ht="15" customHeight="1">
      <c r="A252" s="227">
        <v>43994</v>
      </c>
      <c r="B252" s="228" t="s">
        <v>3056</v>
      </c>
      <c r="C252" s="229" t="s">
        <v>1584</v>
      </c>
      <c r="D252" s="230" t="s">
        <v>4120</v>
      </c>
      <c r="E252" s="229" t="s">
        <v>3424</v>
      </c>
      <c r="F252" s="231">
        <v>-16</v>
      </c>
      <c r="G252" s="231">
        <f>(-16)*2004</f>
        <v>-32064</v>
      </c>
      <c r="H252" s="231">
        <v>-2004</v>
      </c>
      <c r="I252" s="229" t="s">
        <v>3132</v>
      </c>
      <c r="J252" s="229" t="s">
        <v>2846</v>
      </c>
      <c r="K252" s="229" t="s">
        <v>2846</v>
      </c>
      <c r="L252" s="232">
        <v>1</v>
      </c>
      <c r="M252" s="232" t="s">
        <v>64</v>
      </c>
      <c r="N252" s="231">
        <v>-2004</v>
      </c>
      <c r="O252" s="231" t="s">
        <v>2846</v>
      </c>
      <c r="P252" s="233">
        <v>6.15</v>
      </c>
      <c r="Q252" s="233">
        <f t="shared" si="109"/>
        <v>-12324.6</v>
      </c>
      <c r="R252" s="229" t="s">
        <v>2970</v>
      </c>
      <c r="S252" s="235" t="s">
        <v>2846</v>
      </c>
      <c r="T252" s="229" t="s">
        <v>2846</v>
      </c>
      <c r="U252" s="230" t="s">
        <v>4121</v>
      </c>
      <c r="V252" s="229" t="s">
        <v>4122</v>
      </c>
      <c r="W252" s="232" t="s">
        <v>4027</v>
      </c>
      <c r="X252" s="456">
        <v>0</v>
      </c>
      <c r="Y252" s="230" t="s">
        <v>4027</v>
      </c>
      <c r="AG252" s="238">
        <f>N252</f>
        <v>-2004</v>
      </c>
      <c r="AH252" s="248" t="s">
        <v>82</v>
      </c>
      <c r="AI252" s="229"/>
      <c r="AJ252" s="237"/>
      <c r="AK252" s="237"/>
      <c r="AL252" s="235"/>
      <c r="AM252" s="229"/>
      <c r="AN252" s="229"/>
      <c r="AO252" s="229"/>
      <c r="AP252" s="228" t="s">
        <v>4123</v>
      </c>
      <c r="AR252" s="228" t="s">
        <v>3063</v>
      </c>
      <c r="AS252" s="334">
        <f t="shared" si="110"/>
        <v>-12324.6</v>
      </c>
      <c r="AT252" s="335">
        <f t="shared" si="111"/>
        <v>-1244.7846000000002</v>
      </c>
      <c r="AU252" s="242">
        <v>0</v>
      </c>
      <c r="AV252" s="242">
        <v>0</v>
      </c>
      <c r="AW252" s="242">
        <f>SUBTOTAL(9,AS252:AV252)</f>
        <v>-13569.384600000001</v>
      </c>
      <c r="AX252" s="237">
        <f t="shared" ref="AX252:AX258" si="112">+N252</f>
        <v>-2004</v>
      </c>
      <c r="AY252" s="237" t="s">
        <v>2736</v>
      </c>
      <c r="AZ252" s="242">
        <f t="shared" si="107"/>
        <v>6.7711500000000004</v>
      </c>
      <c r="BA252" s="279" t="s">
        <v>2786</v>
      </c>
      <c r="BB252" s="237" t="s">
        <v>2739</v>
      </c>
      <c r="BC252" s="242">
        <v>1</v>
      </c>
      <c r="BD252" s="242">
        <f t="shared" si="102"/>
        <v>6.7711500000000004</v>
      </c>
      <c r="BF252" s="228" t="s">
        <v>3137</v>
      </c>
      <c r="BG252" s="227" t="s">
        <v>4028</v>
      </c>
    </row>
    <row r="253" spans="1:59" s="251" customFormat="1" ht="15" customHeight="1">
      <c r="A253" s="227">
        <v>43997</v>
      </c>
      <c r="B253" s="228" t="s">
        <v>4003</v>
      </c>
      <c r="C253" s="229" t="s">
        <v>3960</v>
      </c>
      <c r="D253" s="230" t="s">
        <v>4004</v>
      </c>
      <c r="E253" s="229" t="s">
        <v>4124</v>
      </c>
      <c r="F253" s="231">
        <v>7040</v>
      </c>
      <c r="G253" s="231">
        <f>F253*H253</f>
        <v>14080</v>
      </c>
      <c r="H253" s="231">
        <v>2</v>
      </c>
      <c r="I253" s="229" t="s">
        <v>2959</v>
      </c>
      <c r="J253" s="229" t="s">
        <v>2846</v>
      </c>
      <c r="K253" s="229" t="s">
        <v>2846</v>
      </c>
      <c r="L253" s="232">
        <v>1</v>
      </c>
      <c r="M253" s="232" t="s">
        <v>64</v>
      </c>
      <c r="N253" s="231">
        <f>H253</f>
        <v>2</v>
      </c>
      <c r="O253" s="231" t="s">
        <v>2846</v>
      </c>
      <c r="P253" s="233">
        <v>1039.21</v>
      </c>
      <c r="Q253" s="233">
        <f t="shared" si="109"/>
        <v>2078.42</v>
      </c>
      <c r="R253" s="229" t="s">
        <v>2970</v>
      </c>
      <c r="S253" s="235" t="s">
        <v>4110</v>
      </c>
      <c r="T253" s="229" t="s">
        <v>3036</v>
      </c>
      <c r="U253" s="230" t="s">
        <v>4125</v>
      </c>
      <c r="V253" s="229" t="s">
        <v>4126</v>
      </c>
      <c r="W253" s="232" t="e">
        <f t="shared" ref="W253:W258" ca="1" si="113">_xlfn.SINGLE(IF(AG253=0,"Yes","No"))</f>
        <v>#NAME?</v>
      </c>
      <c r="X253" s="456">
        <v>2</v>
      </c>
      <c r="Y253" s="230">
        <v>1013</v>
      </c>
      <c r="Z253" s="236">
        <v>44020</v>
      </c>
      <c r="AA253" s="228"/>
      <c r="AB253" s="228"/>
      <c r="AC253" s="228"/>
      <c r="AD253" s="228"/>
      <c r="AE253" s="228"/>
      <c r="AF253" s="228"/>
      <c r="AG253" s="238">
        <f>N253-X253-AA253-AD253</f>
        <v>0</v>
      </c>
      <c r="AH253" s="248" t="s">
        <v>87</v>
      </c>
      <c r="AI253" s="229" t="s">
        <v>2849</v>
      </c>
      <c r="AJ253" s="237">
        <f>+AG253*55</f>
        <v>0</v>
      </c>
      <c r="AK253" s="237" t="e">
        <f t="shared" ref="AK253:AK281" ca="1" si="114">_xlfn.SINGLE(IF(R253="TBD",49674,R253))</f>
        <v>#NAME?</v>
      </c>
      <c r="AL253" s="235" t="s">
        <v>4127</v>
      </c>
      <c r="AM253" s="229"/>
      <c r="AN253" s="229"/>
      <c r="AO253" s="229"/>
      <c r="AP253" s="228" t="s">
        <v>4128</v>
      </c>
      <c r="AQ253" s="228"/>
      <c r="AR253" s="228" t="s">
        <v>3039</v>
      </c>
      <c r="AS253" s="334">
        <f t="shared" si="110"/>
        <v>2078.42</v>
      </c>
      <c r="AT253" s="335">
        <f t="shared" si="111"/>
        <v>209.92042000000001</v>
      </c>
      <c r="AU253" s="242"/>
      <c r="AV253" s="242"/>
      <c r="AW253" s="242">
        <f>AS253+AT253</f>
        <v>2288.34042</v>
      </c>
      <c r="AX253" s="237">
        <f t="shared" si="112"/>
        <v>2</v>
      </c>
      <c r="AY253" s="237" t="s">
        <v>2959</v>
      </c>
      <c r="AZ253" s="242">
        <f t="shared" si="107"/>
        <v>1144.17021</v>
      </c>
      <c r="BA253" s="279" t="s">
        <v>2850</v>
      </c>
      <c r="BB253" s="237" t="s">
        <v>2959</v>
      </c>
      <c r="BC253" s="242">
        <v>1</v>
      </c>
      <c r="BD253" s="242">
        <f t="shared" si="102"/>
        <v>1144.17021</v>
      </c>
      <c r="BE253" s="228"/>
      <c r="BF253" s="228" t="s">
        <v>3137</v>
      </c>
      <c r="BG253" s="227" t="s">
        <v>4028</v>
      </c>
    </row>
    <row r="254" spans="1:59" s="96" customFormat="1" ht="15" customHeight="1">
      <c r="A254" s="250">
        <v>43998</v>
      </c>
      <c r="B254" s="251" t="s">
        <v>4129</v>
      </c>
      <c r="C254" s="252" t="s">
        <v>3948</v>
      </c>
      <c r="D254" s="253" t="s">
        <v>4130</v>
      </c>
      <c r="E254" s="252" t="s">
        <v>4131</v>
      </c>
      <c r="F254" s="254" t="s">
        <v>2846</v>
      </c>
      <c r="G254" s="254" t="s">
        <v>2846</v>
      </c>
      <c r="H254" s="254">
        <v>5</v>
      </c>
      <c r="I254" s="252" t="s">
        <v>2739</v>
      </c>
      <c r="J254" s="252" t="s">
        <v>2846</v>
      </c>
      <c r="K254" s="252" t="s">
        <v>2846</v>
      </c>
      <c r="L254" s="255">
        <v>1</v>
      </c>
      <c r="M254" s="255" t="s">
        <v>64</v>
      </c>
      <c r="N254" s="254">
        <v>5</v>
      </c>
      <c r="O254" s="254" t="s">
        <v>2846</v>
      </c>
      <c r="P254" s="256">
        <v>699.99</v>
      </c>
      <c r="Q254" s="256">
        <f t="shared" si="109"/>
        <v>3499.95</v>
      </c>
      <c r="R254" s="250">
        <v>44027</v>
      </c>
      <c r="S254" s="257" t="s">
        <v>4132</v>
      </c>
      <c r="T254" s="252" t="s">
        <v>3036</v>
      </c>
      <c r="U254" s="253" t="s">
        <v>4133</v>
      </c>
      <c r="V254" s="252" t="s">
        <v>4134</v>
      </c>
      <c r="W254" s="255" t="e">
        <f t="shared" ca="1" si="113"/>
        <v>#NAME?</v>
      </c>
      <c r="X254" s="460">
        <v>5</v>
      </c>
      <c r="Y254" s="253"/>
      <c r="Z254" s="251"/>
      <c r="AA254" s="251"/>
      <c r="AB254" s="251"/>
      <c r="AC254" s="251"/>
      <c r="AD254" s="251"/>
      <c r="AE254" s="251"/>
      <c r="AF254" s="251"/>
      <c r="AG254" s="258">
        <f>N254-X254-AA254-AD254</f>
        <v>0</v>
      </c>
      <c r="AH254" s="318" t="s">
        <v>92</v>
      </c>
      <c r="AI254" s="252" t="s">
        <v>2739</v>
      </c>
      <c r="AJ254" s="188">
        <f>+AG254*2</f>
        <v>0</v>
      </c>
      <c r="AK254" s="260" t="e">
        <f t="shared" ca="1" si="114"/>
        <v>#NAME?</v>
      </c>
      <c r="AL254" s="257" t="s">
        <v>4135</v>
      </c>
      <c r="AM254" s="252"/>
      <c r="AN254" s="252"/>
      <c r="AO254" s="252"/>
      <c r="AP254" s="251" t="s">
        <v>4136</v>
      </c>
      <c r="AQ254" s="251"/>
      <c r="AR254" s="251" t="s">
        <v>3039</v>
      </c>
      <c r="AS254" s="336">
        <f t="shared" si="110"/>
        <v>3499.95</v>
      </c>
      <c r="AT254" s="337">
        <f t="shared" si="111"/>
        <v>353.49495000000002</v>
      </c>
      <c r="AU254" s="261">
        <v>0</v>
      </c>
      <c r="AV254" s="261">
        <v>0</v>
      </c>
      <c r="AW254" s="337">
        <f>AS254+AT254</f>
        <v>3853.4449500000001</v>
      </c>
      <c r="AX254" s="188">
        <f t="shared" si="112"/>
        <v>5</v>
      </c>
      <c r="AY254" s="188" t="s">
        <v>2739</v>
      </c>
      <c r="AZ254" s="331">
        <f t="shared" si="107"/>
        <v>770.68898999999999</v>
      </c>
      <c r="BA254" s="393" t="s">
        <v>2844</v>
      </c>
      <c r="BB254" s="188" t="s">
        <v>2739</v>
      </c>
      <c r="BC254" s="261">
        <v>1</v>
      </c>
      <c r="BD254" s="261">
        <f t="shared" si="102"/>
        <v>770.68898999999999</v>
      </c>
      <c r="BE254" s="251"/>
      <c r="BF254" s="251" t="s">
        <v>3955</v>
      </c>
      <c r="BG254" s="250" t="s">
        <v>4028</v>
      </c>
    </row>
    <row r="255" spans="1:59" s="228" customFormat="1" ht="15" customHeight="1">
      <c r="A255" s="21">
        <v>43998</v>
      </c>
      <c r="B255" s="96" t="s">
        <v>4129</v>
      </c>
      <c r="C255" s="22" t="s">
        <v>3960</v>
      </c>
      <c r="D255" s="97" t="s">
        <v>4137</v>
      </c>
      <c r="E255" s="22" t="s">
        <v>4138</v>
      </c>
      <c r="F255" s="69" t="s">
        <v>2846</v>
      </c>
      <c r="G255" s="69" t="s">
        <v>2846</v>
      </c>
      <c r="H255" s="70">
        <v>108</v>
      </c>
      <c r="I255" s="71" t="s">
        <v>2739</v>
      </c>
      <c r="J255" s="71" t="s">
        <v>2846</v>
      </c>
      <c r="K255" s="71" t="s">
        <v>2846</v>
      </c>
      <c r="L255" s="72">
        <v>1</v>
      </c>
      <c r="M255" s="72" t="s">
        <v>64</v>
      </c>
      <c r="N255" s="73">
        <v>108</v>
      </c>
      <c r="O255" s="73" t="s">
        <v>2846</v>
      </c>
      <c r="P255" s="74">
        <v>38.67</v>
      </c>
      <c r="Q255" s="74">
        <f t="shared" si="109"/>
        <v>4176.3600000000006</v>
      </c>
      <c r="R255" s="21">
        <v>44027</v>
      </c>
      <c r="S255" s="99" t="s">
        <v>4132</v>
      </c>
      <c r="T255" s="22" t="s">
        <v>3036</v>
      </c>
      <c r="U255" s="97" t="s">
        <v>4133</v>
      </c>
      <c r="V255" s="22" t="s">
        <v>4134</v>
      </c>
      <c r="W255" s="72" t="e">
        <f t="shared" ca="1" si="113"/>
        <v>#NAME?</v>
      </c>
      <c r="X255" s="456">
        <v>0</v>
      </c>
      <c r="Y255" s="97"/>
      <c r="Z255" s="96"/>
      <c r="AA255" s="96"/>
      <c r="AB255" s="96"/>
      <c r="AC255" s="96"/>
      <c r="AD255" s="96"/>
      <c r="AE255" s="96"/>
      <c r="AF255" s="96"/>
      <c r="AG255" s="102">
        <f>+N255</f>
        <v>108</v>
      </c>
      <c r="AH255" s="110" t="s">
        <v>87</v>
      </c>
      <c r="AI255" s="22" t="s">
        <v>2849</v>
      </c>
      <c r="AJ255" s="101">
        <f>+AG255</f>
        <v>108</v>
      </c>
      <c r="AK255" s="184" t="e">
        <f t="shared" ca="1" si="114"/>
        <v>#NAME?</v>
      </c>
      <c r="AL255" s="99"/>
      <c r="AM255" s="22"/>
      <c r="AN255" s="22"/>
      <c r="AO255" s="22"/>
      <c r="AP255" s="96" t="s">
        <v>4139</v>
      </c>
      <c r="AQ255" s="96"/>
      <c r="AR255" s="96" t="s">
        <v>3039</v>
      </c>
      <c r="AS255" s="338">
        <f t="shared" si="110"/>
        <v>4176.3600000000006</v>
      </c>
      <c r="AT255" s="339">
        <f t="shared" si="111"/>
        <v>421.81236000000007</v>
      </c>
      <c r="AU255" s="96"/>
      <c r="AV255" s="96"/>
      <c r="AW255" s="339">
        <f>AS255+AT255</f>
        <v>4598.1723600000005</v>
      </c>
      <c r="AX255" s="287">
        <f t="shared" si="112"/>
        <v>108</v>
      </c>
      <c r="AY255" s="199" t="s">
        <v>2849</v>
      </c>
      <c r="AZ255" s="296">
        <f t="shared" si="107"/>
        <v>42.575670000000002</v>
      </c>
      <c r="BA255" s="4" t="s">
        <v>2971</v>
      </c>
      <c r="BB255" s="101" t="s">
        <v>2849</v>
      </c>
      <c r="BC255" s="199">
        <v>1</v>
      </c>
      <c r="BD255" s="199">
        <f t="shared" si="102"/>
        <v>42.575670000000002</v>
      </c>
      <c r="BE255" s="96"/>
      <c r="BF255" s="228" t="s">
        <v>3137</v>
      </c>
      <c r="BG255" s="22" t="s">
        <v>4028</v>
      </c>
    </row>
    <row r="256" spans="1:59" s="228" customFormat="1" ht="15" customHeight="1">
      <c r="A256" s="227">
        <v>43999</v>
      </c>
      <c r="B256" s="228" t="s">
        <v>3383</v>
      </c>
      <c r="C256" s="229" t="s">
        <v>3804</v>
      </c>
      <c r="D256" s="230" t="s">
        <v>4140</v>
      </c>
      <c r="E256" s="229" t="s">
        <v>4141</v>
      </c>
      <c r="F256" s="231" t="s">
        <v>2846</v>
      </c>
      <c r="G256" s="231" t="s">
        <v>2846</v>
      </c>
      <c r="H256" s="231">
        <v>100</v>
      </c>
      <c r="I256" s="229" t="s">
        <v>2739</v>
      </c>
      <c r="J256" s="229">
        <v>20</v>
      </c>
      <c r="K256" s="229" t="s">
        <v>2733</v>
      </c>
      <c r="L256" s="232">
        <v>1</v>
      </c>
      <c r="M256" s="232" t="s">
        <v>64</v>
      </c>
      <c r="N256" s="231">
        <f>H256*J256</f>
        <v>2000</v>
      </c>
      <c r="O256" s="231">
        <v>20</v>
      </c>
      <c r="P256" s="233">
        <v>617</v>
      </c>
      <c r="Q256" s="233">
        <f>O256*P256</f>
        <v>12340</v>
      </c>
      <c r="R256" s="227">
        <v>44008</v>
      </c>
      <c r="S256" s="235" t="s">
        <v>4142</v>
      </c>
      <c r="T256" s="229" t="s">
        <v>3036</v>
      </c>
      <c r="U256" s="230"/>
      <c r="V256" s="229"/>
      <c r="W256" s="232" t="e">
        <f t="shared" ca="1" si="113"/>
        <v>#NAME?</v>
      </c>
      <c r="X256" s="456">
        <v>20</v>
      </c>
      <c r="Y256" s="230">
        <v>9564664671</v>
      </c>
      <c r="Z256" s="236">
        <v>44006</v>
      </c>
      <c r="AC256" s="236"/>
      <c r="AF256" s="236"/>
      <c r="AG256" s="238">
        <f>(Q256/P256)-X256-AA256-AD256</f>
        <v>0</v>
      </c>
      <c r="AH256" s="248" t="s">
        <v>2669</v>
      </c>
      <c r="AI256" s="229" t="s">
        <v>2739</v>
      </c>
      <c r="AJ256" s="237">
        <f>+AG256</f>
        <v>0</v>
      </c>
      <c r="AK256" s="241" t="e">
        <f t="shared" ca="1" si="114"/>
        <v>#NAME?</v>
      </c>
      <c r="AL256" s="235" t="s">
        <v>4143</v>
      </c>
      <c r="AM256" s="229"/>
      <c r="AN256" s="229"/>
      <c r="AO256" s="229"/>
      <c r="AP256" s="228" t="s">
        <v>4144</v>
      </c>
      <c r="AR256" s="228" t="s">
        <v>3039</v>
      </c>
      <c r="AS256" s="242">
        <f t="shared" si="110"/>
        <v>12340</v>
      </c>
      <c r="AT256" s="242">
        <f t="shared" si="111"/>
        <v>1246.3400000000001</v>
      </c>
      <c r="AU256" s="242"/>
      <c r="AV256" s="242"/>
      <c r="AW256" s="242">
        <f>AS256+AT256</f>
        <v>13586.34</v>
      </c>
      <c r="AX256" s="237">
        <f t="shared" si="112"/>
        <v>2000</v>
      </c>
      <c r="AY256" s="242" t="s">
        <v>2739</v>
      </c>
      <c r="AZ256" s="242">
        <f t="shared" si="107"/>
        <v>6.7931699999999999</v>
      </c>
      <c r="BA256" s="242" t="s">
        <v>2820</v>
      </c>
      <c r="BB256" s="242" t="s">
        <v>2953</v>
      </c>
      <c r="BC256" s="242">
        <v>1</v>
      </c>
      <c r="BD256" s="242">
        <f t="shared" si="102"/>
        <v>6.7931699999999999</v>
      </c>
      <c r="BF256" s="228" t="s">
        <v>36</v>
      </c>
      <c r="BG256" s="227" t="s">
        <v>4028</v>
      </c>
    </row>
    <row r="257" spans="1:59" s="228" customFormat="1" ht="15" customHeight="1">
      <c r="A257" s="227">
        <v>44000</v>
      </c>
      <c r="B257" s="228" t="s">
        <v>3056</v>
      </c>
      <c r="C257" s="229" t="s">
        <v>3685</v>
      </c>
      <c r="D257" s="230" t="s">
        <v>4145</v>
      </c>
      <c r="E257" s="229">
        <v>34400</v>
      </c>
      <c r="F257" s="231" t="s">
        <v>2846</v>
      </c>
      <c r="G257" s="231" t="s">
        <v>2846</v>
      </c>
      <c r="H257" s="231">
        <v>100</v>
      </c>
      <c r="I257" s="229" t="s">
        <v>2739</v>
      </c>
      <c r="J257" s="229">
        <v>300</v>
      </c>
      <c r="K257" s="229" t="s">
        <v>2733</v>
      </c>
      <c r="L257" s="232">
        <v>1</v>
      </c>
      <c r="M257" s="232" t="s">
        <v>64</v>
      </c>
      <c r="N257" s="231">
        <f>H257*J257</f>
        <v>30000</v>
      </c>
      <c r="O257" s="231">
        <v>300</v>
      </c>
      <c r="P257" s="233">
        <v>9.85</v>
      </c>
      <c r="Q257" s="233">
        <f>O257*P257</f>
        <v>2955</v>
      </c>
      <c r="R257" s="227">
        <v>43987</v>
      </c>
      <c r="S257" s="235" t="s">
        <v>4132</v>
      </c>
      <c r="T257" s="229" t="s">
        <v>3036</v>
      </c>
      <c r="U257" s="230" t="s">
        <v>4146</v>
      </c>
      <c r="V257" s="229" t="s">
        <v>4134</v>
      </c>
      <c r="W257" s="232" t="e">
        <f t="shared" ca="1" si="113"/>
        <v>#NAME?</v>
      </c>
      <c r="X257" s="456">
        <v>300</v>
      </c>
      <c r="Y257" s="230" t="s">
        <v>4147</v>
      </c>
      <c r="Z257" s="236">
        <v>44007</v>
      </c>
      <c r="AG257" s="238">
        <f>(Q257/P257)-X257-AA257-AD257</f>
        <v>0</v>
      </c>
      <c r="AH257" s="239" t="s">
        <v>80</v>
      </c>
      <c r="AI257" s="240" t="s">
        <v>2739</v>
      </c>
      <c r="AJ257" s="237">
        <f>+AG257*H257</f>
        <v>0</v>
      </c>
      <c r="AK257" s="241" t="e">
        <f t="shared" ca="1" si="114"/>
        <v>#NAME?</v>
      </c>
      <c r="AL257" s="235" t="s">
        <v>4148</v>
      </c>
      <c r="AM257" s="229"/>
      <c r="AN257" s="229"/>
      <c r="AO257" s="229"/>
      <c r="AP257" s="228" t="s">
        <v>4149</v>
      </c>
      <c r="AR257" s="228" t="s">
        <v>3063</v>
      </c>
      <c r="AS257" s="242">
        <f>+Q257</f>
        <v>2955</v>
      </c>
      <c r="AT257" s="242">
        <f>+AS257*0.101</f>
        <v>298.45500000000004</v>
      </c>
      <c r="AU257" s="242">
        <v>0</v>
      </c>
      <c r="AV257" s="242">
        <v>0</v>
      </c>
      <c r="AW257" s="242">
        <f>SUBTOTAL(9,AS257:AV257)</f>
        <v>3253.4549999999999</v>
      </c>
      <c r="AX257" s="237">
        <f t="shared" si="112"/>
        <v>30000</v>
      </c>
      <c r="AY257" s="242" t="s">
        <v>2739</v>
      </c>
      <c r="AZ257" s="242">
        <f t="shared" si="107"/>
        <v>0.1084485</v>
      </c>
      <c r="BA257" s="242" t="s">
        <v>2725</v>
      </c>
      <c r="BB257" s="242" t="s">
        <v>2733</v>
      </c>
      <c r="BC257" s="242">
        <v>100</v>
      </c>
      <c r="BD257" s="242">
        <f t="shared" si="102"/>
        <v>10.844850000000001</v>
      </c>
      <c r="BF257" s="228" t="s">
        <v>3137</v>
      </c>
      <c r="BG257" s="227" t="s">
        <v>4028</v>
      </c>
    </row>
    <row r="258" spans="1:59" s="228" customFormat="1" ht="15" customHeight="1">
      <c r="A258" s="227">
        <v>44007</v>
      </c>
      <c r="B258" s="228" t="s">
        <v>4150</v>
      </c>
      <c r="C258" s="229" t="s">
        <v>3368</v>
      </c>
      <c r="D258" s="230" t="s">
        <v>4151</v>
      </c>
      <c r="E258" s="229" t="s">
        <v>4152</v>
      </c>
      <c r="F258" s="231" t="s">
        <v>2846</v>
      </c>
      <c r="G258" s="231" t="s">
        <v>2846</v>
      </c>
      <c r="H258" s="231">
        <v>100</v>
      </c>
      <c r="I258" s="229" t="s">
        <v>2739</v>
      </c>
      <c r="J258" s="229">
        <v>20000</v>
      </c>
      <c r="K258" s="229" t="s">
        <v>2733</v>
      </c>
      <c r="L258" s="232">
        <v>1</v>
      </c>
      <c r="M258" s="232" t="s">
        <v>64</v>
      </c>
      <c r="N258" s="231">
        <f>H258*J258</f>
        <v>2000000</v>
      </c>
      <c r="O258" s="231" t="s">
        <v>2846</v>
      </c>
      <c r="P258" s="233">
        <v>0.19</v>
      </c>
      <c r="Q258" s="233">
        <f>N258*P258</f>
        <v>380000</v>
      </c>
      <c r="R258" s="227">
        <v>44018</v>
      </c>
      <c r="S258" s="235" t="s">
        <v>4132</v>
      </c>
      <c r="T258" s="229" t="s">
        <v>3036</v>
      </c>
      <c r="U258" s="230" t="s">
        <v>4153</v>
      </c>
      <c r="V258" s="229"/>
      <c r="W258" s="232" t="e">
        <f t="shared" ca="1" si="113"/>
        <v>#NAME?</v>
      </c>
      <c r="X258" s="456">
        <v>2016000</v>
      </c>
      <c r="Y258" s="230">
        <v>2125</v>
      </c>
      <c r="Z258" s="236">
        <v>44021</v>
      </c>
      <c r="AG258" s="238">
        <f>+N258-X258</f>
        <v>-16000</v>
      </c>
      <c r="AH258" s="248" t="s">
        <v>68</v>
      </c>
      <c r="AI258" s="229" t="s">
        <v>2739</v>
      </c>
      <c r="AJ258" s="237">
        <f>+AG258</f>
        <v>-16000</v>
      </c>
      <c r="AK258" s="241" t="e">
        <f t="shared" ca="1" si="114"/>
        <v>#NAME?</v>
      </c>
      <c r="AL258" s="235" t="s">
        <v>4154</v>
      </c>
      <c r="AM258" s="229"/>
      <c r="AN258" s="229"/>
      <c r="AO258" s="229"/>
      <c r="AP258" s="228" t="s">
        <v>4155</v>
      </c>
      <c r="AR258" s="228" t="s">
        <v>3039</v>
      </c>
      <c r="AS258" s="334">
        <f t="shared" ref="AS258:AS294" si="115">Q258</f>
        <v>380000</v>
      </c>
      <c r="AT258" s="335">
        <f t="shared" ref="AT258:AT294" si="116">AS258*0.101</f>
        <v>38380</v>
      </c>
      <c r="AW258" s="335">
        <f t="shared" ref="AW258:AW294" si="117">AS258+AT258</f>
        <v>418380</v>
      </c>
      <c r="AX258" s="237">
        <f t="shared" si="112"/>
        <v>2000000</v>
      </c>
      <c r="AY258" s="237" t="s">
        <v>2739</v>
      </c>
      <c r="AZ258" s="243">
        <f t="shared" si="107"/>
        <v>0.20918999999999999</v>
      </c>
      <c r="BA258" s="228" t="s">
        <v>2744</v>
      </c>
      <c r="BB258" s="237" t="s">
        <v>2733</v>
      </c>
      <c r="BC258" s="242">
        <v>100</v>
      </c>
      <c r="BD258" s="242">
        <f t="shared" si="102"/>
        <v>20.918999999999997</v>
      </c>
      <c r="BF258" s="228" t="s">
        <v>36</v>
      </c>
      <c r="BG258" s="227" t="s">
        <v>4028</v>
      </c>
    </row>
    <row r="259" spans="1:59" s="228" customFormat="1" ht="15" customHeight="1">
      <c r="A259" s="227">
        <v>44008</v>
      </c>
      <c r="B259" s="228" t="s">
        <v>3552</v>
      </c>
      <c r="C259" s="229" t="s">
        <v>95</v>
      </c>
      <c r="D259" s="230" t="s">
        <v>4171</v>
      </c>
      <c r="E259" s="229" t="s">
        <v>4172</v>
      </c>
      <c r="F259" s="231" t="s">
        <v>2846</v>
      </c>
      <c r="G259" s="231" t="s">
        <v>2846</v>
      </c>
      <c r="H259" s="231" t="s">
        <v>2846</v>
      </c>
      <c r="I259" s="229" t="s">
        <v>2846</v>
      </c>
      <c r="J259" s="229">
        <v>100</v>
      </c>
      <c r="K259" s="229" t="s">
        <v>2953</v>
      </c>
      <c r="L259" s="232">
        <v>1</v>
      </c>
      <c r="M259" s="232" t="s">
        <v>64</v>
      </c>
      <c r="N259" s="231" t="s">
        <v>2846</v>
      </c>
      <c r="O259" s="231">
        <v>100</v>
      </c>
      <c r="P259" s="233">
        <v>23.07</v>
      </c>
      <c r="Q259" s="233">
        <f>O259*P259</f>
        <v>2307</v>
      </c>
      <c r="R259" s="227">
        <v>44011</v>
      </c>
      <c r="S259" s="235" t="s">
        <v>4110</v>
      </c>
      <c r="T259" s="229" t="s">
        <v>3036</v>
      </c>
      <c r="U259" s="230" t="s">
        <v>4166</v>
      </c>
      <c r="V259" s="228" t="s">
        <v>4173</v>
      </c>
      <c r="W259" s="232" t="s">
        <v>3084</v>
      </c>
      <c r="X259" s="456">
        <v>100</v>
      </c>
      <c r="Y259" s="230" t="s">
        <v>4168</v>
      </c>
      <c r="Z259" s="236">
        <v>44025</v>
      </c>
      <c r="AG259" s="238">
        <f>O259-X259-AA259-AD259</f>
        <v>0</v>
      </c>
      <c r="AH259" s="248" t="s">
        <v>95</v>
      </c>
      <c r="AI259" s="229" t="s">
        <v>2781</v>
      </c>
      <c r="AJ259" s="237">
        <v>0</v>
      </c>
      <c r="AK259" s="241" t="e">
        <f t="shared" ca="1" si="114"/>
        <v>#NAME?</v>
      </c>
      <c r="AL259" s="235" t="s">
        <v>4174</v>
      </c>
      <c r="AM259" s="229"/>
      <c r="AN259" s="229"/>
      <c r="AO259" s="229"/>
      <c r="AP259" s="228" t="s">
        <v>4175</v>
      </c>
      <c r="AR259" s="228" t="s">
        <v>3039</v>
      </c>
      <c r="AS259" s="242">
        <f t="shared" si="115"/>
        <v>2307</v>
      </c>
      <c r="AT259" s="242">
        <f t="shared" si="116"/>
        <v>233.00700000000001</v>
      </c>
      <c r="AU259" s="242">
        <v>0</v>
      </c>
      <c r="AV259" s="242">
        <v>0</v>
      </c>
      <c r="AW259" s="242">
        <f t="shared" si="117"/>
        <v>2540.0070000000001</v>
      </c>
      <c r="AX259" s="237">
        <f>O259*16</f>
        <v>1600</v>
      </c>
      <c r="AY259" s="242" t="s">
        <v>2781</v>
      </c>
      <c r="AZ259" s="243">
        <f t="shared" si="107"/>
        <v>1.587504375</v>
      </c>
      <c r="BA259" s="242" t="s">
        <v>2779</v>
      </c>
      <c r="BB259" s="242" t="s">
        <v>2953</v>
      </c>
      <c r="BC259" s="242">
        <v>1</v>
      </c>
      <c r="BD259" s="242">
        <f t="shared" si="102"/>
        <v>1.587504375</v>
      </c>
      <c r="BF259" s="228" t="s">
        <v>3162</v>
      </c>
      <c r="BG259" s="227" t="s">
        <v>4028</v>
      </c>
    </row>
    <row r="260" spans="1:59" s="228" customFormat="1" ht="15" customHeight="1">
      <c r="A260" s="227">
        <v>44008</v>
      </c>
      <c r="B260" s="228" t="s">
        <v>3552</v>
      </c>
      <c r="C260" s="229" t="s">
        <v>95</v>
      </c>
      <c r="D260" s="230" t="s">
        <v>4163</v>
      </c>
      <c r="E260" s="229" t="s">
        <v>4164</v>
      </c>
      <c r="F260" s="231" t="s">
        <v>2846</v>
      </c>
      <c r="G260" s="231" t="s">
        <v>2846</v>
      </c>
      <c r="H260" s="231" t="s">
        <v>2846</v>
      </c>
      <c r="I260" s="229" t="s">
        <v>2846</v>
      </c>
      <c r="J260" s="229">
        <v>200</v>
      </c>
      <c r="K260" s="229" t="s">
        <v>2953</v>
      </c>
      <c r="L260" s="232">
        <v>1</v>
      </c>
      <c r="M260" s="232" t="s">
        <v>4165</v>
      </c>
      <c r="N260" s="231" t="s">
        <v>2846</v>
      </c>
      <c r="O260" s="231">
        <v>200</v>
      </c>
      <c r="P260" s="233">
        <v>18.489999999999998</v>
      </c>
      <c r="Q260" s="233">
        <f>O260*P260</f>
        <v>3697.9999999999995</v>
      </c>
      <c r="R260" s="227">
        <v>44011</v>
      </c>
      <c r="S260" s="235" t="s">
        <v>4110</v>
      </c>
      <c r="T260" s="229" t="s">
        <v>3036</v>
      </c>
      <c r="U260" s="230" t="s">
        <v>4166</v>
      </c>
      <c r="V260" s="228" t="s">
        <v>4167</v>
      </c>
      <c r="W260" s="232" t="s">
        <v>3084</v>
      </c>
      <c r="X260" s="456">
        <v>200</v>
      </c>
      <c r="Y260" s="230" t="s">
        <v>4168</v>
      </c>
      <c r="Z260" s="236">
        <v>44025</v>
      </c>
      <c r="AG260" s="238">
        <f>O260-X260-AA260-AD260</f>
        <v>0</v>
      </c>
      <c r="AH260" s="248" t="s">
        <v>95</v>
      </c>
      <c r="AI260" s="229" t="s">
        <v>2781</v>
      </c>
      <c r="AJ260" s="237">
        <v>0</v>
      </c>
      <c r="AK260" s="241" t="e">
        <f t="shared" ca="1" si="114"/>
        <v>#NAME?</v>
      </c>
      <c r="AL260" s="235" t="s">
        <v>4169</v>
      </c>
      <c r="AM260" s="229"/>
      <c r="AN260" s="229"/>
      <c r="AO260" s="229"/>
      <c r="AP260" s="228" t="s">
        <v>4170</v>
      </c>
      <c r="AR260" s="228" t="s">
        <v>3039</v>
      </c>
      <c r="AS260" s="242">
        <f t="shared" si="115"/>
        <v>3697.9999999999995</v>
      </c>
      <c r="AT260" s="242">
        <f t="shared" si="116"/>
        <v>373.49799999999999</v>
      </c>
      <c r="AU260" s="242">
        <v>0</v>
      </c>
      <c r="AV260" s="242">
        <v>0</v>
      </c>
      <c r="AW260" s="242">
        <f t="shared" si="117"/>
        <v>4071.4979999999996</v>
      </c>
      <c r="AX260" s="237">
        <f>O260*16</f>
        <v>3200</v>
      </c>
      <c r="AY260" s="242" t="s">
        <v>2781</v>
      </c>
      <c r="AZ260" s="243">
        <f t="shared" si="107"/>
        <v>1.2723431249999999</v>
      </c>
      <c r="BA260" s="242" t="s">
        <v>2779</v>
      </c>
      <c r="BB260" s="242" t="s">
        <v>2953</v>
      </c>
      <c r="BC260" s="242">
        <v>1</v>
      </c>
      <c r="BD260" s="242">
        <f t="shared" si="102"/>
        <v>1.2723431249999999</v>
      </c>
      <c r="BF260" s="228" t="s">
        <v>3162</v>
      </c>
      <c r="BG260" s="227" t="s">
        <v>4028</v>
      </c>
    </row>
    <row r="261" spans="1:59" s="96" customFormat="1" ht="15" customHeight="1">
      <c r="A261" s="227">
        <v>44011</v>
      </c>
      <c r="B261" s="228" t="s">
        <v>4181</v>
      </c>
      <c r="C261" s="229" t="s">
        <v>2971</v>
      </c>
      <c r="D261" s="230" t="s">
        <v>4182</v>
      </c>
      <c r="E261" s="229" t="s">
        <v>4183</v>
      </c>
      <c r="F261" s="231" t="s">
        <v>2846</v>
      </c>
      <c r="G261" s="231" t="s">
        <v>2846</v>
      </c>
      <c r="H261" s="231">
        <v>6</v>
      </c>
      <c r="I261" s="229" t="s">
        <v>2739</v>
      </c>
      <c r="J261" s="229" t="s">
        <v>2846</v>
      </c>
      <c r="K261" s="229" t="s">
        <v>2846</v>
      </c>
      <c r="L261" s="232">
        <v>1</v>
      </c>
      <c r="M261" s="232" t="s">
        <v>64</v>
      </c>
      <c r="N261" s="231">
        <v>6</v>
      </c>
      <c r="O261" s="231" t="s">
        <v>2846</v>
      </c>
      <c r="P261" s="233">
        <v>2434.21</v>
      </c>
      <c r="Q261" s="233">
        <f>N261*P261</f>
        <v>14605.26</v>
      </c>
      <c r="R261" s="227">
        <v>44019</v>
      </c>
      <c r="S261" s="235" t="s">
        <v>4184</v>
      </c>
      <c r="T261" s="229" t="s">
        <v>3036</v>
      </c>
      <c r="U261" s="230"/>
      <c r="V261" s="228"/>
      <c r="W261" s="232" t="e">
        <f ca="1">_xlfn.SINGLE(IF(AG261=0,"Yes","No"))</f>
        <v>#NAME?</v>
      </c>
      <c r="X261" s="456">
        <v>3</v>
      </c>
      <c r="Y261" s="230" t="s">
        <v>4185</v>
      </c>
      <c r="Z261" s="236">
        <v>44027</v>
      </c>
      <c r="AA261" s="228">
        <v>3</v>
      </c>
      <c r="AB261" s="228" t="s">
        <v>4186</v>
      </c>
      <c r="AC261" s="236">
        <v>44027</v>
      </c>
      <c r="AD261" s="228"/>
      <c r="AE261" s="228"/>
      <c r="AF261" s="228"/>
      <c r="AG261" s="238">
        <f>N261-X261-AA261-AD261</f>
        <v>0</v>
      </c>
      <c r="AH261" s="248" t="s">
        <v>2846</v>
      </c>
      <c r="AI261" s="229"/>
      <c r="AJ261" s="237"/>
      <c r="AK261" s="241" t="e">
        <f t="shared" ca="1" si="114"/>
        <v>#NAME?</v>
      </c>
      <c r="AL261" s="235" t="s">
        <v>4187</v>
      </c>
      <c r="AM261" s="229"/>
      <c r="AN261" s="229"/>
      <c r="AO261" s="229"/>
      <c r="AP261" s="228" t="s">
        <v>4188</v>
      </c>
      <c r="AQ261" s="228"/>
      <c r="AR261" s="228" t="s">
        <v>3039</v>
      </c>
      <c r="AS261" s="242">
        <f t="shared" si="115"/>
        <v>14605.26</v>
      </c>
      <c r="AT261" s="242">
        <f t="shared" si="116"/>
        <v>1475.1312600000001</v>
      </c>
      <c r="AU261" s="242"/>
      <c r="AV261" s="242"/>
      <c r="AW261" s="242">
        <f t="shared" si="117"/>
        <v>16080.39126</v>
      </c>
      <c r="AX261" s="237">
        <f>N261</f>
        <v>6</v>
      </c>
      <c r="AY261" s="242" t="s">
        <v>2739</v>
      </c>
      <c r="AZ261" s="243">
        <f t="shared" si="107"/>
        <v>2680.0652100000002</v>
      </c>
      <c r="BA261" s="242"/>
      <c r="BB261" s="242"/>
      <c r="BC261" s="242"/>
      <c r="BD261" s="242"/>
      <c r="BE261" s="228" t="s">
        <v>4189</v>
      </c>
      <c r="BF261" s="228" t="s">
        <v>3162</v>
      </c>
      <c r="BG261" s="227" t="s">
        <v>4028</v>
      </c>
    </row>
    <row r="262" spans="1:59" s="228" customFormat="1" ht="15" customHeight="1">
      <c r="A262" s="227">
        <v>44011</v>
      </c>
      <c r="B262" s="228" t="s">
        <v>3383</v>
      </c>
      <c r="C262" s="229" t="s">
        <v>2971</v>
      </c>
      <c r="D262" s="230" t="s">
        <v>4156</v>
      </c>
      <c r="E262" s="229" t="s">
        <v>4157</v>
      </c>
      <c r="F262" s="231" t="s">
        <v>2846</v>
      </c>
      <c r="G262" s="231" t="s">
        <v>2846</v>
      </c>
      <c r="H262" s="231">
        <v>40</v>
      </c>
      <c r="I262" s="229" t="s">
        <v>2739</v>
      </c>
      <c r="J262" s="229" t="s">
        <v>2846</v>
      </c>
      <c r="K262" s="229" t="s">
        <v>2846</v>
      </c>
      <c r="L262" s="232">
        <v>1</v>
      </c>
      <c r="M262" s="232" t="s">
        <v>64</v>
      </c>
      <c r="N262" s="231">
        <v>40</v>
      </c>
      <c r="O262" s="231" t="s">
        <v>2846</v>
      </c>
      <c r="P262" s="233">
        <v>30.12</v>
      </c>
      <c r="Q262" s="233">
        <f>N262*P262</f>
        <v>1204.8</v>
      </c>
      <c r="R262" s="227">
        <v>44018</v>
      </c>
      <c r="S262" s="235" t="s">
        <v>4158</v>
      </c>
      <c r="T262" s="229" t="s">
        <v>3036</v>
      </c>
      <c r="U262" s="230" t="s">
        <v>4159</v>
      </c>
      <c r="V262" s="229" t="s">
        <v>4160</v>
      </c>
      <c r="W262" s="232" t="s">
        <v>2705</v>
      </c>
      <c r="X262" s="456">
        <v>40</v>
      </c>
      <c r="Y262" s="230">
        <v>9574665403</v>
      </c>
      <c r="Z262" s="236">
        <v>44060</v>
      </c>
      <c r="AC262" s="236"/>
      <c r="AF262" s="236"/>
      <c r="AG262" s="238">
        <f>N262-X262-AA262-AD262</f>
        <v>0</v>
      </c>
      <c r="AH262" s="248" t="s">
        <v>2846</v>
      </c>
      <c r="AI262" s="229"/>
      <c r="AJ262" s="237"/>
      <c r="AK262" s="241" t="e">
        <f t="shared" ca="1" si="114"/>
        <v>#NAME?</v>
      </c>
      <c r="AL262" s="235" t="s">
        <v>4161</v>
      </c>
      <c r="AM262" s="229"/>
      <c r="AN262" s="229"/>
      <c r="AO262" s="229"/>
      <c r="AP262" s="228" t="s">
        <v>4162</v>
      </c>
      <c r="AR262" s="228" t="s">
        <v>3039</v>
      </c>
      <c r="AS262" s="242">
        <f t="shared" si="115"/>
        <v>1204.8</v>
      </c>
      <c r="AT262" s="242">
        <f t="shared" si="116"/>
        <v>121.68480000000001</v>
      </c>
      <c r="AU262" s="242"/>
      <c r="AV262" s="242"/>
      <c r="AW262" s="242">
        <f t="shared" si="117"/>
        <v>1326.4848</v>
      </c>
      <c r="AX262" s="237">
        <v>40</v>
      </c>
      <c r="AY262" s="242" t="s">
        <v>2739</v>
      </c>
      <c r="AZ262" s="242">
        <f t="shared" si="107"/>
        <v>33.162120000000002</v>
      </c>
      <c r="BA262" s="242" t="s">
        <v>2852</v>
      </c>
      <c r="BB262" s="242" t="s">
        <v>2739</v>
      </c>
      <c r="BC262" s="242">
        <v>1</v>
      </c>
      <c r="BD262" s="242"/>
      <c r="BF262" s="228" t="s">
        <v>3162</v>
      </c>
      <c r="BG262" s="227" t="s">
        <v>4028</v>
      </c>
    </row>
    <row r="263" spans="1:59" s="228" customFormat="1" ht="15" customHeight="1">
      <c r="A263" s="227">
        <v>44011</v>
      </c>
      <c r="B263" s="228" t="s">
        <v>3924</v>
      </c>
      <c r="C263" s="229" t="s">
        <v>2971</v>
      </c>
      <c r="D263" s="230" t="s">
        <v>4190</v>
      </c>
      <c r="E263" s="229" t="s">
        <v>4191</v>
      </c>
      <c r="F263" s="231" t="s">
        <v>2846</v>
      </c>
      <c r="G263" s="231" t="s">
        <v>2846</v>
      </c>
      <c r="H263" s="231">
        <v>250000</v>
      </c>
      <c r="I263" s="229" t="s">
        <v>2739</v>
      </c>
      <c r="J263" s="229" t="s">
        <v>2846</v>
      </c>
      <c r="K263" s="229" t="s">
        <v>2846</v>
      </c>
      <c r="L263" s="232">
        <v>1</v>
      </c>
      <c r="M263" s="232" t="s">
        <v>64</v>
      </c>
      <c r="N263" s="231">
        <v>250000</v>
      </c>
      <c r="O263" s="231" t="s">
        <v>2846</v>
      </c>
      <c r="P263" s="233">
        <v>1.1299999999999999</v>
      </c>
      <c r="Q263" s="233">
        <f>N263*P263</f>
        <v>282500</v>
      </c>
      <c r="R263" s="227">
        <v>44050</v>
      </c>
      <c r="S263" s="235" t="s">
        <v>3506</v>
      </c>
      <c r="T263" s="229" t="s">
        <v>3036</v>
      </c>
      <c r="U263" s="230" t="s">
        <v>4192</v>
      </c>
      <c r="V263" s="229" t="s">
        <v>4193</v>
      </c>
      <c r="W263" s="232" t="e">
        <f ca="1">_xlfn.SINGLE(IF(AG263=0,"Yes","No"))</f>
        <v>#NAME?</v>
      </c>
      <c r="X263" s="459">
        <v>250000</v>
      </c>
      <c r="Y263" s="230" t="s">
        <v>4194</v>
      </c>
      <c r="Z263" s="236">
        <v>44042</v>
      </c>
      <c r="AG263" s="238">
        <f>N263-X263-AA263-AD263</f>
        <v>0</v>
      </c>
      <c r="AH263" s="248" t="s">
        <v>2846</v>
      </c>
      <c r="AI263" s="229"/>
      <c r="AJ263" s="237"/>
      <c r="AK263" s="241" t="e">
        <f t="shared" ca="1" si="114"/>
        <v>#NAME?</v>
      </c>
      <c r="AL263" s="235" t="s">
        <v>4195</v>
      </c>
      <c r="AM263" s="229"/>
      <c r="AN263" s="229"/>
      <c r="AO263" s="229"/>
      <c r="AP263" s="228" t="s">
        <v>4196</v>
      </c>
      <c r="AR263" s="228" t="s">
        <v>3063</v>
      </c>
      <c r="AS263" s="242">
        <f t="shared" si="115"/>
        <v>282500</v>
      </c>
      <c r="AT263" s="242">
        <f t="shared" si="116"/>
        <v>28532.500000000004</v>
      </c>
      <c r="AU263" s="242"/>
      <c r="AV263" s="242"/>
      <c r="AW263" s="242">
        <f t="shared" si="117"/>
        <v>311032.5</v>
      </c>
      <c r="AX263" s="237">
        <f>N263</f>
        <v>250000</v>
      </c>
      <c r="AY263" s="242" t="s">
        <v>2739</v>
      </c>
      <c r="AZ263" s="242">
        <f t="shared" si="107"/>
        <v>1.24413</v>
      </c>
      <c r="BA263" s="242" t="s">
        <v>2748</v>
      </c>
      <c r="BB263" s="242" t="s">
        <v>2739</v>
      </c>
      <c r="BC263" s="242">
        <v>1</v>
      </c>
      <c r="BD263" s="242">
        <f t="shared" ref="BD263:BD302" si="118">+AZ263*BC263</f>
        <v>1.24413</v>
      </c>
      <c r="BF263" s="228" t="s">
        <v>36</v>
      </c>
      <c r="BG263" s="227" t="s">
        <v>4028</v>
      </c>
    </row>
    <row r="264" spans="1:59" s="228" customFormat="1" ht="15" customHeight="1">
      <c r="A264" s="227">
        <v>44012</v>
      </c>
      <c r="B264" s="228" t="s">
        <v>4197</v>
      </c>
      <c r="C264" s="229" t="s">
        <v>4198</v>
      </c>
      <c r="D264" s="230" t="s">
        <v>4199</v>
      </c>
      <c r="E264" s="229" t="s">
        <v>4200</v>
      </c>
      <c r="F264" s="231" t="s">
        <v>2846</v>
      </c>
      <c r="G264" s="231" t="s">
        <v>2846</v>
      </c>
      <c r="H264" s="231">
        <v>100</v>
      </c>
      <c r="I264" s="229" t="s">
        <v>2739</v>
      </c>
      <c r="J264" s="229" t="s">
        <v>2846</v>
      </c>
      <c r="K264" s="229" t="s">
        <v>2846</v>
      </c>
      <c r="L264" s="232">
        <v>1</v>
      </c>
      <c r="M264" s="232" t="s">
        <v>64</v>
      </c>
      <c r="N264" s="231">
        <v>100</v>
      </c>
      <c r="O264" s="231" t="s">
        <v>2846</v>
      </c>
      <c r="P264" s="233">
        <v>2.99</v>
      </c>
      <c r="Q264" s="233">
        <f>N264*P264</f>
        <v>299</v>
      </c>
      <c r="R264" s="227">
        <v>44014</v>
      </c>
      <c r="S264" s="235" t="s">
        <v>4201</v>
      </c>
      <c r="T264" s="229" t="s">
        <v>3036</v>
      </c>
      <c r="U264" s="230" t="s">
        <v>4202</v>
      </c>
      <c r="V264" s="229" t="s">
        <v>4203</v>
      </c>
      <c r="W264" s="232" t="e">
        <f ca="1">_xlfn.SINGLE(IF(AG264=0,"Yes","No"))</f>
        <v>#NAME?</v>
      </c>
      <c r="X264" s="456">
        <v>100</v>
      </c>
      <c r="Y264" s="230" t="s">
        <v>4204</v>
      </c>
      <c r="Z264" s="236">
        <v>44018</v>
      </c>
      <c r="AG264" s="238">
        <f>N264-X264-AA264-AD264</f>
        <v>0</v>
      </c>
      <c r="AH264" s="248" t="s">
        <v>77</v>
      </c>
      <c r="AI264" s="229" t="s">
        <v>2739</v>
      </c>
      <c r="AJ264" s="237">
        <f>+AG264</f>
        <v>0</v>
      </c>
      <c r="AK264" s="241" t="e">
        <f t="shared" ca="1" si="114"/>
        <v>#NAME?</v>
      </c>
      <c r="AL264" s="235" t="s">
        <v>4205</v>
      </c>
      <c r="AM264" s="229"/>
      <c r="AN264" s="229"/>
      <c r="AO264" s="229"/>
      <c r="AP264" s="228" t="s">
        <v>4206</v>
      </c>
      <c r="AR264" s="228" t="s">
        <v>3063</v>
      </c>
      <c r="AS264" s="334">
        <f t="shared" si="115"/>
        <v>299</v>
      </c>
      <c r="AT264" s="335">
        <f t="shared" si="116"/>
        <v>30.199000000000002</v>
      </c>
      <c r="AW264" s="335">
        <f t="shared" si="117"/>
        <v>329.19900000000001</v>
      </c>
      <c r="AX264" s="237">
        <f>N264</f>
        <v>100</v>
      </c>
      <c r="AY264" s="101" t="s">
        <v>2739</v>
      </c>
      <c r="AZ264" s="243">
        <f t="shared" si="107"/>
        <v>3.2919900000000002</v>
      </c>
      <c r="BA264" s="228" t="s">
        <v>2854</v>
      </c>
      <c r="BB264" s="101" t="s">
        <v>2739</v>
      </c>
      <c r="BC264" s="199">
        <v>1</v>
      </c>
      <c r="BD264" s="242">
        <f t="shared" si="118"/>
        <v>3.2919900000000002</v>
      </c>
      <c r="BF264" s="228" t="s">
        <v>36</v>
      </c>
      <c r="BG264" s="229" t="s">
        <v>4028</v>
      </c>
    </row>
    <row r="265" spans="1:59" s="228" customFormat="1" ht="15" customHeight="1">
      <c r="A265" s="227">
        <v>44013</v>
      </c>
      <c r="B265" s="228" t="s">
        <v>3552</v>
      </c>
      <c r="C265" s="229" t="s">
        <v>4336</v>
      </c>
      <c r="D265" s="230" t="s">
        <v>4337</v>
      </c>
      <c r="E265" s="229" t="s">
        <v>4338</v>
      </c>
      <c r="F265" s="231" t="s">
        <v>2846</v>
      </c>
      <c r="G265" s="231" t="s">
        <v>2846</v>
      </c>
      <c r="H265" s="231">
        <v>200</v>
      </c>
      <c r="I265" s="229" t="s">
        <v>2739</v>
      </c>
      <c r="J265" s="229">
        <v>50</v>
      </c>
      <c r="K265" s="229" t="s">
        <v>2733</v>
      </c>
      <c r="L265" s="232">
        <v>1</v>
      </c>
      <c r="M265" s="232" t="s">
        <v>64</v>
      </c>
      <c r="N265" s="231">
        <f>H265*J265</f>
        <v>10000</v>
      </c>
      <c r="O265" s="231">
        <f>J265</f>
        <v>50</v>
      </c>
      <c r="P265" s="233">
        <v>77.290000000000006</v>
      </c>
      <c r="Q265" s="233">
        <f>O265*P265</f>
        <v>3864.5000000000005</v>
      </c>
      <c r="R265" s="227">
        <v>44036</v>
      </c>
      <c r="S265" s="235" t="s">
        <v>4288</v>
      </c>
      <c r="T265" s="229" t="s">
        <v>3036</v>
      </c>
      <c r="U265" s="230" t="s">
        <v>4339</v>
      </c>
      <c r="V265" s="228" t="s">
        <v>4134</v>
      </c>
      <c r="W265" s="232" t="s">
        <v>2705</v>
      </c>
      <c r="X265" s="456">
        <v>50</v>
      </c>
      <c r="Y265" s="230" t="s">
        <v>4340</v>
      </c>
      <c r="Z265" s="236">
        <v>44054</v>
      </c>
      <c r="AG265" s="238">
        <f>O265-X265-AA265-AD265</f>
        <v>0</v>
      </c>
      <c r="AH265" s="248"/>
      <c r="AI265" s="229"/>
      <c r="AJ265" s="237">
        <v>0</v>
      </c>
      <c r="AK265" s="241" t="e">
        <f t="shared" ca="1" si="114"/>
        <v>#NAME?</v>
      </c>
      <c r="AL265" s="235" t="s">
        <v>4341</v>
      </c>
      <c r="AM265" s="229"/>
      <c r="AN265" s="229"/>
      <c r="AO265" s="229"/>
      <c r="AP265" s="228" t="s">
        <v>4342</v>
      </c>
      <c r="AR265" s="228" t="s">
        <v>3039</v>
      </c>
      <c r="AS265" s="242">
        <f t="shared" si="115"/>
        <v>3864.5000000000005</v>
      </c>
      <c r="AT265" s="242">
        <f t="shared" si="116"/>
        <v>390.31450000000007</v>
      </c>
      <c r="AU265" s="242"/>
      <c r="AV265" s="242"/>
      <c r="AW265" s="242">
        <f t="shared" si="117"/>
        <v>4254.8145000000004</v>
      </c>
      <c r="AX265" s="237">
        <f>+O265</f>
        <v>50</v>
      </c>
      <c r="AY265" s="242" t="s">
        <v>2733</v>
      </c>
      <c r="AZ265" s="242">
        <f t="shared" si="107"/>
        <v>85.09629000000001</v>
      </c>
      <c r="BA265" s="242" t="s">
        <v>2782</v>
      </c>
      <c r="BB265" s="242" t="s">
        <v>2953</v>
      </c>
      <c r="BC265" s="242">
        <v>1</v>
      </c>
      <c r="BD265" s="242">
        <f t="shared" si="118"/>
        <v>85.09629000000001</v>
      </c>
      <c r="BF265" s="228" t="s">
        <v>3162</v>
      </c>
      <c r="BG265" s="22" t="s">
        <v>4214</v>
      </c>
    </row>
    <row r="266" spans="1:59" s="96" customFormat="1" ht="15" customHeight="1">
      <c r="A266" s="227">
        <v>44013</v>
      </c>
      <c r="B266" s="228" t="s">
        <v>4207</v>
      </c>
      <c r="C266" s="229" t="s">
        <v>93</v>
      </c>
      <c r="D266" s="230" t="s">
        <v>4208</v>
      </c>
      <c r="E266" s="229">
        <v>91591</v>
      </c>
      <c r="F266" s="231">
        <v>40.5</v>
      </c>
      <c r="G266" s="231">
        <v>10530</v>
      </c>
      <c r="H266" s="231">
        <v>2</v>
      </c>
      <c r="I266" s="229" t="s">
        <v>3132</v>
      </c>
      <c r="J266" s="229">
        <v>65</v>
      </c>
      <c r="K266" s="229" t="s">
        <v>2953</v>
      </c>
      <c r="L266" s="232">
        <v>1</v>
      </c>
      <c r="M266" s="232" t="s">
        <v>64</v>
      </c>
      <c r="N266" s="231">
        <f>H266*J266</f>
        <v>130</v>
      </c>
      <c r="O266" s="231">
        <v>65</v>
      </c>
      <c r="P266" s="233">
        <v>57.26</v>
      </c>
      <c r="Q266" s="233">
        <f>O266*P266</f>
        <v>3721.9</v>
      </c>
      <c r="R266" s="227">
        <v>44021</v>
      </c>
      <c r="S266" s="235" t="s">
        <v>3506</v>
      </c>
      <c r="T266" s="229" t="s">
        <v>4209</v>
      </c>
      <c r="U266" s="230" t="s">
        <v>4210</v>
      </c>
      <c r="V266" s="229" t="s">
        <v>4211</v>
      </c>
      <c r="W266" s="232" t="e">
        <f t="shared" ref="W266:W281" ca="1" si="119">_xlfn.SINGLE(IF(AG266=0,"Yes","No"))</f>
        <v>#NAME?</v>
      </c>
      <c r="X266" s="456">
        <v>130</v>
      </c>
      <c r="Y266" s="230">
        <v>531183</v>
      </c>
      <c r="Z266" s="236">
        <v>44027</v>
      </c>
      <c r="AA266" s="228"/>
      <c r="AB266" s="228"/>
      <c r="AC266" s="228"/>
      <c r="AD266" s="228"/>
      <c r="AE266" s="228"/>
      <c r="AF266" s="228"/>
      <c r="AG266" s="238">
        <f>N266-X266-AA266-AD266</f>
        <v>0</v>
      </c>
      <c r="AH266" s="248" t="s">
        <v>93</v>
      </c>
      <c r="AI266" s="229" t="s">
        <v>2736</v>
      </c>
      <c r="AJ266" s="237">
        <f>+AG266*H266</f>
        <v>0</v>
      </c>
      <c r="AK266" s="241" t="e">
        <f t="shared" ca="1" si="114"/>
        <v>#NAME?</v>
      </c>
      <c r="AL266" s="235" t="s">
        <v>4212</v>
      </c>
      <c r="AM266" s="229"/>
      <c r="AN266" s="229"/>
      <c r="AO266" s="229"/>
      <c r="AP266" s="228" t="s">
        <v>4213</v>
      </c>
      <c r="AQ266" s="228"/>
      <c r="AR266" s="228" t="s">
        <v>3039</v>
      </c>
      <c r="AS266" s="334">
        <f t="shared" si="115"/>
        <v>3721.9</v>
      </c>
      <c r="AT266" s="335">
        <f t="shared" si="116"/>
        <v>375.91190000000006</v>
      </c>
      <c r="AU266" s="228"/>
      <c r="AV266" s="228"/>
      <c r="AW266" s="335">
        <f t="shared" si="117"/>
        <v>4097.8119000000006</v>
      </c>
      <c r="AX266" s="237">
        <f>N266</f>
        <v>130</v>
      </c>
      <c r="AY266" s="237" t="s">
        <v>2739</v>
      </c>
      <c r="AZ266" s="243">
        <f t="shared" si="107"/>
        <v>31.521630000000005</v>
      </c>
      <c r="BA266" s="228" t="s">
        <v>2737</v>
      </c>
      <c r="BB266" s="237" t="s">
        <v>2739</v>
      </c>
      <c r="BC266" s="242">
        <v>1</v>
      </c>
      <c r="BD266" s="242">
        <f t="shared" si="118"/>
        <v>31.521630000000005</v>
      </c>
      <c r="BE266" s="228"/>
      <c r="BF266" s="228" t="s">
        <v>3137</v>
      </c>
      <c r="BG266" s="229" t="s">
        <v>4214</v>
      </c>
    </row>
    <row r="267" spans="1:59" s="96" customFormat="1" ht="15" customHeight="1">
      <c r="A267" s="21">
        <v>44014</v>
      </c>
      <c r="B267" s="251" t="s">
        <v>3310</v>
      </c>
      <c r="C267" s="22" t="s">
        <v>3368</v>
      </c>
      <c r="D267" s="97" t="s">
        <v>4215</v>
      </c>
      <c r="E267" s="22" t="s">
        <v>4216</v>
      </c>
      <c r="F267" s="69" t="s">
        <v>2846</v>
      </c>
      <c r="G267" s="69" t="s">
        <v>2846</v>
      </c>
      <c r="H267" s="70">
        <v>2000000</v>
      </c>
      <c r="I267" s="71" t="s">
        <v>1269</v>
      </c>
      <c r="J267" s="71" t="s">
        <v>2846</v>
      </c>
      <c r="K267" s="71" t="s">
        <v>2846</v>
      </c>
      <c r="L267" s="72">
        <v>1</v>
      </c>
      <c r="M267" s="72" t="s">
        <v>64</v>
      </c>
      <c r="N267" s="73">
        <v>2000000</v>
      </c>
      <c r="O267" s="73" t="s">
        <v>2846</v>
      </c>
      <c r="P267" s="74">
        <v>0.13800000000000001</v>
      </c>
      <c r="Q267" s="74">
        <f>N267*P267</f>
        <v>276000</v>
      </c>
      <c r="R267" s="21">
        <v>44028</v>
      </c>
      <c r="S267" s="99" t="s">
        <v>3506</v>
      </c>
      <c r="T267" s="22" t="s">
        <v>3036</v>
      </c>
      <c r="U267" s="97" t="s">
        <v>4217</v>
      </c>
      <c r="V267" s="22" t="s">
        <v>4218</v>
      </c>
      <c r="W267" s="285" t="e">
        <f t="shared" ca="1" si="119"/>
        <v>#NAME?</v>
      </c>
      <c r="X267" s="457">
        <v>180000</v>
      </c>
      <c r="Y267" s="97">
        <v>123767</v>
      </c>
      <c r="Z267" s="100">
        <v>44033</v>
      </c>
      <c r="AA267" s="96">
        <v>360000</v>
      </c>
      <c r="AB267" s="96">
        <v>123783</v>
      </c>
      <c r="AC267" s="100">
        <v>44033</v>
      </c>
      <c r="AD267" s="96">
        <f>180000+4800+7200+7200</f>
        <v>199200</v>
      </c>
      <c r="AE267" s="96" t="s">
        <v>4219</v>
      </c>
      <c r="AF267" s="100">
        <v>44060</v>
      </c>
      <c r="AG267" s="102">
        <f>N267-X267-AA267-AD267</f>
        <v>1260800</v>
      </c>
      <c r="AH267" s="174" t="s">
        <v>68</v>
      </c>
      <c r="AI267" s="22" t="s">
        <v>2739</v>
      </c>
      <c r="AJ267" s="101">
        <f t="shared" ref="AJ267:AJ280" si="120">+AG267</f>
        <v>1260800</v>
      </c>
      <c r="AK267" s="184" t="e">
        <f t="shared" ca="1" si="114"/>
        <v>#NAME?</v>
      </c>
      <c r="AL267" s="99" t="s">
        <v>4220</v>
      </c>
      <c r="AM267" s="22"/>
      <c r="AN267" s="22"/>
      <c r="AO267" s="22"/>
      <c r="AP267" s="96" t="s">
        <v>4221</v>
      </c>
      <c r="AR267" s="96" t="s">
        <v>3063</v>
      </c>
      <c r="AS267" s="338">
        <f t="shared" si="115"/>
        <v>276000</v>
      </c>
      <c r="AT267" s="339">
        <f t="shared" si="116"/>
        <v>27876</v>
      </c>
      <c r="AW267" s="339">
        <f t="shared" si="117"/>
        <v>303876</v>
      </c>
      <c r="AX267" s="287">
        <f>+N267</f>
        <v>2000000</v>
      </c>
      <c r="AY267" s="287" t="s">
        <v>2739</v>
      </c>
      <c r="AZ267" s="296">
        <f t="shared" si="107"/>
        <v>0.15193799999999999</v>
      </c>
      <c r="BA267" s="96" t="s">
        <v>2744</v>
      </c>
      <c r="BB267" s="101" t="s">
        <v>2733</v>
      </c>
      <c r="BC267" s="242">
        <v>50</v>
      </c>
      <c r="BD267" s="242">
        <f t="shared" si="118"/>
        <v>7.5968999999999998</v>
      </c>
      <c r="BF267" s="96" t="s">
        <v>36</v>
      </c>
      <c r="BG267" s="22" t="s">
        <v>4214</v>
      </c>
    </row>
    <row r="268" spans="1:59" s="96" customFormat="1" ht="15" customHeight="1">
      <c r="A268" s="21">
        <v>44019</v>
      </c>
      <c r="B268" s="96" t="s">
        <v>3310</v>
      </c>
      <c r="C268" s="22" t="s">
        <v>78</v>
      </c>
      <c r="D268" s="97" t="s">
        <v>4226</v>
      </c>
      <c r="E268" s="22" t="s">
        <v>3993</v>
      </c>
      <c r="F268" s="69" t="s">
        <v>2846</v>
      </c>
      <c r="G268" s="69" t="s">
        <v>2846</v>
      </c>
      <c r="H268" s="70">
        <v>160</v>
      </c>
      <c r="I268" s="71" t="s">
        <v>3313</v>
      </c>
      <c r="J268" s="71">
        <v>500</v>
      </c>
      <c r="K268" s="71" t="s">
        <v>3314</v>
      </c>
      <c r="L268" s="72">
        <v>1</v>
      </c>
      <c r="M268" s="72" t="s">
        <v>64</v>
      </c>
      <c r="N268" s="73">
        <f>J268*H268</f>
        <v>80000</v>
      </c>
      <c r="O268" s="73">
        <v>500</v>
      </c>
      <c r="P268" s="74">
        <v>5.99</v>
      </c>
      <c r="Q268" s="74">
        <f>O268*P268</f>
        <v>2995</v>
      </c>
      <c r="R268" s="21">
        <v>44043</v>
      </c>
      <c r="S268" s="99" t="s">
        <v>3506</v>
      </c>
      <c r="T268" s="22" t="s">
        <v>3036</v>
      </c>
      <c r="U268" s="97" t="s">
        <v>4224</v>
      </c>
      <c r="V268" s="22" t="s">
        <v>4227</v>
      </c>
      <c r="W268" s="285" t="e">
        <f t="shared" ca="1" si="119"/>
        <v>#NAME?</v>
      </c>
      <c r="X268" s="457">
        <v>120</v>
      </c>
      <c r="Y268" s="97">
        <v>123569</v>
      </c>
      <c r="Z268" s="100">
        <v>44025</v>
      </c>
      <c r="AA268" s="96">
        <v>120</v>
      </c>
      <c r="AB268" s="96">
        <v>123817</v>
      </c>
      <c r="AC268" s="100">
        <v>44041</v>
      </c>
      <c r="AG268" s="102">
        <f>O268-X268-AA268-AD268</f>
        <v>260</v>
      </c>
      <c r="AH268" s="110" t="s">
        <v>78</v>
      </c>
      <c r="AI268" s="22" t="s">
        <v>79</v>
      </c>
      <c r="AJ268" s="101">
        <f t="shared" si="120"/>
        <v>260</v>
      </c>
      <c r="AK268" s="184" t="e">
        <f t="shared" ca="1" si="114"/>
        <v>#NAME?</v>
      </c>
      <c r="AL268" s="99" t="s">
        <v>4228</v>
      </c>
      <c r="AM268" s="22"/>
      <c r="AN268" s="22"/>
      <c r="AO268" s="22"/>
      <c r="AP268" s="96" t="s">
        <v>4229</v>
      </c>
      <c r="AR268" s="96" t="s">
        <v>3063</v>
      </c>
      <c r="AS268" s="338">
        <f t="shared" si="115"/>
        <v>2995</v>
      </c>
      <c r="AT268" s="339">
        <f t="shared" si="116"/>
        <v>302.495</v>
      </c>
      <c r="AU268" s="199">
        <v>0</v>
      </c>
      <c r="AV268" s="199">
        <v>0</v>
      </c>
      <c r="AW268" s="339">
        <f t="shared" si="117"/>
        <v>3297.4949999999999</v>
      </c>
      <c r="AX268" s="101">
        <v>500</v>
      </c>
      <c r="AY268" s="237" t="s">
        <v>2724</v>
      </c>
      <c r="AZ268" s="199">
        <f t="shared" si="107"/>
        <v>6.5949900000000001</v>
      </c>
      <c r="BA268" s="199" t="s">
        <v>2721</v>
      </c>
      <c r="BB268" s="287" t="s">
        <v>2739</v>
      </c>
      <c r="BC268" s="199">
        <v>1</v>
      </c>
      <c r="BD268" s="199">
        <f t="shared" si="118"/>
        <v>6.5949900000000001</v>
      </c>
      <c r="BF268" s="96" t="s">
        <v>3137</v>
      </c>
      <c r="BG268" s="21" t="s">
        <v>4028</v>
      </c>
    </row>
    <row r="269" spans="1:59" s="251" customFormat="1" ht="15" customHeight="1">
      <c r="A269" s="250">
        <v>44019</v>
      </c>
      <c r="B269" s="251" t="s">
        <v>3310</v>
      </c>
      <c r="C269" s="252" t="s">
        <v>3041</v>
      </c>
      <c r="D269" s="253" t="s">
        <v>4243</v>
      </c>
      <c r="E269" s="252" t="s">
        <v>4244</v>
      </c>
      <c r="F269" s="254" t="s">
        <v>2846</v>
      </c>
      <c r="G269" s="254" t="s">
        <v>2846</v>
      </c>
      <c r="H269" s="254">
        <v>50</v>
      </c>
      <c r="I269" s="252" t="s">
        <v>3034</v>
      </c>
      <c r="J269" s="252">
        <v>50</v>
      </c>
      <c r="K269" s="252" t="s">
        <v>2733</v>
      </c>
      <c r="L269" s="255">
        <v>1</v>
      </c>
      <c r="M269" s="255" t="s">
        <v>64</v>
      </c>
      <c r="N269" s="254">
        <f t="shared" ref="N269:N280" si="121">H269*J269</f>
        <v>2500</v>
      </c>
      <c r="O269" s="254">
        <v>50</v>
      </c>
      <c r="P269" s="256">
        <v>14</v>
      </c>
      <c r="Q269" s="256">
        <f>O269*P269</f>
        <v>700</v>
      </c>
      <c r="R269" s="250">
        <v>44022</v>
      </c>
      <c r="S269" s="257" t="s">
        <v>3506</v>
      </c>
      <c r="T269" s="252" t="s">
        <v>3036</v>
      </c>
      <c r="U269" s="253" t="s">
        <v>4232</v>
      </c>
      <c r="V269" s="252" t="s">
        <v>4134</v>
      </c>
      <c r="W269" s="255" t="e">
        <f t="shared" ca="1" si="119"/>
        <v>#NAME?</v>
      </c>
      <c r="X269" s="460">
        <v>2500</v>
      </c>
      <c r="Y269" s="253">
        <v>123579</v>
      </c>
      <c r="Z269" s="262">
        <v>44027</v>
      </c>
      <c r="AG269" s="258">
        <f t="shared" ref="AG269:AG274" si="122">+N269-X269-AA269-AD269</f>
        <v>0</v>
      </c>
      <c r="AH269" s="318" t="s">
        <v>72</v>
      </c>
      <c r="AI269" s="252" t="s">
        <v>2762</v>
      </c>
      <c r="AJ269" s="188">
        <f t="shared" si="120"/>
        <v>0</v>
      </c>
      <c r="AK269" s="260" t="e">
        <f t="shared" ca="1" si="114"/>
        <v>#NAME?</v>
      </c>
      <c r="AL269" s="257" t="s">
        <v>4245</v>
      </c>
      <c r="AM269" s="252"/>
      <c r="AN269" s="252"/>
      <c r="AO269" s="252"/>
      <c r="AP269" s="251" t="s">
        <v>4246</v>
      </c>
      <c r="AR269" s="251" t="s">
        <v>3063</v>
      </c>
      <c r="AS269" s="336">
        <f t="shared" si="115"/>
        <v>700</v>
      </c>
      <c r="AT269" s="337">
        <f t="shared" si="116"/>
        <v>70.7</v>
      </c>
      <c r="AW269" s="337">
        <f t="shared" si="117"/>
        <v>770.7</v>
      </c>
      <c r="AX269" s="188">
        <f t="shared" ref="AX269:AX274" si="123">+O269</f>
        <v>50</v>
      </c>
      <c r="AY269" s="188" t="s">
        <v>2733</v>
      </c>
      <c r="AZ269" s="251">
        <f t="shared" si="107"/>
        <v>15.414000000000001</v>
      </c>
      <c r="BA269" s="251" t="s">
        <v>2769</v>
      </c>
      <c r="BB269" s="188" t="s">
        <v>2733</v>
      </c>
      <c r="BC269" s="261">
        <v>1</v>
      </c>
      <c r="BD269" s="261">
        <f t="shared" si="118"/>
        <v>15.414000000000001</v>
      </c>
      <c r="BF269" s="251" t="s">
        <v>36</v>
      </c>
      <c r="BG269" s="252" t="s">
        <v>4214</v>
      </c>
    </row>
    <row r="270" spans="1:59" s="251" customFormat="1" ht="15" customHeight="1">
      <c r="A270" s="371">
        <v>44019</v>
      </c>
      <c r="B270" s="372" t="s">
        <v>3310</v>
      </c>
      <c r="C270" s="373" t="s">
        <v>4285</v>
      </c>
      <c r="D270" s="374" t="s">
        <v>4286</v>
      </c>
      <c r="E270" s="373" t="s">
        <v>4287</v>
      </c>
      <c r="F270" s="376" t="s">
        <v>2846</v>
      </c>
      <c r="G270" s="376" t="s">
        <v>2846</v>
      </c>
      <c r="H270" s="376">
        <v>50</v>
      </c>
      <c r="I270" s="373" t="s">
        <v>3034</v>
      </c>
      <c r="J270" s="373">
        <v>100</v>
      </c>
      <c r="K270" s="373" t="s">
        <v>2733</v>
      </c>
      <c r="L270" s="377">
        <v>1</v>
      </c>
      <c r="M270" s="377" t="s">
        <v>64</v>
      </c>
      <c r="N270" s="376">
        <f t="shared" si="121"/>
        <v>5000</v>
      </c>
      <c r="O270" s="376">
        <v>100</v>
      </c>
      <c r="P270" s="378">
        <v>14</v>
      </c>
      <c r="Q270" s="378">
        <f>O270*P270</f>
        <v>1400</v>
      </c>
      <c r="R270" s="371">
        <v>44022</v>
      </c>
      <c r="S270" s="379" t="s">
        <v>4288</v>
      </c>
      <c r="T270" s="374" t="s">
        <v>3036</v>
      </c>
      <c r="U270" s="374" t="s">
        <v>4232</v>
      </c>
      <c r="V270" s="374" t="s">
        <v>4134</v>
      </c>
      <c r="W270" s="255" t="e">
        <f t="shared" ca="1" si="119"/>
        <v>#NAME?</v>
      </c>
      <c r="X270" s="460">
        <v>5000</v>
      </c>
      <c r="Y270" s="253">
        <v>123579</v>
      </c>
      <c r="Z270" s="262">
        <v>44027</v>
      </c>
      <c r="AG270" s="258">
        <f t="shared" si="122"/>
        <v>0</v>
      </c>
      <c r="AH270" s="318" t="s">
        <v>70</v>
      </c>
      <c r="AI270" s="252" t="s">
        <v>2762</v>
      </c>
      <c r="AJ270" s="188">
        <f t="shared" si="120"/>
        <v>0</v>
      </c>
      <c r="AK270" s="260" t="e">
        <f t="shared" ca="1" si="114"/>
        <v>#NAME?</v>
      </c>
      <c r="AL270" s="388" t="s">
        <v>4237</v>
      </c>
      <c r="AM270" s="252"/>
      <c r="AN270" s="252"/>
      <c r="AO270" s="252"/>
      <c r="AP270" s="251" t="s">
        <v>4289</v>
      </c>
      <c r="AR270" s="251" t="s">
        <v>3063</v>
      </c>
      <c r="AS270" s="336">
        <f t="shared" si="115"/>
        <v>1400</v>
      </c>
      <c r="AT270" s="337">
        <f t="shared" si="116"/>
        <v>141.4</v>
      </c>
      <c r="AW270" s="337">
        <f t="shared" si="117"/>
        <v>1541.4</v>
      </c>
      <c r="AX270" s="188">
        <f t="shared" si="123"/>
        <v>100</v>
      </c>
      <c r="AY270" s="188" t="s">
        <v>2733</v>
      </c>
      <c r="AZ270" s="251">
        <f t="shared" si="107"/>
        <v>15.414000000000001</v>
      </c>
      <c r="BA270" s="251" t="s">
        <v>2777</v>
      </c>
      <c r="BB270" s="188" t="s">
        <v>2733</v>
      </c>
      <c r="BC270" s="261">
        <v>1</v>
      </c>
      <c r="BD270" s="261">
        <f t="shared" si="118"/>
        <v>15.414000000000001</v>
      </c>
      <c r="BF270" s="251" t="s">
        <v>36</v>
      </c>
      <c r="BG270" s="252" t="s">
        <v>4214</v>
      </c>
    </row>
    <row r="271" spans="1:59" s="251" customFormat="1" ht="15" customHeight="1">
      <c r="A271" s="250">
        <v>44019</v>
      </c>
      <c r="B271" s="251" t="s">
        <v>3310</v>
      </c>
      <c r="C271" s="252" t="s">
        <v>3069</v>
      </c>
      <c r="D271" s="253" t="s">
        <v>4235</v>
      </c>
      <c r="E271" s="252" t="s">
        <v>4236</v>
      </c>
      <c r="F271" s="254" t="s">
        <v>2846</v>
      </c>
      <c r="G271" s="254" t="s">
        <v>2846</v>
      </c>
      <c r="H271" s="254">
        <v>50</v>
      </c>
      <c r="I271" s="252" t="s">
        <v>3034</v>
      </c>
      <c r="J271" s="252">
        <v>100</v>
      </c>
      <c r="K271" s="252" t="s">
        <v>2733</v>
      </c>
      <c r="L271" s="255">
        <v>1</v>
      </c>
      <c r="M271" s="255" t="s">
        <v>64</v>
      </c>
      <c r="N271" s="254">
        <f t="shared" si="121"/>
        <v>5000</v>
      </c>
      <c r="O271" s="254">
        <v>100</v>
      </c>
      <c r="P271" s="256">
        <v>14</v>
      </c>
      <c r="Q271" s="256">
        <f>P271*O271</f>
        <v>1400</v>
      </c>
      <c r="R271" s="250">
        <v>44022</v>
      </c>
      <c r="S271" s="257" t="s">
        <v>3506</v>
      </c>
      <c r="T271" s="252" t="s">
        <v>3036</v>
      </c>
      <c r="U271" s="253" t="s">
        <v>4232</v>
      </c>
      <c r="V271" s="252" t="s">
        <v>4134</v>
      </c>
      <c r="W271" s="255" t="e">
        <f t="shared" ca="1" si="119"/>
        <v>#NAME?</v>
      </c>
      <c r="X271" s="460">
        <v>5000</v>
      </c>
      <c r="Y271" s="253">
        <v>123579</v>
      </c>
      <c r="Z271" s="262">
        <v>44027</v>
      </c>
      <c r="AG271" s="258">
        <f t="shared" si="122"/>
        <v>0</v>
      </c>
      <c r="AH271" s="318" t="s">
        <v>72</v>
      </c>
      <c r="AI271" s="252" t="s">
        <v>2762</v>
      </c>
      <c r="AJ271" s="188">
        <f t="shared" si="120"/>
        <v>0</v>
      </c>
      <c r="AK271" s="260" t="e">
        <f t="shared" ca="1" si="114"/>
        <v>#NAME?</v>
      </c>
      <c r="AL271" s="257" t="s">
        <v>4237</v>
      </c>
      <c r="AM271" s="252"/>
      <c r="AN271" s="252"/>
      <c r="AO271" s="252"/>
      <c r="AP271" s="251" t="s">
        <v>4238</v>
      </c>
      <c r="AR271" s="251" t="s">
        <v>3063</v>
      </c>
      <c r="AS271" s="336">
        <f t="shared" si="115"/>
        <v>1400</v>
      </c>
      <c r="AT271" s="337">
        <f t="shared" si="116"/>
        <v>141.4</v>
      </c>
      <c r="AW271" s="337">
        <f t="shared" si="117"/>
        <v>1541.4</v>
      </c>
      <c r="AX271" s="188">
        <f t="shared" si="123"/>
        <v>100</v>
      </c>
      <c r="AY271" s="188" t="s">
        <v>2733</v>
      </c>
      <c r="AZ271" s="251">
        <f t="shared" si="107"/>
        <v>15.414000000000001</v>
      </c>
      <c r="BA271" s="251" t="s">
        <v>2760</v>
      </c>
      <c r="BB271" s="188" t="s">
        <v>2733</v>
      </c>
      <c r="BC271" s="261">
        <v>1</v>
      </c>
      <c r="BD271" s="261">
        <f t="shared" si="118"/>
        <v>15.414000000000001</v>
      </c>
      <c r="BF271" s="251" t="s">
        <v>36</v>
      </c>
      <c r="BG271" s="252" t="s">
        <v>4214</v>
      </c>
    </row>
    <row r="272" spans="1:59" s="251" customFormat="1" ht="15" customHeight="1">
      <c r="A272" s="250">
        <v>44019</v>
      </c>
      <c r="B272" s="251" t="s">
        <v>3310</v>
      </c>
      <c r="C272" s="252" t="s">
        <v>3031</v>
      </c>
      <c r="D272" s="253" t="s">
        <v>4239</v>
      </c>
      <c r="E272" s="252" t="s">
        <v>4240</v>
      </c>
      <c r="F272" s="254" t="s">
        <v>2846</v>
      </c>
      <c r="G272" s="254" t="s">
        <v>2846</v>
      </c>
      <c r="H272" s="254">
        <v>50</v>
      </c>
      <c r="I272" s="252" t="s">
        <v>3034</v>
      </c>
      <c r="J272" s="252">
        <v>400</v>
      </c>
      <c r="K272" s="252" t="s">
        <v>2733</v>
      </c>
      <c r="L272" s="255">
        <v>1</v>
      </c>
      <c r="M272" s="255" t="s">
        <v>64</v>
      </c>
      <c r="N272" s="254">
        <f t="shared" si="121"/>
        <v>20000</v>
      </c>
      <c r="O272" s="254">
        <v>400</v>
      </c>
      <c r="P272" s="256">
        <v>14</v>
      </c>
      <c r="Q272" s="256">
        <f t="shared" ref="Q272:Q280" si="124">O272*P272</f>
        <v>5600</v>
      </c>
      <c r="R272" s="250">
        <v>44022</v>
      </c>
      <c r="S272" s="257" t="s">
        <v>3506</v>
      </c>
      <c r="T272" s="252" t="s">
        <v>3036</v>
      </c>
      <c r="U272" s="253" t="s">
        <v>4232</v>
      </c>
      <c r="V272" s="252" t="s">
        <v>4134</v>
      </c>
      <c r="W272" s="255" t="e">
        <f t="shared" ca="1" si="119"/>
        <v>#NAME?</v>
      </c>
      <c r="X272" s="460">
        <v>20000</v>
      </c>
      <c r="Y272" s="253">
        <v>123579</v>
      </c>
      <c r="Z272" s="262">
        <v>44027</v>
      </c>
      <c r="AG272" s="258">
        <f t="shared" si="122"/>
        <v>0</v>
      </c>
      <c r="AH272" s="318" t="s">
        <v>72</v>
      </c>
      <c r="AI272" s="252" t="s">
        <v>2762</v>
      </c>
      <c r="AJ272" s="188">
        <f t="shared" si="120"/>
        <v>0</v>
      </c>
      <c r="AK272" s="260" t="e">
        <f t="shared" ca="1" si="114"/>
        <v>#NAME?</v>
      </c>
      <c r="AL272" s="257" t="s">
        <v>4241</v>
      </c>
      <c r="AM272" s="252"/>
      <c r="AN272" s="252"/>
      <c r="AO272" s="252"/>
      <c r="AP272" s="251" t="s">
        <v>4242</v>
      </c>
      <c r="AR272" s="251" t="s">
        <v>3063</v>
      </c>
      <c r="AS272" s="336">
        <f t="shared" si="115"/>
        <v>5600</v>
      </c>
      <c r="AT272" s="337">
        <f t="shared" si="116"/>
        <v>565.6</v>
      </c>
      <c r="AW272" s="337">
        <f t="shared" si="117"/>
        <v>6165.6</v>
      </c>
      <c r="AX272" s="188">
        <f t="shared" si="123"/>
        <v>400</v>
      </c>
      <c r="AY272" s="188" t="s">
        <v>2733</v>
      </c>
      <c r="AZ272" s="251">
        <f t="shared" ref="AZ272:AZ294" si="125">+AW272/AX272</f>
        <v>15.414000000000001</v>
      </c>
      <c r="BA272" s="251" t="s">
        <v>2765</v>
      </c>
      <c r="BB272" s="188" t="s">
        <v>2733</v>
      </c>
      <c r="BC272" s="261">
        <v>1</v>
      </c>
      <c r="BD272" s="261">
        <f t="shared" si="118"/>
        <v>15.414000000000001</v>
      </c>
      <c r="BF272" s="251" t="s">
        <v>36</v>
      </c>
      <c r="BG272" s="252" t="s">
        <v>4214</v>
      </c>
    </row>
    <row r="273" spans="1:59" s="251" customFormat="1" ht="15" customHeight="1">
      <c r="A273" s="250">
        <v>44019</v>
      </c>
      <c r="B273" s="251" t="s">
        <v>3310</v>
      </c>
      <c r="C273" s="252" t="s">
        <v>3045</v>
      </c>
      <c r="D273" s="253" t="s">
        <v>4247</v>
      </c>
      <c r="E273" s="252" t="s">
        <v>4248</v>
      </c>
      <c r="F273" s="254" t="s">
        <v>2846</v>
      </c>
      <c r="G273" s="254" t="s">
        <v>2846</v>
      </c>
      <c r="H273" s="254">
        <v>50</v>
      </c>
      <c r="I273" s="252" t="s">
        <v>3034</v>
      </c>
      <c r="J273" s="252">
        <v>400</v>
      </c>
      <c r="K273" s="252" t="s">
        <v>2733</v>
      </c>
      <c r="L273" s="255">
        <v>1</v>
      </c>
      <c r="M273" s="255" t="s">
        <v>64</v>
      </c>
      <c r="N273" s="254">
        <f t="shared" si="121"/>
        <v>20000</v>
      </c>
      <c r="O273" s="254">
        <v>400</v>
      </c>
      <c r="P273" s="256">
        <v>14</v>
      </c>
      <c r="Q273" s="256">
        <f t="shared" si="124"/>
        <v>5600</v>
      </c>
      <c r="R273" s="250">
        <v>44022</v>
      </c>
      <c r="S273" s="257" t="s">
        <v>3506</v>
      </c>
      <c r="T273" s="252" t="s">
        <v>3036</v>
      </c>
      <c r="U273" s="253" t="s">
        <v>4232</v>
      </c>
      <c r="V273" s="252" t="s">
        <v>4134</v>
      </c>
      <c r="W273" s="255" t="e">
        <f t="shared" ca="1" si="119"/>
        <v>#NAME?</v>
      </c>
      <c r="X273" s="460">
        <v>20000</v>
      </c>
      <c r="Y273" s="253">
        <v>123579</v>
      </c>
      <c r="Z273" s="262">
        <v>44027</v>
      </c>
      <c r="AG273" s="258">
        <f t="shared" si="122"/>
        <v>0</v>
      </c>
      <c r="AH273" s="318" t="s">
        <v>72</v>
      </c>
      <c r="AI273" s="252" t="s">
        <v>2762</v>
      </c>
      <c r="AJ273" s="188">
        <f t="shared" si="120"/>
        <v>0</v>
      </c>
      <c r="AK273" s="260" t="e">
        <f t="shared" ca="1" si="114"/>
        <v>#NAME?</v>
      </c>
      <c r="AL273" s="257" t="s">
        <v>4241</v>
      </c>
      <c r="AM273" s="252"/>
      <c r="AN273" s="252"/>
      <c r="AO273" s="252"/>
      <c r="AP273" s="251" t="s">
        <v>4249</v>
      </c>
      <c r="AR273" s="251" t="s">
        <v>3063</v>
      </c>
      <c r="AS273" s="336">
        <f t="shared" si="115"/>
        <v>5600</v>
      </c>
      <c r="AT273" s="337">
        <f t="shared" si="116"/>
        <v>565.6</v>
      </c>
      <c r="AW273" s="337">
        <f t="shared" si="117"/>
        <v>6165.6</v>
      </c>
      <c r="AX273" s="188">
        <f t="shared" si="123"/>
        <v>400</v>
      </c>
      <c r="AY273" s="188" t="s">
        <v>2733</v>
      </c>
      <c r="AZ273" s="251">
        <f t="shared" si="125"/>
        <v>15.414000000000001</v>
      </c>
      <c r="BA273" s="251" t="s">
        <v>2773</v>
      </c>
      <c r="BB273" s="188" t="s">
        <v>2733</v>
      </c>
      <c r="BC273" s="261">
        <v>1</v>
      </c>
      <c r="BD273" s="261">
        <f t="shared" si="118"/>
        <v>15.414000000000001</v>
      </c>
      <c r="BF273" s="251" t="s">
        <v>36</v>
      </c>
      <c r="BG273" s="252" t="s">
        <v>4214</v>
      </c>
    </row>
    <row r="274" spans="1:59" s="228" customFormat="1" ht="15" customHeight="1">
      <c r="A274" s="250">
        <v>44019</v>
      </c>
      <c r="B274" s="251" t="s">
        <v>3310</v>
      </c>
      <c r="C274" s="252" t="s">
        <v>3031</v>
      </c>
      <c r="D274" s="253" t="s">
        <v>4230</v>
      </c>
      <c r="E274" s="252" t="s">
        <v>4231</v>
      </c>
      <c r="F274" s="254" t="s">
        <v>2846</v>
      </c>
      <c r="G274" s="254" t="s">
        <v>2846</v>
      </c>
      <c r="H274" s="254">
        <v>50</v>
      </c>
      <c r="I274" s="252" t="s">
        <v>3034</v>
      </c>
      <c r="J274" s="252">
        <v>1000</v>
      </c>
      <c r="K274" s="252" t="s">
        <v>2733</v>
      </c>
      <c r="L274" s="255">
        <v>1</v>
      </c>
      <c r="M274" s="255" t="s">
        <v>64</v>
      </c>
      <c r="N274" s="254">
        <f t="shared" si="121"/>
        <v>50000</v>
      </c>
      <c r="O274" s="254">
        <v>1000</v>
      </c>
      <c r="P274" s="256">
        <v>11</v>
      </c>
      <c r="Q274" s="256">
        <f t="shared" si="124"/>
        <v>11000</v>
      </c>
      <c r="R274" s="250">
        <v>44022</v>
      </c>
      <c r="S274" s="257" t="s">
        <v>3506</v>
      </c>
      <c r="T274" s="252" t="s">
        <v>3036</v>
      </c>
      <c r="U274" s="253" t="s">
        <v>4232</v>
      </c>
      <c r="V274" s="252" t="s">
        <v>4134</v>
      </c>
      <c r="W274" s="255" t="e">
        <f t="shared" ca="1" si="119"/>
        <v>#NAME?</v>
      </c>
      <c r="X274" s="460">
        <v>50000</v>
      </c>
      <c r="Y274" s="253">
        <v>123579</v>
      </c>
      <c r="Z274" s="262">
        <v>44027</v>
      </c>
      <c r="AA274" s="251"/>
      <c r="AB274" s="251"/>
      <c r="AC274" s="251"/>
      <c r="AD274" s="251"/>
      <c r="AE274" s="251"/>
      <c r="AF274" s="251"/>
      <c r="AG274" s="258">
        <f t="shared" si="122"/>
        <v>0</v>
      </c>
      <c r="AH274" s="318" t="s">
        <v>72</v>
      </c>
      <c r="AI274" s="252" t="s">
        <v>2762</v>
      </c>
      <c r="AJ274" s="188">
        <f t="shared" si="120"/>
        <v>0</v>
      </c>
      <c r="AK274" s="260" t="e">
        <f t="shared" ca="1" si="114"/>
        <v>#NAME?</v>
      </c>
      <c r="AL274" s="257" t="s">
        <v>4233</v>
      </c>
      <c r="AM274" s="252"/>
      <c r="AN274" s="252"/>
      <c r="AO274" s="252"/>
      <c r="AP274" s="251" t="s">
        <v>4234</v>
      </c>
      <c r="AQ274" s="251"/>
      <c r="AR274" s="251" t="s">
        <v>3063</v>
      </c>
      <c r="AS274" s="336">
        <f t="shared" si="115"/>
        <v>11000</v>
      </c>
      <c r="AT274" s="337">
        <f t="shared" si="116"/>
        <v>1111</v>
      </c>
      <c r="AU274" s="251"/>
      <c r="AV274" s="251"/>
      <c r="AW274" s="337">
        <f t="shared" si="117"/>
        <v>12111</v>
      </c>
      <c r="AX274" s="188">
        <f t="shared" si="123"/>
        <v>1000</v>
      </c>
      <c r="AY274" s="188" t="s">
        <v>2733</v>
      </c>
      <c r="AZ274" s="251">
        <f t="shared" si="125"/>
        <v>12.111000000000001</v>
      </c>
      <c r="BA274" s="251" t="s">
        <v>2765</v>
      </c>
      <c r="BB274" s="188" t="s">
        <v>2733</v>
      </c>
      <c r="BC274" s="261">
        <v>1</v>
      </c>
      <c r="BD274" s="261">
        <f t="shared" si="118"/>
        <v>12.111000000000001</v>
      </c>
      <c r="BE274" s="251"/>
      <c r="BF274" s="251" t="s">
        <v>36</v>
      </c>
      <c r="BG274" s="252" t="s">
        <v>4214</v>
      </c>
    </row>
    <row r="275" spans="1:59" s="228" customFormat="1" ht="15" customHeight="1">
      <c r="A275" s="21">
        <v>44019</v>
      </c>
      <c r="B275" s="96" t="s">
        <v>3310</v>
      </c>
      <c r="C275" s="22" t="s">
        <v>78</v>
      </c>
      <c r="D275" s="97" t="s">
        <v>4222</v>
      </c>
      <c r="E275" s="22" t="s">
        <v>4223</v>
      </c>
      <c r="F275" s="69" t="s">
        <v>2846</v>
      </c>
      <c r="G275" s="69" t="s">
        <v>2846</v>
      </c>
      <c r="H275" s="70">
        <v>160</v>
      </c>
      <c r="I275" s="71" t="s">
        <v>3313</v>
      </c>
      <c r="J275" s="71">
        <v>400</v>
      </c>
      <c r="K275" s="71" t="s">
        <v>3314</v>
      </c>
      <c r="L275" s="72">
        <v>1</v>
      </c>
      <c r="M275" s="72" t="s">
        <v>64</v>
      </c>
      <c r="N275" s="73">
        <f t="shared" si="121"/>
        <v>64000</v>
      </c>
      <c r="O275" s="73">
        <v>400</v>
      </c>
      <c r="P275" s="74">
        <v>7.88</v>
      </c>
      <c r="Q275" s="74">
        <f t="shared" si="124"/>
        <v>3152</v>
      </c>
      <c r="R275" s="21">
        <v>44082</v>
      </c>
      <c r="S275" s="99" t="s">
        <v>3506</v>
      </c>
      <c r="T275" s="22" t="s">
        <v>3036</v>
      </c>
      <c r="U275" s="97" t="s">
        <v>4224</v>
      </c>
      <c r="V275" s="22"/>
      <c r="W275" s="285" t="e">
        <f t="shared" ca="1" si="119"/>
        <v>#NAME?</v>
      </c>
      <c r="X275" s="456">
        <v>0</v>
      </c>
      <c r="Y275" s="97"/>
      <c r="Z275" s="96"/>
      <c r="AA275" s="96">
        <v>400</v>
      </c>
      <c r="AB275" s="96"/>
      <c r="AC275" s="96"/>
      <c r="AD275" s="96"/>
      <c r="AE275" s="96"/>
      <c r="AF275" s="96"/>
      <c r="AG275" s="102">
        <f>O275-X275-AA275-AD275</f>
        <v>0</v>
      </c>
      <c r="AH275" s="110" t="s">
        <v>78</v>
      </c>
      <c r="AI275" s="22" t="s">
        <v>79</v>
      </c>
      <c r="AJ275" s="101">
        <f t="shared" si="120"/>
        <v>0</v>
      </c>
      <c r="AK275" s="184" t="e">
        <f t="shared" ca="1" si="114"/>
        <v>#NAME?</v>
      </c>
      <c r="AL275" s="99"/>
      <c r="AM275" s="22"/>
      <c r="AN275" s="22"/>
      <c r="AO275" s="22"/>
      <c r="AP275" s="96" t="s">
        <v>4225</v>
      </c>
      <c r="AQ275" s="96"/>
      <c r="AR275" s="96" t="s">
        <v>3063</v>
      </c>
      <c r="AS275" s="338">
        <f t="shared" si="115"/>
        <v>3152</v>
      </c>
      <c r="AT275" s="339">
        <f t="shared" si="116"/>
        <v>318.35200000000003</v>
      </c>
      <c r="AU275" s="199">
        <v>0</v>
      </c>
      <c r="AV275" s="199">
        <v>0</v>
      </c>
      <c r="AW275" s="339">
        <f t="shared" si="117"/>
        <v>3470.3519999999999</v>
      </c>
      <c r="AX275" s="101">
        <v>400</v>
      </c>
      <c r="AY275" s="237" t="s">
        <v>2724</v>
      </c>
      <c r="AZ275" s="199">
        <f t="shared" si="125"/>
        <v>8.6758799999999994</v>
      </c>
      <c r="BA275" s="199" t="s">
        <v>2721</v>
      </c>
      <c r="BB275" s="287" t="s">
        <v>2739</v>
      </c>
      <c r="BC275" s="199">
        <v>1</v>
      </c>
      <c r="BD275" s="199">
        <f t="shared" si="118"/>
        <v>8.6758799999999994</v>
      </c>
      <c r="BE275" s="96"/>
      <c r="BF275" s="96" t="s">
        <v>3137</v>
      </c>
      <c r="BG275" s="21" t="s">
        <v>4028</v>
      </c>
    </row>
    <row r="276" spans="1:59" s="228" customFormat="1" ht="15" customHeight="1">
      <c r="A276" s="271">
        <v>44020</v>
      </c>
      <c r="B276" s="266" t="s">
        <v>3310</v>
      </c>
      <c r="C276" s="268" t="s">
        <v>4285</v>
      </c>
      <c r="D276" s="267" t="s">
        <v>4290</v>
      </c>
      <c r="E276" s="268" t="s">
        <v>4287</v>
      </c>
      <c r="F276" s="272" t="s">
        <v>2846</v>
      </c>
      <c r="G276" s="272" t="s">
        <v>2846</v>
      </c>
      <c r="H276" s="272">
        <v>50</v>
      </c>
      <c r="I276" s="268" t="s">
        <v>3034</v>
      </c>
      <c r="J276" s="268">
        <v>440</v>
      </c>
      <c r="K276" s="268" t="s">
        <v>2733</v>
      </c>
      <c r="L276" s="273">
        <v>1</v>
      </c>
      <c r="M276" s="273" t="s">
        <v>64</v>
      </c>
      <c r="N276" s="272">
        <f t="shared" si="121"/>
        <v>22000</v>
      </c>
      <c r="O276" s="272">
        <v>440</v>
      </c>
      <c r="P276" s="274">
        <v>14</v>
      </c>
      <c r="Q276" s="274">
        <f t="shared" si="124"/>
        <v>6160</v>
      </c>
      <c r="R276" s="271">
        <v>44022</v>
      </c>
      <c r="S276" s="276" t="s">
        <v>4288</v>
      </c>
      <c r="T276" s="267" t="s">
        <v>3036</v>
      </c>
      <c r="U276" s="267" t="s">
        <v>4251</v>
      </c>
      <c r="V276" s="267" t="s">
        <v>4134</v>
      </c>
      <c r="W276" s="232" t="e">
        <f t="shared" ca="1" si="119"/>
        <v>#NAME?</v>
      </c>
      <c r="X276" s="456">
        <v>440</v>
      </c>
      <c r="Y276" s="230">
        <v>123705</v>
      </c>
      <c r="Z276" s="236">
        <v>44033</v>
      </c>
      <c r="AG276" s="238">
        <f>+O276-X276-AA276-AD276</f>
        <v>0</v>
      </c>
      <c r="AH276" s="239" t="s">
        <v>70</v>
      </c>
      <c r="AI276" s="229" t="s">
        <v>2762</v>
      </c>
      <c r="AJ276" s="237">
        <f t="shared" si="120"/>
        <v>0</v>
      </c>
      <c r="AK276" s="241" t="e">
        <f t="shared" ca="1" si="114"/>
        <v>#NAME?</v>
      </c>
      <c r="AL276" s="235" t="s">
        <v>4291</v>
      </c>
      <c r="AM276" s="229"/>
      <c r="AN276" s="229"/>
      <c r="AO276" s="229"/>
      <c r="AP276" s="228" t="s">
        <v>4292</v>
      </c>
      <c r="AR276" s="228" t="s">
        <v>3063</v>
      </c>
      <c r="AS276" s="334">
        <f t="shared" si="115"/>
        <v>6160</v>
      </c>
      <c r="AT276" s="335">
        <f t="shared" si="116"/>
        <v>622.16000000000008</v>
      </c>
      <c r="AW276" s="335">
        <f t="shared" si="117"/>
        <v>6782.16</v>
      </c>
      <c r="AX276" s="237">
        <f>+O276</f>
        <v>440</v>
      </c>
      <c r="AY276" s="237" t="s">
        <v>2733</v>
      </c>
      <c r="AZ276" s="228">
        <f t="shared" si="125"/>
        <v>15.414</v>
      </c>
      <c r="BA276" s="228" t="s">
        <v>2777</v>
      </c>
      <c r="BB276" s="237" t="s">
        <v>2733</v>
      </c>
      <c r="BC276" s="242">
        <v>1</v>
      </c>
      <c r="BD276" s="242">
        <f t="shared" si="118"/>
        <v>15.414</v>
      </c>
      <c r="BF276" s="228" t="s">
        <v>36</v>
      </c>
      <c r="BG276" s="229" t="s">
        <v>4214</v>
      </c>
    </row>
    <row r="277" spans="1:59" s="228" customFormat="1" ht="15" customHeight="1">
      <c r="A277" s="227">
        <v>44020</v>
      </c>
      <c r="B277" s="228" t="s">
        <v>3310</v>
      </c>
      <c r="C277" s="229" t="s">
        <v>3069</v>
      </c>
      <c r="D277" s="230" t="s">
        <v>4250</v>
      </c>
      <c r="E277" s="229" t="s">
        <v>4236</v>
      </c>
      <c r="F277" s="231" t="s">
        <v>2846</v>
      </c>
      <c r="G277" s="231" t="s">
        <v>2846</v>
      </c>
      <c r="H277" s="231">
        <v>50</v>
      </c>
      <c r="I277" s="229" t="s">
        <v>3034</v>
      </c>
      <c r="J277" s="229">
        <v>500</v>
      </c>
      <c r="K277" s="229" t="s">
        <v>2733</v>
      </c>
      <c r="L277" s="232">
        <v>1</v>
      </c>
      <c r="M277" s="232" t="s">
        <v>64</v>
      </c>
      <c r="N277" s="231">
        <f t="shared" si="121"/>
        <v>25000</v>
      </c>
      <c r="O277" s="231">
        <v>500</v>
      </c>
      <c r="P277" s="233">
        <v>14</v>
      </c>
      <c r="Q277" s="233">
        <f t="shared" si="124"/>
        <v>7000</v>
      </c>
      <c r="R277" s="227">
        <v>44022</v>
      </c>
      <c r="S277" s="235" t="s">
        <v>3506</v>
      </c>
      <c r="T277" s="229" t="s">
        <v>3036</v>
      </c>
      <c r="U277" s="230" t="s">
        <v>4251</v>
      </c>
      <c r="V277" s="229" t="s">
        <v>4134</v>
      </c>
      <c r="W277" s="232" t="e">
        <f t="shared" ca="1" si="119"/>
        <v>#NAME?</v>
      </c>
      <c r="X277" s="456">
        <v>500</v>
      </c>
      <c r="Y277" s="230">
        <v>123705</v>
      </c>
      <c r="Z277" s="236">
        <v>44033</v>
      </c>
      <c r="AG277" s="238">
        <f>+O277-X277-AA277-AD277</f>
        <v>0</v>
      </c>
      <c r="AH277" s="239" t="s">
        <v>70</v>
      </c>
      <c r="AI277" s="229" t="s">
        <v>2762</v>
      </c>
      <c r="AJ277" s="237">
        <f t="shared" si="120"/>
        <v>0</v>
      </c>
      <c r="AK277" s="241" t="e">
        <f t="shared" ca="1" si="114"/>
        <v>#NAME?</v>
      </c>
      <c r="AL277" s="235" t="s">
        <v>4252</v>
      </c>
      <c r="AM277" s="229"/>
      <c r="AN277" s="229"/>
      <c r="AO277" s="229"/>
      <c r="AP277" s="228" t="s">
        <v>4253</v>
      </c>
      <c r="AR277" s="228" t="s">
        <v>3063</v>
      </c>
      <c r="AS277" s="334">
        <f t="shared" si="115"/>
        <v>7000</v>
      </c>
      <c r="AT277" s="335">
        <f t="shared" si="116"/>
        <v>707</v>
      </c>
      <c r="AW277" s="335">
        <f t="shared" si="117"/>
        <v>7707</v>
      </c>
      <c r="AX277" s="237">
        <f>O277</f>
        <v>500</v>
      </c>
      <c r="AY277" s="237" t="s">
        <v>2733</v>
      </c>
      <c r="AZ277" s="228">
        <f t="shared" si="125"/>
        <v>15.414</v>
      </c>
      <c r="BA277" s="228" t="s">
        <v>2763</v>
      </c>
      <c r="BB277" s="237" t="s">
        <v>2733</v>
      </c>
      <c r="BC277" s="242">
        <v>1</v>
      </c>
      <c r="BD277" s="242">
        <f t="shared" si="118"/>
        <v>15.414</v>
      </c>
      <c r="BF277" s="228" t="s">
        <v>36</v>
      </c>
      <c r="BG277" s="229" t="s">
        <v>4214</v>
      </c>
    </row>
    <row r="278" spans="1:59" s="251" customFormat="1" ht="15" customHeight="1">
      <c r="A278" s="227">
        <v>44020</v>
      </c>
      <c r="B278" s="228" t="s">
        <v>3310</v>
      </c>
      <c r="C278" s="229" t="s">
        <v>3031</v>
      </c>
      <c r="D278" s="230" t="s">
        <v>4254</v>
      </c>
      <c r="E278" s="229" t="s">
        <v>4240</v>
      </c>
      <c r="F278" s="231" t="s">
        <v>2846</v>
      </c>
      <c r="G278" s="231" t="s">
        <v>2846</v>
      </c>
      <c r="H278" s="231">
        <v>50</v>
      </c>
      <c r="I278" s="229" t="s">
        <v>3034</v>
      </c>
      <c r="J278" s="229">
        <v>1000</v>
      </c>
      <c r="K278" s="229" t="s">
        <v>2733</v>
      </c>
      <c r="L278" s="232">
        <v>1</v>
      </c>
      <c r="M278" s="232" t="s">
        <v>64</v>
      </c>
      <c r="N278" s="231">
        <f t="shared" si="121"/>
        <v>50000</v>
      </c>
      <c r="O278" s="231">
        <v>1000</v>
      </c>
      <c r="P278" s="233">
        <v>14</v>
      </c>
      <c r="Q278" s="233">
        <f t="shared" si="124"/>
        <v>14000</v>
      </c>
      <c r="R278" s="227">
        <v>44022</v>
      </c>
      <c r="S278" s="235" t="s">
        <v>3506</v>
      </c>
      <c r="T278" s="229" t="s">
        <v>3036</v>
      </c>
      <c r="U278" s="230" t="s">
        <v>4251</v>
      </c>
      <c r="V278" s="229" t="s">
        <v>4134</v>
      </c>
      <c r="W278" s="232" t="e">
        <f t="shared" ca="1" si="119"/>
        <v>#NAME?</v>
      </c>
      <c r="X278" s="456">
        <v>1000</v>
      </c>
      <c r="Y278" s="230">
        <v>123705</v>
      </c>
      <c r="Z278" s="236">
        <v>44033</v>
      </c>
      <c r="AA278" s="228"/>
      <c r="AB278" s="228"/>
      <c r="AC278" s="228"/>
      <c r="AD278" s="228"/>
      <c r="AE278" s="228"/>
      <c r="AF278" s="228"/>
      <c r="AG278" s="238">
        <f>+O278-X278-AA278-AD278</f>
        <v>0</v>
      </c>
      <c r="AH278" s="239" t="s">
        <v>70</v>
      </c>
      <c r="AI278" s="229" t="s">
        <v>2762</v>
      </c>
      <c r="AJ278" s="237">
        <f t="shared" si="120"/>
        <v>0</v>
      </c>
      <c r="AK278" s="241" t="e">
        <f t="shared" ca="1" si="114"/>
        <v>#NAME?</v>
      </c>
      <c r="AL278" s="235" t="s">
        <v>4255</v>
      </c>
      <c r="AM278" s="229"/>
      <c r="AN278" s="229"/>
      <c r="AO278" s="229"/>
      <c r="AP278" s="228" t="s">
        <v>4256</v>
      </c>
      <c r="AQ278" s="228"/>
      <c r="AR278" s="228" t="s">
        <v>3063</v>
      </c>
      <c r="AS278" s="334">
        <f t="shared" si="115"/>
        <v>14000</v>
      </c>
      <c r="AT278" s="335">
        <f t="shared" si="116"/>
        <v>1414</v>
      </c>
      <c r="AU278" s="228"/>
      <c r="AV278" s="228"/>
      <c r="AW278" s="335">
        <f t="shared" si="117"/>
        <v>15414</v>
      </c>
      <c r="AX278" s="237">
        <f>O278</f>
        <v>1000</v>
      </c>
      <c r="AY278" s="237" t="s">
        <v>2733</v>
      </c>
      <c r="AZ278" s="228">
        <f t="shared" si="125"/>
        <v>15.414</v>
      </c>
      <c r="BA278" s="228" t="s">
        <v>2767</v>
      </c>
      <c r="BB278" s="237" t="s">
        <v>2733</v>
      </c>
      <c r="BC278" s="242">
        <v>1</v>
      </c>
      <c r="BD278" s="242">
        <f t="shared" si="118"/>
        <v>15.414</v>
      </c>
      <c r="BE278" s="228"/>
      <c r="BF278" s="228" t="s">
        <v>36</v>
      </c>
      <c r="BG278" s="229" t="s">
        <v>4214</v>
      </c>
    </row>
    <row r="279" spans="1:59" s="251" customFormat="1" ht="15" customHeight="1">
      <c r="A279" s="227">
        <v>44020</v>
      </c>
      <c r="B279" s="228" t="s">
        <v>3310</v>
      </c>
      <c r="C279" s="229" t="s">
        <v>3041</v>
      </c>
      <c r="D279" s="230" t="s">
        <v>4257</v>
      </c>
      <c r="E279" s="229" t="s">
        <v>4244</v>
      </c>
      <c r="F279" s="231" t="s">
        <v>2846</v>
      </c>
      <c r="G279" s="231" t="s">
        <v>2846</v>
      </c>
      <c r="H279" s="231">
        <v>50</v>
      </c>
      <c r="I279" s="229" t="s">
        <v>3034</v>
      </c>
      <c r="J279" s="229">
        <v>1500</v>
      </c>
      <c r="K279" s="229" t="s">
        <v>2733</v>
      </c>
      <c r="L279" s="232">
        <v>1</v>
      </c>
      <c r="M279" s="232" t="s">
        <v>64</v>
      </c>
      <c r="N279" s="231">
        <f t="shared" si="121"/>
        <v>75000</v>
      </c>
      <c r="O279" s="231">
        <v>1500</v>
      </c>
      <c r="P279" s="233">
        <v>14</v>
      </c>
      <c r="Q279" s="233">
        <f t="shared" si="124"/>
        <v>21000</v>
      </c>
      <c r="R279" s="227">
        <v>44022</v>
      </c>
      <c r="S279" s="235" t="s">
        <v>3506</v>
      </c>
      <c r="T279" s="229" t="s">
        <v>3036</v>
      </c>
      <c r="U279" s="230" t="s">
        <v>4251</v>
      </c>
      <c r="V279" s="229" t="s">
        <v>4134</v>
      </c>
      <c r="W279" s="232" t="e">
        <f t="shared" ca="1" si="119"/>
        <v>#NAME?</v>
      </c>
      <c r="X279" s="456">
        <v>1500</v>
      </c>
      <c r="Y279" s="230">
        <v>123705</v>
      </c>
      <c r="Z279" s="236">
        <v>44033</v>
      </c>
      <c r="AA279" s="228"/>
      <c r="AB279" s="228"/>
      <c r="AC279" s="228"/>
      <c r="AD279" s="228"/>
      <c r="AE279" s="228"/>
      <c r="AF279" s="228"/>
      <c r="AG279" s="238">
        <f>+O279-X279-AA279-AD279</f>
        <v>0</v>
      </c>
      <c r="AH279" s="239" t="s">
        <v>70</v>
      </c>
      <c r="AI279" s="229" t="s">
        <v>2762</v>
      </c>
      <c r="AJ279" s="237">
        <f t="shared" si="120"/>
        <v>0</v>
      </c>
      <c r="AK279" s="241" t="e">
        <f t="shared" ca="1" si="114"/>
        <v>#NAME?</v>
      </c>
      <c r="AL279" s="235" t="s">
        <v>4258</v>
      </c>
      <c r="AM279" s="229"/>
      <c r="AN279" s="229"/>
      <c r="AO279" s="229"/>
      <c r="AP279" s="228" t="s">
        <v>4259</v>
      </c>
      <c r="AQ279" s="228"/>
      <c r="AR279" s="228" t="s">
        <v>3063</v>
      </c>
      <c r="AS279" s="334">
        <f t="shared" si="115"/>
        <v>21000</v>
      </c>
      <c r="AT279" s="335">
        <f t="shared" si="116"/>
        <v>2121</v>
      </c>
      <c r="AU279" s="228"/>
      <c r="AV279" s="228"/>
      <c r="AW279" s="335">
        <f t="shared" si="117"/>
        <v>23121</v>
      </c>
      <c r="AX279" s="237">
        <f>O279</f>
        <v>1500</v>
      </c>
      <c r="AY279" s="237" t="s">
        <v>2733</v>
      </c>
      <c r="AZ279" s="228">
        <f t="shared" si="125"/>
        <v>15.414</v>
      </c>
      <c r="BA279" s="228" t="s">
        <v>2771</v>
      </c>
      <c r="BB279" s="237" t="s">
        <v>2733</v>
      </c>
      <c r="BC279" s="242">
        <v>1</v>
      </c>
      <c r="BD279" s="242">
        <f t="shared" si="118"/>
        <v>15.414</v>
      </c>
      <c r="BE279" s="228"/>
      <c r="BF279" s="228" t="s">
        <v>36</v>
      </c>
      <c r="BG279" s="229" t="s">
        <v>4214</v>
      </c>
    </row>
    <row r="280" spans="1:59" s="96" customFormat="1" ht="15" customHeight="1">
      <c r="A280" s="227">
        <v>44020</v>
      </c>
      <c r="B280" s="228" t="s">
        <v>4260</v>
      </c>
      <c r="C280" s="229" t="s">
        <v>3045</v>
      </c>
      <c r="D280" s="230" t="s">
        <v>4261</v>
      </c>
      <c r="E280" s="229" t="s">
        <v>4248</v>
      </c>
      <c r="F280" s="231" t="s">
        <v>2846</v>
      </c>
      <c r="G280" s="231" t="s">
        <v>2846</v>
      </c>
      <c r="H280" s="231">
        <v>50</v>
      </c>
      <c r="I280" s="229" t="s">
        <v>3034</v>
      </c>
      <c r="J280" s="229">
        <v>1500</v>
      </c>
      <c r="K280" s="229" t="s">
        <v>2733</v>
      </c>
      <c r="L280" s="232">
        <v>1</v>
      </c>
      <c r="M280" s="232" t="s">
        <v>64</v>
      </c>
      <c r="N280" s="231">
        <f t="shared" si="121"/>
        <v>75000</v>
      </c>
      <c r="O280" s="231">
        <v>1500</v>
      </c>
      <c r="P280" s="233">
        <v>14</v>
      </c>
      <c r="Q280" s="233">
        <f t="shared" si="124"/>
        <v>21000</v>
      </c>
      <c r="R280" s="227">
        <v>44022</v>
      </c>
      <c r="S280" s="235" t="s">
        <v>3506</v>
      </c>
      <c r="T280" s="229" t="s">
        <v>3036</v>
      </c>
      <c r="U280" s="230" t="s">
        <v>4251</v>
      </c>
      <c r="V280" s="229" t="s">
        <v>4134</v>
      </c>
      <c r="W280" s="232" t="e">
        <f t="shared" ca="1" si="119"/>
        <v>#NAME?</v>
      </c>
      <c r="X280" s="456">
        <v>1500</v>
      </c>
      <c r="Y280" s="230">
        <v>123705</v>
      </c>
      <c r="Z280" s="236">
        <v>44033</v>
      </c>
      <c r="AA280" s="228"/>
      <c r="AB280" s="228"/>
      <c r="AC280" s="228"/>
      <c r="AD280" s="228"/>
      <c r="AE280" s="228"/>
      <c r="AF280" s="228"/>
      <c r="AG280" s="238">
        <f>+O280-X280-AA280-AD280</f>
        <v>0</v>
      </c>
      <c r="AH280" s="239" t="s">
        <v>70</v>
      </c>
      <c r="AI280" s="229" t="s">
        <v>2762</v>
      </c>
      <c r="AJ280" s="237">
        <f t="shared" si="120"/>
        <v>0</v>
      </c>
      <c r="AK280" s="241" t="e">
        <f t="shared" ca="1" si="114"/>
        <v>#NAME?</v>
      </c>
      <c r="AL280" s="235" t="s">
        <v>4258</v>
      </c>
      <c r="AM280" s="229"/>
      <c r="AN280" s="229"/>
      <c r="AO280" s="229"/>
      <c r="AP280" s="228" t="s">
        <v>4262</v>
      </c>
      <c r="AQ280" s="228"/>
      <c r="AR280" s="228" t="s">
        <v>3063</v>
      </c>
      <c r="AS280" s="334">
        <f t="shared" si="115"/>
        <v>21000</v>
      </c>
      <c r="AT280" s="335">
        <f t="shared" si="116"/>
        <v>2121</v>
      </c>
      <c r="AU280" s="228"/>
      <c r="AV280" s="228"/>
      <c r="AW280" s="335">
        <f t="shared" si="117"/>
        <v>23121</v>
      </c>
      <c r="AX280" s="237">
        <f>O280</f>
        <v>1500</v>
      </c>
      <c r="AY280" s="237" t="s">
        <v>2733</v>
      </c>
      <c r="AZ280" s="228">
        <f t="shared" si="125"/>
        <v>15.414</v>
      </c>
      <c r="BA280" s="228" t="s">
        <v>2775</v>
      </c>
      <c r="BB280" s="237" t="s">
        <v>2733</v>
      </c>
      <c r="BC280" s="242">
        <v>1</v>
      </c>
      <c r="BD280" s="242">
        <f t="shared" si="118"/>
        <v>15.414</v>
      </c>
      <c r="BE280" s="228"/>
      <c r="BF280" s="228" t="s">
        <v>36</v>
      </c>
      <c r="BG280" s="229" t="s">
        <v>4214</v>
      </c>
    </row>
    <row r="281" spans="1:59" s="96" customFormat="1" ht="15" customHeight="1">
      <c r="A281" s="227">
        <v>44026</v>
      </c>
      <c r="B281" s="228" t="s">
        <v>3310</v>
      </c>
      <c r="C281" s="229" t="s">
        <v>3685</v>
      </c>
      <c r="D281" s="230" t="s">
        <v>3889</v>
      </c>
      <c r="E281" s="229" t="s">
        <v>4293</v>
      </c>
      <c r="F281" s="231" t="s">
        <v>2846</v>
      </c>
      <c r="G281" s="231" t="s">
        <v>4294</v>
      </c>
      <c r="H281" s="231">
        <v>100</v>
      </c>
      <c r="I281" s="229" t="s">
        <v>2739</v>
      </c>
      <c r="J281" s="229">
        <v>10</v>
      </c>
      <c r="K281" s="229" t="s">
        <v>2733</v>
      </c>
      <c r="L281" s="232">
        <v>20</v>
      </c>
      <c r="M281" s="232" t="s">
        <v>2953</v>
      </c>
      <c r="N281" s="231">
        <f>H281*J281*L281</f>
        <v>20000</v>
      </c>
      <c r="O281" s="231">
        <f>J281*L281</f>
        <v>200</v>
      </c>
      <c r="P281" s="233">
        <v>76</v>
      </c>
      <c r="Q281" s="233">
        <f>L281*P281</f>
        <v>1520</v>
      </c>
      <c r="R281" s="227">
        <v>44033</v>
      </c>
      <c r="S281" s="235" t="s">
        <v>4288</v>
      </c>
      <c r="T281" s="229" t="s">
        <v>3036</v>
      </c>
      <c r="U281" s="230" t="s">
        <v>4295</v>
      </c>
      <c r="V281" s="229" t="s">
        <v>4296</v>
      </c>
      <c r="W281" s="232" t="e">
        <f t="shared" ca="1" si="119"/>
        <v>#NAME?</v>
      </c>
      <c r="X281" s="456">
        <v>20</v>
      </c>
      <c r="Y281" s="230">
        <v>123714</v>
      </c>
      <c r="Z281" s="236">
        <v>44033</v>
      </c>
      <c r="AA281" s="228"/>
      <c r="AB281" s="228"/>
      <c r="AC281" s="228"/>
      <c r="AD281" s="228"/>
      <c r="AE281" s="228"/>
      <c r="AF281" s="228"/>
      <c r="AG281" s="238">
        <f>(Q281/P281)-X281-AA281-AD281</f>
        <v>0</v>
      </c>
      <c r="AH281" s="239" t="s">
        <v>80</v>
      </c>
      <c r="AI281" s="240" t="s">
        <v>2739</v>
      </c>
      <c r="AJ281" s="237">
        <f>+AG281*H281</f>
        <v>0</v>
      </c>
      <c r="AK281" s="241" t="e">
        <f t="shared" ca="1" si="114"/>
        <v>#NAME?</v>
      </c>
      <c r="AL281" s="235" t="s">
        <v>4297</v>
      </c>
      <c r="AM281" s="229"/>
      <c r="AN281" s="229"/>
      <c r="AO281" s="229"/>
      <c r="AP281" s="228" t="s">
        <v>4298</v>
      </c>
      <c r="AQ281" s="228"/>
      <c r="AR281" s="228" t="s">
        <v>3063</v>
      </c>
      <c r="AS281" s="334">
        <f t="shared" si="115"/>
        <v>1520</v>
      </c>
      <c r="AT281" s="335">
        <f t="shared" si="116"/>
        <v>153.52000000000001</v>
      </c>
      <c r="AU281" s="228"/>
      <c r="AV281" s="228"/>
      <c r="AW281" s="335">
        <f t="shared" si="117"/>
        <v>1673.52</v>
      </c>
      <c r="AX281" s="237">
        <v>200</v>
      </c>
      <c r="AY281" s="242" t="s">
        <v>2733</v>
      </c>
      <c r="AZ281" s="242">
        <f t="shared" si="125"/>
        <v>8.3675999999999995</v>
      </c>
      <c r="BA281" s="228" t="s">
        <v>2725</v>
      </c>
      <c r="BB281" s="242" t="s">
        <v>2733</v>
      </c>
      <c r="BC281" s="242">
        <v>1</v>
      </c>
      <c r="BD281" s="242">
        <f t="shared" si="118"/>
        <v>8.3675999999999995</v>
      </c>
      <c r="BE281" s="228"/>
      <c r="BF281" s="228" t="s">
        <v>3137</v>
      </c>
      <c r="BG281" s="229" t="s">
        <v>4214</v>
      </c>
    </row>
    <row r="282" spans="1:59" s="251" customFormat="1" ht="15" customHeight="1">
      <c r="A282" s="397">
        <v>44026</v>
      </c>
      <c r="B282" s="400" t="s">
        <v>3552</v>
      </c>
      <c r="C282" s="401" t="s">
        <v>95</v>
      </c>
      <c r="D282" s="402" t="s">
        <v>4263</v>
      </c>
      <c r="E282" s="401" t="s">
        <v>4264</v>
      </c>
      <c r="F282" s="403" t="s">
        <v>2846</v>
      </c>
      <c r="G282" s="403" t="s">
        <v>2846</v>
      </c>
      <c r="H282" s="403">
        <v>3600</v>
      </c>
      <c r="I282" s="401" t="s">
        <v>2732</v>
      </c>
      <c r="J282" s="401" t="s">
        <v>2846</v>
      </c>
      <c r="K282" s="401" t="s">
        <v>2846</v>
      </c>
      <c r="L282" s="404">
        <v>1</v>
      </c>
      <c r="M282" s="404" t="s">
        <v>64</v>
      </c>
      <c r="N282" s="403">
        <v>3600</v>
      </c>
      <c r="O282" s="403" t="s">
        <v>2846</v>
      </c>
      <c r="P282" s="405">
        <v>20.93</v>
      </c>
      <c r="Q282" s="405">
        <f>N282*P282</f>
        <v>75348</v>
      </c>
      <c r="R282" s="397">
        <v>44041</v>
      </c>
      <c r="S282" s="406" t="s">
        <v>3506</v>
      </c>
      <c r="T282" s="401" t="s">
        <v>3036</v>
      </c>
      <c r="U282" s="402" t="s">
        <v>4265</v>
      </c>
      <c r="V282" s="401" t="s">
        <v>4266</v>
      </c>
      <c r="W282" s="255" t="str">
        <f>IF(AG282=0,"Yes","No")</f>
        <v>Yes</v>
      </c>
      <c r="X282" s="460">
        <v>1780</v>
      </c>
      <c r="Y282" s="253"/>
      <c r="AA282" s="251">
        <v>1820</v>
      </c>
      <c r="AG282" s="258">
        <f>+N282-X282-AA282-AD282</f>
        <v>0</v>
      </c>
      <c r="AH282" s="259" t="s">
        <v>95</v>
      </c>
      <c r="AI282" s="252"/>
      <c r="AJ282" s="237">
        <v>0</v>
      </c>
      <c r="AK282" s="188"/>
      <c r="AL282" s="409" t="s">
        <v>4267</v>
      </c>
      <c r="AM282" s="252"/>
      <c r="AN282" s="252"/>
      <c r="AO282" s="252"/>
      <c r="AP282" s="251" t="s">
        <v>4268</v>
      </c>
      <c r="AR282" s="251" t="s">
        <v>3039</v>
      </c>
      <c r="AS282" s="336">
        <f t="shared" si="115"/>
        <v>75348</v>
      </c>
      <c r="AT282" s="337">
        <f t="shared" si="116"/>
        <v>7610.1480000000001</v>
      </c>
      <c r="AU282" s="261">
        <v>0</v>
      </c>
      <c r="AV282" s="261">
        <v>0</v>
      </c>
      <c r="AW282" s="337">
        <f t="shared" si="117"/>
        <v>82958.148000000001</v>
      </c>
      <c r="AX282" s="188">
        <f>H282*16</f>
        <v>57600</v>
      </c>
      <c r="AY282" s="261" t="s">
        <v>2781</v>
      </c>
      <c r="AZ282" s="331">
        <f t="shared" si="125"/>
        <v>1.440245625</v>
      </c>
      <c r="BA282" s="261" t="s">
        <v>2779</v>
      </c>
      <c r="BB282" s="261" t="s">
        <v>2953</v>
      </c>
      <c r="BC282" s="261">
        <v>12</v>
      </c>
      <c r="BD282" s="261">
        <f t="shared" si="118"/>
        <v>17.282947499999999</v>
      </c>
      <c r="BF282" s="251" t="s">
        <v>3137</v>
      </c>
      <c r="BG282" s="252" t="s">
        <v>4214</v>
      </c>
    </row>
    <row r="283" spans="1:59" s="228" customFormat="1" ht="15" customHeight="1">
      <c r="A283" s="397">
        <v>44028</v>
      </c>
      <c r="B283" s="400" t="s">
        <v>3383</v>
      </c>
      <c r="C283" s="401" t="s">
        <v>3436</v>
      </c>
      <c r="D283" s="402" t="s">
        <v>4269</v>
      </c>
      <c r="E283" s="401" t="s">
        <v>4270</v>
      </c>
      <c r="F283" s="403" t="s">
        <v>2846</v>
      </c>
      <c r="G283" s="403" t="s">
        <v>2846</v>
      </c>
      <c r="H283" s="403">
        <v>12</v>
      </c>
      <c r="I283" s="401" t="s">
        <v>2739</v>
      </c>
      <c r="J283" s="401">
        <v>25</v>
      </c>
      <c r="K283" s="401" t="s">
        <v>2781</v>
      </c>
      <c r="L283" s="404">
        <v>1</v>
      </c>
      <c r="M283" s="404" t="s">
        <v>64</v>
      </c>
      <c r="N283" s="403">
        <f>H283*J283</f>
        <v>300</v>
      </c>
      <c r="O283" s="403">
        <v>25</v>
      </c>
      <c r="P283" s="405">
        <v>149.85</v>
      </c>
      <c r="Q283" s="405">
        <f>O283*P283</f>
        <v>3746.25</v>
      </c>
      <c r="R283" s="397">
        <v>44035</v>
      </c>
      <c r="S283" s="406" t="s">
        <v>3506</v>
      </c>
      <c r="T283" s="401" t="s">
        <v>3036</v>
      </c>
      <c r="U283" s="402" t="s">
        <v>4271</v>
      </c>
      <c r="V283" s="401" t="s">
        <v>4272</v>
      </c>
      <c r="W283" s="255"/>
      <c r="X283" s="460">
        <v>96</v>
      </c>
      <c r="Y283" s="253"/>
      <c r="Z283" s="251"/>
      <c r="AA283" s="251">
        <v>204</v>
      </c>
      <c r="AB283" s="251"/>
      <c r="AC283" s="251"/>
      <c r="AD283" s="251"/>
      <c r="AE283" s="251"/>
      <c r="AF283" s="251"/>
      <c r="AG283" s="258">
        <f>+N283-X283-AA283-AD283</f>
        <v>0</v>
      </c>
      <c r="AH283" s="259" t="s">
        <v>75</v>
      </c>
      <c r="AI283" s="252" t="s">
        <v>2739</v>
      </c>
      <c r="AJ283" s="188">
        <f>+AG283</f>
        <v>0</v>
      </c>
      <c r="AK283" s="260" t="e">
        <f t="shared" ref="AK283:AK295" ca="1" si="126">_xlfn.SINGLE(IF(R283="TBD",49674,R283))</f>
        <v>#NAME?</v>
      </c>
      <c r="AL283" s="257" t="s">
        <v>4273</v>
      </c>
      <c r="AM283" s="252"/>
      <c r="AN283" s="252"/>
      <c r="AO283" s="252"/>
      <c r="AP283" s="251" t="s">
        <v>4274</v>
      </c>
      <c r="AQ283" s="251"/>
      <c r="AR283" s="251" t="s">
        <v>3039</v>
      </c>
      <c r="AS283" s="336">
        <f t="shared" si="115"/>
        <v>3746.25</v>
      </c>
      <c r="AT283" s="337">
        <f t="shared" si="116"/>
        <v>378.37125000000003</v>
      </c>
      <c r="AU283" s="251"/>
      <c r="AV283" s="251"/>
      <c r="AW283" s="337">
        <f t="shared" si="117"/>
        <v>4124.6212500000001</v>
      </c>
      <c r="AX283" s="188">
        <f>N283</f>
        <v>300</v>
      </c>
      <c r="AY283" s="188" t="s">
        <v>2739</v>
      </c>
      <c r="AZ283" s="331">
        <f t="shared" si="125"/>
        <v>13.748737500000001</v>
      </c>
      <c r="BA283" s="251" t="s">
        <v>2804</v>
      </c>
      <c r="BB283" s="188" t="s">
        <v>2739</v>
      </c>
      <c r="BC283" s="261">
        <v>1</v>
      </c>
      <c r="BD283" s="261">
        <f t="shared" si="118"/>
        <v>13.748737500000001</v>
      </c>
      <c r="BE283" s="251"/>
      <c r="BF283" s="251" t="s">
        <v>3137</v>
      </c>
      <c r="BG283" s="252" t="s">
        <v>4214</v>
      </c>
    </row>
    <row r="284" spans="1:59" s="228" customFormat="1" ht="15" customHeight="1">
      <c r="A284" s="21">
        <v>44028</v>
      </c>
      <c r="B284" s="96" t="s">
        <v>3383</v>
      </c>
      <c r="C284" s="22" t="s">
        <v>93</v>
      </c>
      <c r="D284" s="97" t="s">
        <v>4280</v>
      </c>
      <c r="E284" s="22" t="s">
        <v>4281</v>
      </c>
      <c r="F284" s="69">
        <v>7.5</v>
      </c>
      <c r="G284" s="69">
        <v>150000</v>
      </c>
      <c r="H284" s="70">
        <v>8</v>
      </c>
      <c r="I284" s="71" t="s">
        <v>2739</v>
      </c>
      <c r="J284" s="71">
        <v>2500</v>
      </c>
      <c r="K284" s="71" t="s">
        <v>2781</v>
      </c>
      <c r="L284" s="72">
        <v>1</v>
      </c>
      <c r="M284" s="72" t="s">
        <v>64</v>
      </c>
      <c r="N284" s="73">
        <f>H284*J284</f>
        <v>20000</v>
      </c>
      <c r="O284" s="73">
        <v>2500</v>
      </c>
      <c r="P284" s="74">
        <v>37.25</v>
      </c>
      <c r="Q284" s="74">
        <f>O284*P284</f>
        <v>93125</v>
      </c>
      <c r="R284" s="21">
        <v>44068</v>
      </c>
      <c r="S284" s="99" t="s">
        <v>4282</v>
      </c>
      <c r="T284" s="22" t="s">
        <v>3036</v>
      </c>
      <c r="U284" s="97" t="s">
        <v>4283</v>
      </c>
      <c r="V284" s="22" t="s">
        <v>4272</v>
      </c>
      <c r="W284" s="285" t="e">
        <f ca="1">_xlfn.SINGLE(IF(AG284=0,"Yes","No"))</f>
        <v>#NAME?</v>
      </c>
      <c r="X284" s="456">
        <v>0</v>
      </c>
      <c r="Y284" s="97"/>
      <c r="Z284" s="96"/>
      <c r="AA284" s="96"/>
      <c r="AB284" s="96"/>
      <c r="AC284" s="96"/>
      <c r="AD284" s="96"/>
      <c r="AE284" s="96"/>
      <c r="AF284" s="96"/>
      <c r="AG284" s="102">
        <f>N284-X284-AA284-AD284</f>
        <v>20000</v>
      </c>
      <c r="AH284" s="174" t="s">
        <v>93</v>
      </c>
      <c r="AI284" s="22" t="s">
        <v>2736</v>
      </c>
      <c r="AJ284" s="287">
        <f>+AG284</f>
        <v>20000</v>
      </c>
      <c r="AK284" s="288" t="e">
        <f t="shared" ca="1" si="126"/>
        <v>#NAME?</v>
      </c>
      <c r="AL284" s="99"/>
      <c r="AM284" s="22"/>
      <c r="AN284" s="22"/>
      <c r="AO284" s="22"/>
      <c r="AP284" s="96" t="s">
        <v>4284</v>
      </c>
      <c r="AQ284" s="96"/>
      <c r="AR284" s="96" t="s">
        <v>3039</v>
      </c>
      <c r="AS284" s="338">
        <f t="shared" si="115"/>
        <v>93125</v>
      </c>
      <c r="AT284" s="339">
        <f t="shared" si="116"/>
        <v>9405.625</v>
      </c>
      <c r="AU284" s="96"/>
      <c r="AV284" s="96"/>
      <c r="AW284" s="339">
        <f t="shared" si="117"/>
        <v>102530.625</v>
      </c>
      <c r="AX284" s="237">
        <f>N284</f>
        <v>20000</v>
      </c>
      <c r="AY284" s="237" t="s">
        <v>2739</v>
      </c>
      <c r="AZ284" s="243">
        <f t="shared" si="125"/>
        <v>5.1265312500000002</v>
      </c>
      <c r="BA284" s="228" t="s">
        <v>2737</v>
      </c>
      <c r="BB284" s="237" t="s">
        <v>2739</v>
      </c>
      <c r="BC284" s="242">
        <v>1</v>
      </c>
      <c r="BD284" s="242">
        <f t="shared" si="118"/>
        <v>5.1265312500000002</v>
      </c>
      <c r="BE284" s="96"/>
      <c r="BF284" s="96" t="s">
        <v>3137</v>
      </c>
      <c r="BG284" s="22" t="s">
        <v>4214</v>
      </c>
    </row>
    <row r="285" spans="1:59" s="96" customFormat="1" ht="15" customHeight="1">
      <c r="A285" s="21">
        <v>44028</v>
      </c>
      <c r="B285" s="96" t="s">
        <v>3714</v>
      </c>
      <c r="C285" s="22" t="s">
        <v>3548</v>
      </c>
      <c r="D285" s="97" t="s">
        <v>4275</v>
      </c>
      <c r="E285" s="22" t="s">
        <v>4276</v>
      </c>
      <c r="F285" s="69" t="s">
        <v>2846</v>
      </c>
      <c r="G285" s="69" t="s">
        <v>2846</v>
      </c>
      <c r="H285" s="70">
        <v>300</v>
      </c>
      <c r="I285" s="71" t="s">
        <v>2739</v>
      </c>
      <c r="J285" s="71" t="s">
        <v>2846</v>
      </c>
      <c r="K285" s="71" t="s">
        <v>2846</v>
      </c>
      <c r="L285" s="72">
        <v>1</v>
      </c>
      <c r="M285" s="72" t="s">
        <v>64</v>
      </c>
      <c r="N285" s="73">
        <v>300</v>
      </c>
      <c r="O285" s="73" t="s">
        <v>2846</v>
      </c>
      <c r="P285" s="74">
        <v>6.91</v>
      </c>
      <c r="Q285" s="74">
        <f>N285*P285</f>
        <v>2073</v>
      </c>
      <c r="R285" s="21">
        <v>44099</v>
      </c>
      <c r="S285" s="99" t="s">
        <v>3506</v>
      </c>
      <c r="T285" s="22" t="s">
        <v>3036</v>
      </c>
      <c r="U285" s="97" t="s">
        <v>4277</v>
      </c>
      <c r="V285" s="355" t="s">
        <v>4278</v>
      </c>
      <c r="W285" s="392" t="e">
        <f ca="1">_xlfn.SINGLE(IF(AG285=0,"Yes","No"))</f>
        <v>#NAME?</v>
      </c>
      <c r="X285" s="456">
        <v>0</v>
      </c>
      <c r="Y285" s="97"/>
      <c r="AG285" s="102">
        <f>+N285-X285-AA285-AD285</f>
        <v>300</v>
      </c>
      <c r="AH285" s="174" t="s">
        <v>74</v>
      </c>
      <c r="AI285" s="22" t="s">
        <v>2739</v>
      </c>
      <c r="AJ285" s="101">
        <f>+AG285</f>
        <v>300</v>
      </c>
      <c r="AK285" s="184" t="e">
        <f t="shared" ca="1" si="126"/>
        <v>#NAME?</v>
      </c>
      <c r="AL285" s="99"/>
      <c r="AM285" s="22"/>
      <c r="AN285" s="22"/>
      <c r="AO285" s="22"/>
      <c r="AP285" s="96" t="s">
        <v>4279</v>
      </c>
      <c r="AR285" s="96" t="s">
        <v>3063</v>
      </c>
      <c r="AS285" s="338">
        <f t="shared" si="115"/>
        <v>2073</v>
      </c>
      <c r="AT285" s="339">
        <f t="shared" si="116"/>
        <v>209.37300000000002</v>
      </c>
      <c r="AW285" s="339">
        <f t="shared" si="117"/>
        <v>2282.373</v>
      </c>
      <c r="AX285" s="237">
        <f>H285</f>
        <v>300</v>
      </c>
      <c r="AY285" s="101" t="s">
        <v>2739</v>
      </c>
      <c r="AZ285" s="243">
        <f t="shared" si="125"/>
        <v>7.6079100000000004</v>
      </c>
      <c r="BA285" s="96" t="s">
        <v>2808</v>
      </c>
      <c r="BB285" s="101" t="s">
        <v>2739</v>
      </c>
      <c r="BC285" s="242">
        <v>1</v>
      </c>
      <c r="BD285" s="242">
        <f t="shared" si="118"/>
        <v>7.6079100000000004</v>
      </c>
      <c r="BF285" s="96" t="s">
        <v>36</v>
      </c>
      <c r="BG285" s="22" t="s">
        <v>4214</v>
      </c>
    </row>
    <row r="286" spans="1:59" s="228" customFormat="1" ht="15" customHeight="1">
      <c r="A286" s="227">
        <v>44033</v>
      </c>
      <c r="B286" s="228" t="s">
        <v>3596</v>
      </c>
      <c r="C286" s="229" t="s">
        <v>2971</v>
      </c>
      <c r="D286" s="230" t="s">
        <v>4304</v>
      </c>
      <c r="E286" s="229" t="s">
        <v>4305</v>
      </c>
      <c r="F286" s="231" t="s">
        <v>2846</v>
      </c>
      <c r="G286" s="231" t="s">
        <v>2846</v>
      </c>
      <c r="H286" s="231">
        <v>20</v>
      </c>
      <c r="I286" s="229" t="s">
        <v>2739</v>
      </c>
      <c r="J286" s="229" t="s">
        <v>2846</v>
      </c>
      <c r="K286" s="229" t="s">
        <v>2846</v>
      </c>
      <c r="L286" s="232">
        <v>1</v>
      </c>
      <c r="M286" s="232" t="s">
        <v>64</v>
      </c>
      <c r="N286" s="231">
        <f>H286</f>
        <v>20</v>
      </c>
      <c r="O286" s="231" t="s">
        <v>2846</v>
      </c>
      <c r="P286" s="233">
        <v>269.99</v>
      </c>
      <c r="Q286" s="233">
        <f>N286*P286</f>
        <v>5399.8</v>
      </c>
      <c r="R286" s="227">
        <v>44048</v>
      </c>
      <c r="S286" s="235" t="s">
        <v>4288</v>
      </c>
      <c r="T286" s="229" t="s">
        <v>3036</v>
      </c>
      <c r="U286" s="230" t="s">
        <v>4306</v>
      </c>
      <c r="V286" s="229" t="s">
        <v>4307</v>
      </c>
      <c r="W286" s="232" t="str">
        <f>IF(AG286=0,"Yes","No")</f>
        <v>Yes</v>
      </c>
      <c r="X286" s="456">
        <v>20</v>
      </c>
      <c r="Y286" s="230">
        <v>4230014</v>
      </c>
      <c r="Z286" s="236">
        <v>44054</v>
      </c>
      <c r="AG286" s="238">
        <f>N286-X286-AA286-AD286</f>
        <v>0</v>
      </c>
      <c r="AH286" s="269" t="s">
        <v>2969</v>
      </c>
      <c r="AI286" s="269"/>
      <c r="AJ286" s="237"/>
      <c r="AK286" s="241" t="e">
        <f t="shared" ca="1" si="126"/>
        <v>#NAME?</v>
      </c>
      <c r="AL286" s="235" t="s">
        <v>4308</v>
      </c>
      <c r="AM286" s="229"/>
      <c r="AN286" s="229"/>
      <c r="AO286" s="229"/>
      <c r="AP286" s="228" t="s">
        <v>4309</v>
      </c>
      <c r="AR286" s="228" t="s">
        <v>3039</v>
      </c>
      <c r="AS286" s="242">
        <f t="shared" si="115"/>
        <v>5399.8</v>
      </c>
      <c r="AT286" s="242">
        <f t="shared" si="116"/>
        <v>545.37980000000005</v>
      </c>
      <c r="AU286" s="242"/>
      <c r="AV286" s="242"/>
      <c r="AW286" s="335">
        <f t="shared" si="117"/>
        <v>5945.1797999999999</v>
      </c>
      <c r="AX286" s="237">
        <f>+N286</f>
        <v>20</v>
      </c>
      <c r="AY286" s="237" t="s">
        <v>2739</v>
      </c>
      <c r="AZ286" s="242">
        <f t="shared" si="125"/>
        <v>297.25898999999998</v>
      </c>
      <c r="BA286" s="228" t="s">
        <v>2971</v>
      </c>
      <c r="BB286" s="237" t="s">
        <v>2739</v>
      </c>
      <c r="BC286" s="242">
        <v>1</v>
      </c>
      <c r="BD286" s="199">
        <f t="shared" si="118"/>
        <v>297.25898999999998</v>
      </c>
      <c r="BF286" s="228" t="s">
        <v>3137</v>
      </c>
      <c r="BG286" s="22" t="s">
        <v>4214</v>
      </c>
    </row>
    <row r="287" spans="1:59" s="228" customFormat="1" ht="15" customHeight="1">
      <c r="A287" s="227">
        <v>44033</v>
      </c>
      <c r="B287" s="228" t="s">
        <v>3596</v>
      </c>
      <c r="C287" s="229" t="s">
        <v>2971</v>
      </c>
      <c r="D287" s="230" t="s">
        <v>4310</v>
      </c>
      <c r="E287" s="229" t="s">
        <v>4311</v>
      </c>
      <c r="F287" s="231">
        <v>128</v>
      </c>
      <c r="G287" s="231">
        <f>F287*H287</f>
        <v>10240</v>
      </c>
      <c r="H287" s="231">
        <v>80</v>
      </c>
      <c r="I287" s="229" t="s">
        <v>2739</v>
      </c>
      <c r="J287" s="229" t="s">
        <v>2846</v>
      </c>
      <c r="K287" s="229" t="s">
        <v>2846</v>
      </c>
      <c r="L287" s="232">
        <v>1</v>
      </c>
      <c r="M287" s="232" t="s">
        <v>64</v>
      </c>
      <c r="N287" s="231">
        <f>H287</f>
        <v>80</v>
      </c>
      <c r="O287" s="231" t="s">
        <v>2846</v>
      </c>
      <c r="P287" s="233">
        <v>39.99</v>
      </c>
      <c r="Q287" s="233">
        <f>P287*N287</f>
        <v>3199.2000000000003</v>
      </c>
      <c r="R287" s="227">
        <v>44048</v>
      </c>
      <c r="S287" s="235" t="s">
        <v>4288</v>
      </c>
      <c r="T287" s="229" t="s">
        <v>3036</v>
      </c>
      <c r="U287" s="230" t="s">
        <v>4306</v>
      </c>
      <c r="V287" s="229" t="s">
        <v>4307</v>
      </c>
      <c r="W287" s="232" t="str">
        <f>IF(AG287=0,"Yes","No")</f>
        <v>Yes</v>
      </c>
      <c r="X287" s="456">
        <v>80</v>
      </c>
      <c r="Y287" s="230">
        <v>4230014</v>
      </c>
      <c r="Z287" s="236">
        <v>44054</v>
      </c>
      <c r="AG287" s="238">
        <f>N287-X287-AA287-AD287</f>
        <v>0</v>
      </c>
      <c r="AH287" s="269" t="s">
        <v>2969</v>
      </c>
      <c r="AI287" s="269"/>
      <c r="AJ287" s="237"/>
      <c r="AK287" s="241" t="e">
        <f t="shared" ca="1" si="126"/>
        <v>#NAME?</v>
      </c>
      <c r="AL287" s="235" t="s">
        <v>4312</v>
      </c>
      <c r="AM287" s="229"/>
      <c r="AN287" s="229"/>
      <c r="AO287" s="229"/>
      <c r="AP287" s="228" t="s">
        <v>4313</v>
      </c>
      <c r="AR287" s="228" t="s">
        <v>3039</v>
      </c>
      <c r="AS287" s="242">
        <f t="shared" si="115"/>
        <v>3199.2000000000003</v>
      </c>
      <c r="AT287" s="242">
        <f t="shared" si="116"/>
        <v>323.11920000000003</v>
      </c>
      <c r="AU287" s="242"/>
      <c r="AV287" s="242"/>
      <c r="AW287" s="335">
        <f t="shared" si="117"/>
        <v>3522.3192000000004</v>
      </c>
      <c r="AX287" s="237">
        <f>+N287</f>
        <v>80</v>
      </c>
      <c r="AY287" s="237" t="s">
        <v>2849</v>
      </c>
      <c r="AZ287" s="242">
        <f t="shared" si="125"/>
        <v>44.028990000000007</v>
      </c>
      <c r="BA287" s="228" t="s">
        <v>2822</v>
      </c>
      <c r="BB287" s="228" t="s">
        <v>2739</v>
      </c>
      <c r="BC287" s="242">
        <v>1</v>
      </c>
      <c r="BD287" s="199">
        <f t="shared" si="118"/>
        <v>44.028990000000007</v>
      </c>
      <c r="BF287" s="228" t="s">
        <v>3137</v>
      </c>
      <c r="BG287" s="22" t="s">
        <v>4214</v>
      </c>
    </row>
    <row r="288" spans="1:59" s="96" customFormat="1" ht="15" customHeight="1">
      <c r="A288" s="227">
        <v>44033</v>
      </c>
      <c r="B288" s="228" t="s">
        <v>3596</v>
      </c>
      <c r="C288" s="229" t="s">
        <v>2971</v>
      </c>
      <c r="D288" s="230" t="s">
        <v>4310</v>
      </c>
      <c r="E288" s="229" t="s">
        <v>4311</v>
      </c>
      <c r="F288" s="231">
        <v>128</v>
      </c>
      <c r="G288" s="231">
        <f>F288*H288</f>
        <v>15360</v>
      </c>
      <c r="H288" s="231">
        <v>120</v>
      </c>
      <c r="I288" s="229" t="s">
        <v>2739</v>
      </c>
      <c r="J288" s="229" t="s">
        <v>2846</v>
      </c>
      <c r="K288" s="229" t="s">
        <v>2846</v>
      </c>
      <c r="L288" s="232">
        <v>1</v>
      </c>
      <c r="M288" s="232" t="s">
        <v>64</v>
      </c>
      <c r="N288" s="231">
        <f>H288</f>
        <v>120</v>
      </c>
      <c r="O288" s="231" t="s">
        <v>2846</v>
      </c>
      <c r="P288" s="233">
        <v>39.99</v>
      </c>
      <c r="Q288" s="233">
        <f>N288*P288</f>
        <v>4798.8</v>
      </c>
      <c r="R288" s="227">
        <v>44048</v>
      </c>
      <c r="S288" s="235" t="s">
        <v>4288</v>
      </c>
      <c r="T288" s="229" t="s">
        <v>3036</v>
      </c>
      <c r="U288" s="230" t="s">
        <v>4306</v>
      </c>
      <c r="V288" s="229" t="s">
        <v>4307</v>
      </c>
      <c r="W288" s="232" t="str">
        <f>IF(AG288=0,"Yes","No")</f>
        <v>Yes</v>
      </c>
      <c r="X288" s="456">
        <v>120</v>
      </c>
      <c r="Y288" s="230">
        <v>4229752</v>
      </c>
      <c r="Z288" s="236">
        <v>44054</v>
      </c>
      <c r="AA288" s="228"/>
      <c r="AB288" s="228"/>
      <c r="AC288" s="228"/>
      <c r="AD288" s="228"/>
      <c r="AE288" s="228"/>
      <c r="AF288" s="228"/>
      <c r="AG288" s="238">
        <f>N288-X288-AA288-AD288</f>
        <v>0</v>
      </c>
      <c r="AH288" s="248" t="s">
        <v>2969</v>
      </c>
      <c r="AI288" s="269"/>
      <c r="AJ288" s="237"/>
      <c r="AK288" s="241" t="e">
        <f t="shared" ca="1" si="126"/>
        <v>#NAME?</v>
      </c>
      <c r="AL288" s="235" t="s">
        <v>4314</v>
      </c>
      <c r="AM288" s="229"/>
      <c r="AN288" s="229"/>
      <c r="AO288" s="229"/>
      <c r="AP288" s="228" t="s">
        <v>4315</v>
      </c>
      <c r="AQ288" s="228"/>
      <c r="AR288" s="228" t="s">
        <v>3039</v>
      </c>
      <c r="AS288" s="242">
        <f t="shared" si="115"/>
        <v>4798.8</v>
      </c>
      <c r="AT288" s="242">
        <f t="shared" si="116"/>
        <v>484.67880000000002</v>
      </c>
      <c r="AU288" s="228"/>
      <c r="AV288" s="228"/>
      <c r="AW288" s="335">
        <f t="shared" si="117"/>
        <v>5283.4787999999999</v>
      </c>
      <c r="AX288" s="237">
        <f>+N288</f>
        <v>120</v>
      </c>
      <c r="AY288" s="237" t="s">
        <v>2849</v>
      </c>
      <c r="AZ288" s="242">
        <f t="shared" si="125"/>
        <v>44.02899</v>
      </c>
      <c r="BA288" s="228" t="s">
        <v>2822</v>
      </c>
      <c r="BB288" s="237" t="s">
        <v>2739</v>
      </c>
      <c r="BC288" s="242">
        <v>1</v>
      </c>
      <c r="BD288" s="199">
        <f t="shared" si="118"/>
        <v>44.02899</v>
      </c>
      <c r="BE288" s="228"/>
      <c r="BF288" s="228" t="s">
        <v>3137</v>
      </c>
      <c r="BG288" s="22" t="s">
        <v>4214</v>
      </c>
    </row>
    <row r="289" spans="1:59" s="96" customFormat="1" ht="15" customHeight="1">
      <c r="A289" s="21">
        <v>44033</v>
      </c>
      <c r="B289" s="96" t="s">
        <v>3310</v>
      </c>
      <c r="C289" s="22" t="s">
        <v>3804</v>
      </c>
      <c r="D289" s="97" t="s">
        <v>4316</v>
      </c>
      <c r="E289" s="22" t="s">
        <v>4317</v>
      </c>
      <c r="F289" s="69" t="s">
        <v>2846</v>
      </c>
      <c r="G289" s="69" t="s">
        <v>2846</v>
      </c>
      <c r="H289" s="70">
        <v>100</v>
      </c>
      <c r="I289" s="71" t="s">
        <v>2739</v>
      </c>
      <c r="J289" s="71">
        <v>2000</v>
      </c>
      <c r="K289" s="71" t="s">
        <v>2953</v>
      </c>
      <c r="L289" s="72">
        <v>1</v>
      </c>
      <c r="M289" s="72" t="s">
        <v>64</v>
      </c>
      <c r="N289" s="73">
        <f t="shared" ref="N289:N298" si="127">H289*J289</f>
        <v>200000</v>
      </c>
      <c r="O289" s="73">
        <v>2000</v>
      </c>
      <c r="P289" s="74">
        <v>1.65</v>
      </c>
      <c r="Q289" s="332">
        <f>N289*P289</f>
        <v>330000</v>
      </c>
      <c r="R289" s="21">
        <v>44057</v>
      </c>
      <c r="S289" s="99" t="s">
        <v>4288</v>
      </c>
      <c r="T289" s="22" t="s">
        <v>3036</v>
      </c>
      <c r="U289" s="97" t="s">
        <v>4318</v>
      </c>
      <c r="V289" s="22" t="s">
        <v>4278</v>
      </c>
      <c r="W289" s="407" t="s">
        <v>2705</v>
      </c>
      <c r="X289" s="457">
        <v>1500</v>
      </c>
      <c r="Y289" s="97">
        <v>124361</v>
      </c>
      <c r="Z289" s="100">
        <v>44060</v>
      </c>
      <c r="AG289" s="102">
        <f>N289-X289-AA289-AD289</f>
        <v>198500</v>
      </c>
      <c r="AH289" s="174" t="s">
        <v>2669</v>
      </c>
      <c r="AI289" s="22" t="s">
        <v>2739</v>
      </c>
      <c r="AJ289" s="101">
        <f>+AG289</f>
        <v>198500</v>
      </c>
      <c r="AK289" s="288" t="e">
        <f t="shared" ca="1" si="126"/>
        <v>#NAME?</v>
      </c>
      <c r="AL289" s="99" t="s">
        <v>4319</v>
      </c>
      <c r="AM289" s="22"/>
      <c r="AN289" s="22"/>
      <c r="AO289" s="22"/>
      <c r="AP289" s="96" t="s">
        <v>4320</v>
      </c>
      <c r="AR289" s="96" t="s">
        <v>3063</v>
      </c>
      <c r="AS289" s="338">
        <f t="shared" si="115"/>
        <v>330000</v>
      </c>
      <c r="AT289" s="339">
        <f t="shared" si="116"/>
        <v>33330</v>
      </c>
      <c r="AW289" s="339">
        <f t="shared" si="117"/>
        <v>363330</v>
      </c>
      <c r="AX289" s="237">
        <f>+N289</f>
        <v>200000</v>
      </c>
      <c r="AY289" s="101" t="s">
        <v>2739</v>
      </c>
      <c r="AZ289" s="242">
        <f t="shared" si="125"/>
        <v>1.8166500000000001</v>
      </c>
      <c r="BA289" s="96" t="s">
        <v>2820</v>
      </c>
      <c r="BB289" s="101" t="s">
        <v>2739</v>
      </c>
      <c r="BC289" s="199">
        <v>1</v>
      </c>
      <c r="BD289" s="199">
        <f t="shared" si="118"/>
        <v>1.8166500000000001</v>
      </c>
      <c r="BF289" s="96" t="s">
        <v>36</v>
      </c>
      <c r="BG289" s="22" t="s">
        <v>4214</v>
      </c>
    </row>
    <row r="290" spans="1:59" s="96" customFormat="1" ht="15" customHeight="1">
      <c r="A290" s="21">
        <v>44033</v>
      </c>
      <c r="B290" s="96" t="s">
        <v>3714</v>
      </c>
      <c r="C290" s="22" t="s">
        <v>78</v>
      </c>
      <c r="D290" s="97" t="s">
        <v>4299</v>
      </c>
      <c r="E290" s="22" t="s">
        <v>4300</v>
      </c>
      <c r="F290" s="69" t="s">
        <v>2846</v>
      </c>
      <c r="G290" s="69" t="s">
        <v>2846</v>
      </c>
      <c r="H290" s="70">
        <v>80</v>
      </c>
      <c r="I290" s="71" t="s">
        <v>3313</v>
      </c>
      <c r="J290" s="71">
        <v>52008</v>
      </c>
      <c r="K290" s="71" t="s">
        <v>2724</v>
      </c>
      <c r="L290" s="72">
        <v>1</v>
      </c>
      <c r="M290" s="72" t="s">
        <v>64</v>
      </c>
      <c r="N290" s="73">
        <f t="shared" si="127"/>
        <v>4160640</v>
      </c>
      <c r="O290" s="73">
        <v>52008</v>
      </c>
      <c r="P290" s="74">
        <v>3.25</v>
      </c>
      <c r="Q290" s="74">
        <f t="shared" ref="Q290:Q298" si="128">O290*P290</f>
        <v>169026</v>
      </c>
      <c r="R290" s="21">
        <v>44078</v>
      </c>
      <c r="S290" s="99" t="s">
        <v>4288</v>
      </c>
      <c r="T290" s="22" t="s">
        <v>3036</v>
      </c>
      <c r="U290" s="97" t="s">
        <v>4301</v>
      </c>
      <c r="V290" s="5" t="s">
        <v>4302</v>
      </c>
      <c r="W290" s="407" t="s">
        <v>2705</v>
      </c>
      <c r="X290" s="456">
        <v>0</v>
      </c>
      <c r="Y290" s="97"/>
      <c r="AG290" s="102">
        <f t="shared" ref="AG290:AG298" si="129">O290-X290-AA290-AD290</f>
        <v>52008</v>
      </c>
      <c r="AH290" s="174" t="s">
        <v>78</v>
      </c>
      <c r="AI290" s="22" t="s">
        <v>2724</v>
      </c>
      <c r="AJ290" s="101">
        <f>+AG290</f>
        <v>52008</v>
      </c>
      <c r="AK290" s="288" t="e">
        <f t="shared" ca="1" si="126"/>
        <v>#NAME?</v>
      </c>
      <c r="AL290" s="99"/>
      <c r="AM290" s="22"/>
      <c r="AN290" s="22"/>
      <c r="AO290" s="22"/>
      <c r="AP290" s="96" t="s">
        <v>4303</v>
      </c>
      <c r="AR290" s="96" t="s">
        <v>3063</v>
      </c>
      <c r="AS290" s="338">
        <f t="shared" si="115"/>
        <v>169026</v>
      </c>
      <c r="AT290" s="339">
        <f t="shared" si="116"/>
        <v>17071.626</v>
      </c>
      <c r="AW290" s="339">
        <f t="shared" si="117"/>
        <v>186097.62599999999</v>
      </c>
      <c r="AX290" s="237">
        <f>+O290</f>
        <v>52008</v>
      </c>
      <c r="AY290" s="101" t="s">
        <v>2724</v>
      </c>
      <c r="AZ290" s="242">
        <f t="shared" si="125"/>
        <v>3.5782499999999997</v>
      </c>
      <c r="BA290" s="96" t="s">
        <v>2721</v>
      </c>
      <c r="BB290" s="101" t="s">
        <v>2739</v>
      </c>
      <c r="BC290" s="199">
        <v>1</v>
      </c>
      <c r="BD290" s="199">
        <f t="shared" si="118"/>
        <v>3.5782499999999997</v>
      </c>
      <c r="BF290" s="96" t="s">
        <v>3137</v>
      </c>
      <c r="BG290" s="22" t="s">
        <v>4214</v>
      </c>
    </row>
    <row r="291" spans="1:59" s="96" customFormat="1" ht="15" customHeight="1">
      <c r="A291" s="21">
        <v>44035</v>
      </c>
      <c r="B291" s="96" t="s">
        <v>3310</v>
      </c>
      <c r="C291" s="22" t="s">
        <v>3041</v>
      </c>
      <c r="D291" s="97" t="s">
        <v>4325</v>
      </c>
      <c r="E291" s="22" t="s">
        <v>4326</v>
      </c>
      <c r="F291" s="69" t="s">
        <v>2846</v>
      </c>
      <c r="G291" s="69" t="s">
        <v>2846</v>
      </c>
      <c r="H291" s="70">
        <v>100</v>
      </c>
      <c r="I291" s="71" t="s">
        <v>2739</v>
      </c>
      <c r="J291" s="71">
        <v>17500</v>
      </c>
      <c r="K291" s="71" t="s">
        <v>4327</v>
      </c>
      <c r="L291" s="72">
        <v>1</v>
      </c>
      <c r="M291" s="72" t="s">
        <v>64</v>
      </c>
      <c r="N291" s="73">
        <f t="shared" si="127"/>
        <v>1750000</v>
      </c>
      <c r="O291" s="73">
        <v>17500</v>
      </c>
      <c r="P291" s="74">
        <v>9</v>
      </c>
      <c r="Q291" s="74">
        <f t="shared" si="128"/>
        <v>157500</v>
      </c>
      <c r="R291" s="21">
        <v>44036</v>
      </c>
      <c r="S291" s="99" t="s">
        <v>4288</v>
      </c>
      <c r="T291" s="22" t="s">
        <v>3036</v>
      </c>
      <c r="U291" s="97" t="s">
        <v>4323</v>
      </c>
      <c r="V291" s="22" t="s">
        <v>4218</v>
      </c>
      <c r="W291" s="407" t="s">
        <v>2705</v>
      </c>
      <c r="X291" s="456">
        <v>0</v>
      </c>
      <c r="Y291" s="97"/>
      <c r="AG291" s="102">
        <f t="shared" si="129"/>
        <v>17500</v>
      </c>
      <c r="AH291" s="239" t="s">
        <v>70</v>
      </c>
      <c r="AI291" s="22" t="s">
        <v>2762</v>
      </c>
      <c r="AJ291" s="101">
        <f>+AG291*50</f>
        <v>875000</v>
      </c>
      <c r="AK291" s="288" t="e">
        <f t="shared" ca="1" si="126"/>
        <v>#NAME?</v>
      </c>
      <c r="AL291" s="99"/>
      <c r="AM291" s="22"/>
      <c r="AN291" s="22"/>
      <c r="AO291" s="22"/>
      <c r="AP291" s="96" t="s">
        <v>4328</v>
      </c>
      <c r="AR291" s="96" t="s">
        <v>3063</v>
      </c>
      <c r="AS291" s="338">
        <f t="shared" si="115"/>
        <v>157500</v>
      </c>
      <c r="AT291" s="339">
        <f t="shared" si="116"/>
        <v>15907.500000000002</v>
      </c>
      <c r="AW291" s="339">
        <f t="shared" si="117"/>
        <v>173407.5</v>
      </c>
      <c r="AX291" s="237">
        <f>+O291</f>
        <v>17500</v>
      </c>
      <c r="AY291" s="101" t="s">
        <v>2733</v>
      </c>
      <c r="AZ291" s="242">
        <f t="shared" si="125"/>
        <v>9.9090000000000007</v>
      </c>
      <c r="BA291" s="96" t="s">
        <v>2771</v>
      </c>
      <c r="BB291" s="101" t="s">
        <v>2733</v>
      </c>
      <c r="BC291" s="199">
        <v>1</v>
      </c>
      <c r="BD291" s="199">
        <f t="shared" si="118"/>
        <v>9.9090000000000007</v>
      </c>
      <c r="BF291" s="96" t="s">
        <v>36</v>
      </c>
      <c r="BG291" s="22" t="s">
        <v>4214</v>
      </c>
    </row>
    <row r="292" spans="1:59" s="96" customFormat="1" ht="15" customHeight="1">
      <c r="A292" s="21">
        <v>44035</v>
      </c>
      <c r="B292" s="96" t="s">
        <v>3310</v>
      </c>
      <c r="C292" s="22" t="s">
        <v>3031</v>
      </c>
      <c r="D292" s="97" t="s">
        <v>4321</v>
      </c>
      <c r="E292" s="22" t="s">
        <v>4322</v>
      </c>
      <c r="F292" s="69" t="s">
        <v>2846</v>
      </c>
      <c r="G292" s="69" t="s">
        <v>2846</v>
      </c>
      <c r="H292" s="70">
        <v>100</v>
      </c>
      <c r="I292" s="71" t="s">
        <v>2739</v>
      </c>
      <c r="J292" s="71">
        <v>17500</v>
      </c>
      <c r="K292" s="71" t="s">
        <v>2733</v>
      </c>
      <c r="L292" s="72">
        <v>1</v>
      </c>
      <c r="M292" s="72" t="s">
        <v>64</v>
      </c>
      <c r="N292" s="73">
        <f t="shared" si="127"/>
        <v>1750000</v>
      </c>
      <c r="O292" s="73">
        <v>17500</v>
      </c>
      <c r="P292" s="74">
        <v>9</v>
      </c>
      <c r="Q292" s="74">
        <f t="shared" si="128"/>
        <v>157500</v>
      </c>
      <c r="R292" s="21">
        <v>44036</v>
      </c>
      <c r="S292" s="99" t="s">
        <v>4288</v>
      </c>
      <c r="T292" s="22" t="s">
        <v>3036</v>
      </c>
      <c r="U292" s="97" t="s">
        <v>4323</v>
      </c>
      <c r="V292" s="22" t="s">
        <v>4218</v>
      </c>
      <c r="W292" s="407" t="s">
        <v>2705</v>
      </c>
      <c r="X292" s="456">
        <v>0</v>
      </c>
      <c r="Y292" s="97"/>
      <c r="AG292" s="102">
        <f t="shared" si="129"/>
        <v>17500</v>
      </c>
      <c r="AH292" s="239" t="s">
        <v>70</v>
      </c>
      <c r="AI292" s="22" t="s">
        <v>2762</v>
      </c>
      <c r="AJ292" s="101">
        <f>+AG292*50</f>
        <v>875000</v>
      </c>
      <c r="AK292" s="288" t="e">
        <f t="shared" ca="1" si="126"/>
        <v>#NAME?</v>
      </c>
      <c r="AL292" s="99"/>
      <c r="AM292" s="22"/>
      <c r="AN292" s="22"/>
      <c r="AO292" s="22"/>
      <c r="AP292" s="96" t="s">
        <v>4324</v>
      </c>
      <c r="AR292" s="96" t="s">
        <v>3063</v>
      </c>
      <c r="AS292" s="338">
        <f t="shared" si="115"/>
        <v>157500</v>
      </c>
      <c r="AT292" s="339">
        <f t="shared" si="116"/>
        <v>15907.500000000002</v>
      </c>
      <c r="AW292" s="339">
        <f t="shared" si="117"/>
        <v>173407.5</v>
      </c>
      <c r="AX292" s="237">
        <f>+O292</f>
        <v>17500</v>
      </c>
      <c r="AY292" s="101" t="s">
        <v>2733</v>
      </c>
      <c r="AZ292" s="242">
        <f t="shared" si="125"/>
        <v>9.9090000000000007</v>
      </c>
      <c r="BA292" s="96" t="s">
        <v>2767</v>
      </c>
      <c r="BB292" s="101" t="s">
        <v>2733</v>
      </c>
      <c r="BC292" s="199">
        <v>1</v>
      </c>
      <c r="BD292" s="199">
        <f t="shared" si="118"/>
        <v>9.9090000000000007</v>
      </c>
      <c r="BF292" s="96" t="s">
        <v>36</v>
      </c>
      <c r="BG292" s="22" t="s">
        <v>4214</v>
      </c>
    </row>
    <row r="293" spans="1:59" s="96" customFormat="1" ht="15" customHeight="1">
      <c r="A293" s="21">
        <v>44035</v>
      </c>
      <c r="B293" s="96" t="s">
        <v>3310</v>
      </c>
      <c r="C293" s="22" t="s">
        <v>3045</v>
      </c>
      <c r="D293" s="97" t="s">
        <v>4329</v>
      </c>
      <c r="E293" s="22" t="s">
        <v>4330</v>
      </c>
      <c r="F293" s="69" t="s">
        <v>2846</v>
      </c>
      <c r="G293" s="69" t="s">
        <v>2846</v>
      </c>
      <c r="H293" s="70">
        <v>100</v>
      </c>
      <c r="I293" s="71" t="s">
        <v>2739</v>
      </c>
      <c r="J293" s="71">
        <v>17500</v>
      </c>
      <c r="K293" s="71" t="s">
        <v>4327</v>
      </c>
      <c r="L293" s="72">
        <v>1</v>
      </c>
      <c r="M293" s="72" t="s">
        <v>64</v>
      </c>
      <c r="N293" s="73">
        <f t="shared" si="127"/>
        <v>1750000</v>
      </c>
      <c r="O293" s="73">
        <v>17500</v>
      </c>
      <c r="P293" s="74">
        <v>9</v>
      </c>
      <c r="Q293" s="74">
        <f t="shared" si="128"/>
        <v>157500</v>
      </c>
      <c r="R293" s="21">
        <v>44036</v>
      </c>
      <c r="S293" s="99" t="s">
        <v>4288</v>
      </c>
      <c r="T293" s="22" t="s">
        <v>3036</v>
      </c>
      <c r="U293" s="97" t="s">
        <v>4323</v>
      </c>
      <c r="V293" s="22" t="s">
        <v>4218</v>
      </c>
      <c r="W293" s="407" t="s">
        <v>2705</v>
      </c>
      <c r="X293" s="456">
        <v>0</v>
      </c>
      <c r="Y293" s="97"/>
      <c r="AG293" s="102">
        <f t="shared" si="129"/>
        <v>17500</v>
      </c>
      <c r="AH293" s="239" t="s">
        <v>70</v>
      </c>
      <c r="AI293" s="22" t="s">
        <v>2762</v>
      </c>
      <c r="AJ293" s="101">
        <f>+AG293*50</f>
        <v>875000</v>
      </c>
      <c r="AK293" s="288" t="e">
        <f t="shared" ca="1" si="126"/>
        <v>#NAME?</v>
      </c>
      <c r="AL293" s="99"/>
      <c r="AM293" s="22"/>
      <c r="AN293" s="22"/>
      <c r="AO293" s="22"/>
      <c r="AP293" s="96" t="s">
        <v>4331</v>
      </c>
      <c r="AR293" s="96" t="s">
        <v>3063</v>
      </c>
      <c r="AS293" s="338">
        <f t="shared" si="115"/>
        <v>157500</v>
      </c>
      <c r="AT293" s="339">
        <f t="shared" si="116"/>
        <v>15907.500000000002</v>
      </c>
      <c r="AW293" s="339">
        <f t="shared" si="117"/>
        <v>173407.5</v>
      </c>
      <c r="AX293" s="237">
        <f>+O293</f>
        <v>17500</v>
      </c>
      <c r="AY293" s="101" t="s">
        <v>2733</v>
      </c>
      <c r="AZ293" s="242">
        <f t="shared" si="125"/>
        <v>9.9090000000000007</v>
      </c>
      <c r="BA293" s="96" t="s">
        <v>2775</v>
      </c>
      <c r="BB293" s="101" t="s">
        <v>2733</v>
      </c>
      <c r="BC293" s="199">
        <v>1</v>
      </c>
      <c r="BD293" s="199">
        <f t="shared" si="118"/>
        <v>9.9090000000000007</v>
      </c>
      <c r="BF293" s="96" t="s">
        <v>36</v>
      </c>
      <c r="BG293" s="22" t="s">
        <v>4214</v>
      </c>
    </row>
    <row r="294" spans="1:59" s="228" customFormat="1" ht="15" customHeight="1">
      <c r="A294" s="21">
        <v>44035</v>
      </c>
      <c r="B294" s="96" t="s">
        <v>3310</v>
      </c>
      <c r="C294" s="97" t="s">
        <v>4332</v>
      </c>
      <c r="D294" s="97" t="s">
        <v>4333</v>
      </c>
      <c r="E294" s="22" t="s">
        <v>4334</v>
      </c>
      <c r="F294" s="69" t="s">
        <v>2846</v>
      </c>
      <c r="G294" s="69" t="s">
        <v>2846</v>
      </c>
      <c r="H294" s="70">
        <v>100</v>
      </c>
      <c r="I294" s="71" t="s">
        <v>2739</v>
      </c>
      <c r="J294" s="71">
        <v>17500</v>
      </c>
      <c r="K294" s="71" t="s">
        <v>4327</v>
      </c>
      <c r="L294" s="72">
        <v>1</v>
      </c>
      <c r="M294" s="72" t="s">
        <v>64</v>
      </c>
      <c r="N294" s="73">
        <f t="shared" si="127"/>
        <v>1750000</v>
      </c>
      <c r="O294" s="73">
        <v>17500</v>
      </c>
      <c r="P294" s="74">
        <v>9</v>
      </c>
      <c r="Q294" s="74">
        <f t="shared" si="128"/>
        <v>157500</v>
      </c>
      <c r="R294" s="21">
        <v>44036</v>
      </c>
      <c r="S294" s="99" t="s">
        <v>4288</v>
      </c>
      <c r="T294" s="22" t="s">
        <v>3036</v>
      </c>
      <c r="U294" s="97" t="s">
        <v>4323</v>
      </c>
      <c r="V294" s="22" t="s">
        <v>4218</v>
      </c>
      <c r="W294" s="381" t="s">
        <v>2705</v>
      </c>
      <c r="X294" s="456">
        <v>0</v>
      </c>
      <c r="Y294" s="97"/>
      <c r="Z294" s="96"/>
      <c r="AA294" s="96"/>
      <c r="AB294" s="96"/>
      <c r="AC294" s="96"/>
      <c r="AD294" s="96"/>
      <c r="AE294" s="96"/>
      <c r="AF294" s="96"/>
      <c r="AG294" s="102">
        <f t="shared" si="129"/>
        <v>17500</v>
      </c>
      <c r="AH294" s="239" t="s">
        <v>70</v>
      </c>
      <c r="AI294" s="22" t="s">
        <v>2762</v>
      </c>
      <c r="AJ294" s="101">
        <f>+AG294*50</f>
        <v>875000</v>
      </c>
      <c r="AK294" s="288" t="e">
        <f t="shared" ca="1" si="126"/>
        <v>#NAME?</v>
      </c>
      <c r="AL294" s="99"/>
      <c r="AM294" s="22"/>
      <c r="AN294" s="22"/>
      <c r="AO294" s="22"/>
      <c r="AP294" s="96" t="s">
        <v>4335</v>
      </c>
      <c r="AQ294" s="96"/>
      <c r="AR294" s="96" t="s">
        <v>3063</v>
      </c>
      <c r="AS294" s="338">
        <f t="shared" si="115"/>
        <v>157500</v>
      </c>
      <c r="AT294" s="339">
        <f t="shared" si="116"/>
        <v>15907.500000000002</v>
      </c>
      <c r="AU294" s="96"/>
      <c r="AV294" s="96"/>
      <c r="AW294" s="339">
        <f t="shared" si="117"/>
        <v>173407.5</v>
      </c>
      <c r="AX294" s="237">
        <f>+O294</f>
        <v>17500</v>
      </c>
      <c r="AY294" s="101" t="s">
        <v>2733</v>
      </c>
      <c r="AZ294" s="242">
        <f t="shared" si="125"/>
        <v>9.9090000000000007</v>
      </c>
      <c r="BA294" s="96" t="s">
        <v>2777</v>
      </c>
      <c r="BB294" s="101" t="s">
        <v>2733</v>
      </c>
      <c r="BC294" s="199">
        <v>1</v>
      </c>
      <c r="BD294" s="199">
        <f t="shared" si="118"/>
        <v>9.9090000000000007</v>
      </c>
      <c r="BE294" s="96"/>
      <c r="BF294" s="96" t="s">
        <v>36</v>
      </c>
      <c r="BG294" s="22" t="s">
        <v>4214</v>
      </c>
    </row>
    <row r="295" spans="1:59" s="343" customFormat="1" ht="15" customHeight="1">
      <c r="A295" s="342">
        <v>44039</v>
      </c>
      <c r="B295" s="343" t="s">
        <v>4343</v>
      </c>
      <c r="C295" s="344" t="s">
        <v>3384</v>
      </c>
      <c r="D295" s="345" t="s">
        <v>4344</v>
      </c>
      <c r="E295" s="344" t="s">
        <v>4345</v>
      </c>
      <c r="F295" s="346" t="s">
        <v>2846</v>
      </c>
      <c r="G295" s="346" t="s">
        <v>2846</v>
      </c>
      <c r="H295" s="346">
        <v>10</v>
      </c>
      <c r="I295" s="344" t="s">
        <v>2739</v>
      </c>
      <c r="J295" s="344">
        <v>3</v>
      </c>
      <c r="K295" s="344" t="s">
        <v>2733</v>
      </c>
      <c r="L295" s="347">
        <v>1</v>
      </c>
      <c r="M295" s="347" t="s">
        <v>64</v>
      </c>
      <c r="N295" s="346">
        <f t="shared" si="127"/>
        <v>30</v>
      </c>
      <c r="O295" s="346">
        <v>3</v>
      </c>
      <c r="P295" s="348">
        <v>40.33</v>
      </c>
      <c r="Q295" s="348">
        <f t="shared" si="128"/>
        <v>120.99</v>
      </c>
      <c r="R295" s="342">
        <v>44043</v>
      </c>
      <c r="S295" s="349" t="s">
        <v>4288</v>
      </c>
      <c r="T295" s="344" t="s">
        <v>3036</v>
      </c>
      <c r="U295" s="345" t="s">
        <v>4346</v>
      </c>
      <c r="V295" s="344" t="s">
        <v>4134</v>
      </c>
      <c r="W295" s="391" t="s">
        <v>2705</v>
      </c>
      <c r="X295" s="456">
        <v>0</v>
      </c>
      <c r="Y295" s="345"/>
      <c r="AG295" s="350">
        <f t="shared" si="129"/>
        <v>3</v>
      </c>
      <c r="AH295" s="351"/>
      <c r="AI295" s="344" t="s">
        <v>2739</v>
      </c>
      <c r="AJ295" s="352">
        <f>+AG295*H295</f>
        <v>30</v>
      </c>
      <c r="AK295" s="353" t="e">
        <f t="shared" ca="1" si="126"/>
        <v>#NAME?</v>
      </c>
      <c r="AL295" s="349"/>
      <c r="AM295" s="344"/>
      <c r="AN295" s="344"/>
      <c r="AO295" s="344"/>
      <c r="AP295" s="343" t="s">
        <v>4347</v>
      </c>
      <c r="AR295" s="343" t="s">
        <v>3039</v>
      </c>
      <c r="AY295" s="352"/>
      <c r="BB295" s="352"/>
      <c r="BC295" s="354"/>
      <c r="BD295" s="199">
        <f t="shared" si="118"/>
        <v>0</v>
      </c>
      <c r="BF295" s="196" t="s">
        <v>3108</v>
      </c>
      <c r="BG295" s="344"/>
    </row>
    <row r="296" spans="1:59" s="96" customFormat="1" ht="15" customHeight="1">
      <c r="A296" s="21">
        <v>44043</v>
      </c>
      <c r="B296" s="96" t="s">
        <v>3552</v>
      </c>
      <c r="C296" s="22" t="s">
        <v>2971</v>
      </c>
      <c r="D296" s="97" t="s">
        <v>4348</v>
      </c>
      <c r="E296" s="22" t="s">
        <v>4349</v>
      </c>
      <c r="F296" s="69" t="s">
        <v>2846</v>
      </c>
      <c r="G296" s="69" t="s">
        <v>2846</v>
      </c>
      <c r="H296" s="70">
        <v>500</v>
      </c>
      <c r="I296" s="71" t="s">
        <v>2733</v>
      </c>
      <c r="J296" s="71">
        <v>30</v>
      </c>
      <c r="K296" s="71" t="s">
        <v>4350</v>
      </c>
      <c r="L296" s="72">
        <v>1</v>
      </c>
      <c r="M296" s="72" t="s">
        <v>64</v>
      </c>
      <c r="N296" s="73">
        <f t="shared" si="127"/>
        <v>15000</v>
      </c>
      <c r="O296" s="73">
        <f>J296</f>
        <v>30</v>
      </c>
      <c r="P296" s="74">
        <v>21.65</v>
      </c>
      <c r="Q296" s="74">
        <f t="shared" si="128"/>
        <v>649.5</v>
      </c>
      <c r="R296" s="21">
        <v>44043</v>
      </c>
      <c r="S296" s="99" t="s">
        <v>4351</v>
      </c>
      <c r="T296" s="22" t="s">
        <v>3036</v>
      </c>
      <c r="U296" s="97">
        <v>3835</v>
      </c>
      <c r="V296" s="22">
        <v>3</v>
      </c>
      <c r="W296" s="72" t="s">
        <v>2705</v>
      </c>
      <c r="X296" s="457">
        <v>24</v>
      </c>
      <c r="Y296" s="97"/>
      <c r="AG296" s="102">
        <f t="shared" si="129"/>
        <v>6</v>
      </c>
      <c r="AH296" s="174" t="s">
        <v>2971</v>
      </c>
      <c r="AI296" s="22"/>
      <c r="AJ296" s="237">
        <v>0</v>
      </c>
      <c r="AK296" s="101"/>
      <c r="AL296" s="99"/>
      <c r="AM296" s="22"/>
      <c r="AN296" s="22"/>
      <c r="AO296" s="22"/>
      <c r="AP296" s="96" t="s">
        <v>4352</v>
      </c>
      <c r="AR296" s="96" t="s">
        <v>3039</v>
      </c>
      <c r="AS296" s="338">
        <f t="shared" ref="AS296:AS302" si="130">Q296</f>
        <v>649.5</v>
      </c>
      <c r="AT296" s="339">
        <f t="shared" ref="AT296:AT302" si="131">AS296*0.101</f>
        <v>65.599500000000006</v>
      </c>
      <c r="AW296" s="339">
        <f t="shared" ref="AW296:AW302" si="132">AS296+AT296</f>
        <v>715.09950000000003</v>
      </c>
      <c r="AX296" s="237">
        <f>+O296</f>
        <v>30</v>
      </c>
      <c r="AY296" s="101" t="s">
        <v>2733</v>
      </c>
      <c r="AZ296" s="242">
        <f t="shared" ref="AZ296:AZ302" si="133">+AW296/AX296</f>
        <v>23.836650000000002</v>
      </c>
      <c r="BA296" s="96" t="s">
        <v>2793</v>
      </c>
      <c r="BB296" s="101" t="s">
        <v>2733</v>
      </c>
      <c r="BC296" s="199">
        <v>1</v>
      </c>
      <c r="BD296" s="199">
        <f t="shared" si="118"/>
        <v>23.836650000000002</v>
      </c>
      <c r="BG296" s="22" t="s">
        <v>4214</v>
      </c>
    </row>
    <row r="297" spans="1:59" s="96" customFormat="1" ht="15" customHeight="1">
      <c r="A297" s="21">
        <v>44043</v>
      </c>
      <c r="B297" s="96" t="s">
        <v>3552</v>
      </c>
      <c r="C297" s="22" t="s">
        <v>2971</v>
      </c>
      <c r="D297" s="97" t="s">
        <v>4353</v>
      </c>
      <c r="E297" s="22" t="s">
        <v>4354</v>
      </c>
      <c r="F297" s="69" t="s">
        <v>2846</v>
      </c>
      <c r="G297" s="69" t="s">
        <v>2846</v>
      </c>
      <c r="H297" s="70">
        <v>500</v>
      </c>
      <c r="I297" s="71" t="s">
        <v>2733</v>
      </c>
      <c r="J297" s="71">
        <v>30</v>
      </c>
      <c r="K297" s="71" t="s">
        <v>4350</v>
      </c>
      <c r="L297" s="72">
        <v>1</v>
      </c>
      <c r="M297" s="72" t="s">
        <v>64</v>
      </c>
      <c r="N297" s="73">
        <f t="shared" si="127"/>
        <v>15000</v>
      </c>
      <c r="O297" s="73">
        <f>J297</f>
        <v>30</v>
      </c>
      <c r="P297" s="74">
        <v>27.53</v>
      </c>
      <c r="Q297" s="74">
        <f t="shared" si="128"/>
        <v>825.90000000000009</v>
      </c>
      <c r="R297" s="21">
        <v>44043</v>
      </c>
      <c r="S297" s="99" t="s">
        <v>4351</v>
      </c>
      <c r="T297" s="22" t="s">
        <v>3036</v>
      </c>
      <c r="U297" s="97">
        <v>3835</v>
      </c>
      <c r="V297" s="22" t="s">
        <v>4355</v>
      </c>
      <c r="W297" s="72" t="s">
        <v>3084</v>
      </c>
      <c r="X297" s="457">
        <v>30</v>
      </c>
      <c r="Y297" s="97"/>
      <c r="AG297" s="102">
        <f t="shared" si="129"/>
        <v>0</v>
      </c>
      <c r="AH297" s="174" t="s">
        <v>2971</v>
      </c>
      <c r="AI297" s="22"/>
      <c r="AJ297" s="237">
        <v>0</v>
      </c>
      <c r="AK297" s="101"/>
      <c r="AL297" s="99"/>
      <c r="AM297" s="22"/>
      <c r="AN297" s="22"/>
      <c r="AO297" s="22"/>
      <c r="AP297" s="96" t="s">
        <v>4356</v>
      </c>
      <c r="AR297" s="96" t="s">
        <v>3039</v>
      </c>
      <c r="AS297" s="338">
        <f t="shared" si="130"/>
        <v>825.90000000000009</v>
      </c>
      <c r="AT297" s="339">
        <f t="shared" si="131"/>
        <v>83.415900000000008</v>
      </c>
      <c r="AW297" s="339">
        <f t="shared" si="132"/>
        <v>909.31590000000006</v>
      </c>
      <c r="AX297" s="237">
        <f>+O297</f>
        <v>30</v>
      </c>
      <c r="AY297" s="101" t="s">
        <v>2733</v>
      </c>
      <c r="AZ297" s="242">
        <f t="shared" si="133"/>
        <v>30.310530000000004</v>
      </c>
      <c r="BA297" s="96" t="s">
        <v>2796</v>
      </c>
      <c r="BB297" s="101" t="s">
        <v>2733</v>
      </c>
      <c r="BC297" s="199">
        <v>1</v>
      </c>
      <c r="BD297" s="199">
        <f t="shared" si="118"/>
        <v>30.310530000000004</v>
      </c>
      <c r="BG297" s="22" t="s">
        <v>4214</v>
      </c>
    </row>
    <row r="298" spans="1:59" s="96" customFormat="1" ht="15" customHeight="1">
      <c r="A298" s="21">
        <v>44043</v>
      </c>
      <c r="B298" s="96" t="s">
        <v>3552</v>
      </c>
      <c r="C298" s="22" t="s">
        <v>2971</v>
      </c>
      <c r="D298" s="97" t="s">
        <v>4357</v>
      </c>
      <c r="E298" s="22" t="s">
        <v>4358</v>
      </c>
      <c r="F298" s="69" t="s">
        <v>2846</v>
      </c>
      <c r="G298" s="69" t="s">
        <v>2846</v>
      </c>
      <c r="H298" s="70">
        <v>250</v>
      </c>
      <c r="I298" s="71" t="s">
        <v>2733</v>
      </c>
      <c r="J298" s="71">
        <v>30</v>
      </c>
      <c r="K298" s="71" t="s">
        <v>4350</v>
      </c>
      <c r="L298" s="72">
        <v>1</v>
      </c>
      <c r="M298" s="72" t="s">
        <v>64</v>
      </c>
      <c r="N298" s="73">
        <f t="shared" si="127"/>
        <v>7500</v>
      </c>
      <c r="O298" s="73">
        <f>J298</f>
        <v>30</v>
      </c>
      <c r="P298" s="74">
        <v>23.33</v>
      </c>
      <c r="Q298" s="74">
        <f t="shared" si="128"/>
        <v>699.9</v>
      </c>
      <c r="R298" s="21">
        <v>44043</v>
      </c>
      <c r="S298" s="99" t="s">
        <v>4351</v>
      </c>
      <c r="T298" s="22" t="s">
        <v>3036</v>
      </c>
      <c r="U298" s="97">
        <v>3835</v>
      </c>
      <c r="V298" s="22" t="s">
        <v>4355</v>
      </c>
      <c r="W298" s="72" t="s">
        <v>3084</v>
      </c>
      <c r="X298" s="457">
        <v>30</v>
      </c>
      <c r="Y298" s="97"/>
      <c r="AG298" s="102">
        <f t="shared" si="129"/>
        <v>0</v>
      </c>
      <c r="AH298" s="174" t="s">
        <v>2971</v>
      </c>
      <c r="AI298" s="22"/>
      <c r="AJ298" s="237">
        <v>0</v>
      </c>
      <c r="AK298" s="101"/>
      <c r="AL298" s="99"/>
      <c r="AM298" s="22"/>
      <c r="AN298" s="22"/>
      <c r="AO298" s="22"/>
      <c r="AP298" s="96" t="s">
        <v>4359</v>
      </c>
      <c r="AR298" s="96" t="s">
        <v>3039</v>
      </c>
      <c r="AS298" s="338">
        <f t="shared" si="130"/>
        <v>699.9</v>
      </c>
      <c r="AT298" s="339">
        <f t="shared" si="131"/>
        <v>70.689900000000009</v>
      </c>
      <c r="AW298" s="339">
        <f t="shared" si="132"/>
        <v>770.58989999999994</v>
      </c>
      <c r="AX298" s="237">
        <f>+O298</f>
        <v>30</v>
      </c>
      <c r="AY298" s="101" t="s">
        <v>2733</v>
      </c>
      <c r="AZ298" s="242">
        <f t="shared" si="133"/>
        <v>25.686329999999998</v>
      </c>
      <c r="BA298" s="96" t="s">
        <v>2798</v>
      </c>
      <c r="BB298" s="101" t="s">
        <v>2733</v>
      </c>
      <c r="BC298" s="199">
        <v>1</v>
      </c>
      <c r="BD298" s="199">
        <f t="shared" si="118"/>
        <v>25.686329999999998</v>
      </c>
      <c r="BG298" s="22" t="s">
        <v>4214</v>
      </c>
    </row>
    <row r="299" spans="1:59" s="96" customFormat="1" ht="15" customHeight="1">
      <c r="A299" s="21">
        <v>44049</v>
      </c>
      <c r="B299" s="96" t="s">
        <v>4360</v>
      </c>
      <c r="C299" s="22" t="s">
        <v>2971</v>
      </c>
      <c r="D299" s="97" t="s">
        <v>255</v>
      </c>
      <c r="E299" s="22" t="s">
        <v>4361</v>
      </c>
      <c r="F299" s="69" t="s">
        <v>2846</v>
      </c>
      <c r="G299" s="69" t="s">
        <v>2846</v>
      </c>
      <c r="H299" s="70">
        <v>100000</v>
      </c>
      <c r="I299" s="71" t="s">
        <v>2739</v>
      </c>
      <c r="J299" s="71" t="s">
        <v>2846</v>
      </c>
      <c r="K299" s="71" t="s">
        <v>2846</v>
      </c>
      <c r="L299" s="72">
        <v>1</v>
      </c>
      <c r="M299" s="72" t="s">
        <v>64</v>
      </c>
      <c r="N299" s="73">
        <v>100000</v>
      </c>
      <c r="O299" s="73" t="s">
        <v>2846</v>
      </c>
      <c r="P299" s="74">
        <v>1</v>
      </c>
      <c r="Q299" s="74">
        <f>N299*P299</f>
        <v>100000</v>
      </c>
      <c r="R299" s="21">
        <v>44067</v>
      </c>
      <c r="S299" s="99" t="s">
        <v>4362</v>
      </c>
      <c r="T299" s="22" t="s">
        <v>3036</v>
      </c>
      <c r="U299" s="97" t="s">
        <v>4363</v>
      </c>
      <c r="V299" s="22" t="s">
        <v>4364</v>
      </c>
      <c r="W299" s="285" t="s">
        <v>2705</v>
      </c>
      <c r="X299" s="456">
        <v>0</v>
      </c>
      <c r="Y299" s="97"/>
      <c r="AG299" s="102">
        <f>N299-X299-AA299-AD299</f>
        <v>100000</v>
      </c>
      <c r="AH299" s="174" t="s">
        <v>2971</v>
      </c>
      <c r="AI299" s="22"/>
      <c r="AJ299" s="101"/>
      <c r="AK299" s="101"/>
      <c r="AL299" s="99"/>
      <c r="AM299" s="22"/>
      <c r="AN299" s="22"/>
      <c r="AO299" s="22"/>
      <c r="AP299" s="96" t="s">
        <v>4365</v>
      </c>
      <c r="AR299" s="96" t="s">
        <v>3063</v>
      </c>
      <c r="AS299" s="338">
        <f t="shared" si="130"/>
        <v>100000</v>
      </c>
      <c r="AT299" s="339">
        <f t="shared" si="131"/>
        <v>10100</v>
      </c>
      <c r="AW299" s="339">
        <f t="shared" si="132"/>
        <v>110100</v>
      </c>
      <c r="AX299" s="237">
        <f>+N299</f>
        <v>100000</v>
      </c>
      <c r="AY299" s="101" t="s">
        <v>2739</v>
      </c>
      <c r="AZ299" s="242">
        <f t="shared" si="133"/>
        <v>1.101</v>
      </c>
      <c r="BA299" s="96" t="s">
        <v>2909</v>
      </c>
      <c r="BB299" s="101" t="s">
        <v>2739</v>
      </c>
      <c r="BC299" s="199">
        <v>1</v>
      </c>
      <c r="BD299" s="199">
        <f t="shared" si="118"/>
        <v>1.101</v>
      </c>
      <c r="BG299" s="22" t="s">
        <v>4366</v>
      </c>
    </row>
    <row r="300" spans="1:59" s="96" customFormat="1" ht="15" customHeight="1">
      <c r="A300" s="21">
        <v>44049</v>
      </c>
      <c r="B300" s="96" t="s">
        <v>4360</v>
      </c>
      <c r="C300" s="22" t="s">
        <v>2971</v>
      </c>
      <c r="D300" s="97" t="s">
        <v>255</v>
      </c>
      <c r="E300" s="22" t="s">
        <v>4361</v>
      </c>
      <c r="F300" s="69" t="s">
        <v>2846</v>
      </c>
      <c r="G300" s="69" t="s">
        <v>2846</v>
      </c>
      <c r="H300" s="70">
        <v>20000</v>
      </c>
      <c r="I300" s="71" t="s">
        <v>2739</v>
      </c>
      <c r="J300" s="71" t="s">
        <v>2846</v>
      </c>
      <c r="K300" s="71" t="s">
        <v>2846</v>
      </c>
      <c r="L300" s="72">
        <v>1</v>
      </c>
      <c r="M300" s="72" t="s">
        <v>64</v>
      </c>
      <c r="N300" s="73">
        <v>20000</v>
      </c>
      <c r="O300" s="73" t="s">
        <v>2846</v>
      </c>
      <c r="P300" s="74">
        <v>0</v>
      </c>
      <c r="Q300" s="74">
        <f>N300*P300</f>
        <v>0</v>
      </c>
      <c r="R300" s="21">
        <v>44067</v>
      </c>
      <c r="S300" s="99" t="s">
        <v>4362</v>
      </c>
      <c r="T300" s="22" t="s">
        <v>3036</v>
      </c>
      <c r="U300" s="97" t="s">
        <v>4363</v>
      </c>
      <c r="V300" s="22" t="s">
        <v>4367</v>
      </c>
      <c r="W300" s="72" t="s">
        <v>2705</v>
      </c>
      <c r="X300" s="456">
        <v>0</v>
      </c>
      <c r="Y300" s="97"/>
      <c r="AG300" s="102">
        <f>N300-X300-AA300-AD300</f>
        <v>20000</v>
      </c>
      <c r="AH300" s="174" t="s">
        <v>2971</v>
      </c>
      <c r="AI300" s="22"/>
      <c r="AJ300" s="101"/>
      <c r="AK300" s="101"/>
      <c r="AL300" s="99"/>
      <c r="AM300" s="22"/>
      <c r="AN300" s="22"/>
      <c r="AO300" s="22"/>
      <c r="AP300" s="96" t="s">
        <v>4368</v>
      </c>
      <c r="AR300" s="96" t="s">
        <v>3063</v>
      </c>
      <c r="AS300" s="338">
        <f t="shared" si="130"/>
        <v>0</v>
      </c>
      <c r="AT300" s="339">
        <f t="shared" si="131"/>
        <v>0</v>
      </c>
      <c r="AW300" s="339">
        <f t="shared" si="132"/>
        <v>0</v>
      </c>
      <c r="AX300" s="237">
        <f>+N300</f>
        <v>20000</v>
      </c>
      <c r="AY300" s="101" t="s">
        <v>2739</v>
      </c>
      <c r="AZ300" s="242">
        <f t="shared" si="133"/>
        <v>0</v>
      </c>
      <c r="BA300" s="96" t="s">
        <v>2909</v>
      </c>
      <c r="BB300" s="101" t="s">
        <v>2739</v>
      </c>
      <c r="BC300" s="199">
        <v>1</v>
      </c>
      <c r="BD300" s="199">
        <f t="shared" si="118"/>
        <v>0</v>
      </c>
      <c r="BG300" s="22" t="s">
        <v>4366</v>
      </c>
    </row>
    <row r="301" spans="1:59" s="96" customFormat="1" ht="15" customHeight="1">
      <c r="A301" s="21">
        <v>44053</v>
      </c>
      <c r="B301" s="96" t="s">
        <v>4369</v>
      </c>
      <c r="C301" s="22" t="s">
        <v>3734</v>
      </c>
      <c r="D301" s="97" t="s">
        <v>4370</v>
      </c>
      <c r="E301" s="22" t="s">
        <v>4361</v>
      </c>
      <c r="F301" s="69" t="s">
        <v>2846</v>
      </c>
      <c r="G301" s="69" t="s">
        <v>2846</v>
      </c>
      <c r="H301" s="70">
        <v>182000</v>
      </c>
      <c r="I301" s="71" t="s">
        <v>2739</v>
      </c>
      <c r="J301" s="71" t="s">
        <v>2846</v>
      </c>
      <c r="K301" s="71" t="s">
        <v>2846</v>
      </c>
      <c r="L301" s="72">
        <v>1</v>
      </c>
      <c r="M301" s="72" t="s">
        <v>64</v>
      </c>
      <c r="N301" s="73">
        <f>H301*L301</f>
        <v>182000</v>
      </c>
      <c r="O301" s="73" t="s">
        <v>2846</v>
      </c>
      <c r="P301" s="74">
        <v>0.69</v>
      </c>
      <c r="Q301" s="74">
        <f>N301*P301</f>
        <v>125579.99999999999</v>
      </c>
      <c r="R301" s="21">
        <v>44158</v>
      </c>
      <c r="S301" s="99" t="s">
        <v>4362</v>
      </c>
      <c r="T301" s="22" t="s">
        <v>3036</v>
      </c>
      <c r="U301" s="97" t="s">
        <v>4371</v>
      </c>
      <c r="V301" s="22" t="s">
        <v>4372</v>
      </c>
      <c r="W301" s="72" t="s">
        <v>2705</v>
      </c>
      <c r="X301" s="456">
        <v>0</v>
      </c>
      <c r="Y301" s="97"/>
      <c r="AG301" s="102">
        <f>N301-X301-AA301-AD301</f>
        <v>182000</v>
      </c>
      <c r="AH301" s="174" t="s">
        <v>69</v>
      </c>
      <c r="AI301" s="22" t="s">
        <v>2739</v>
      </c>
      <c r="AJ301" s="101">
        <f>+AG301</f>
        <v>182000</v>
      </c>
      <c r="AK301" s="288" t="e">
        <f ca="1">_xlfn.SINGLE(IF(R301="TBD",49674,R301))</f>
        <v>#NAME?</v>
      </c>
      <c r="AL301" s="99"/>
      <c r="AM301" s="22"/>
      <c r="AN301" s="22"/>
      <c r="AO301" s="22"/>
      <c r="AP301" s="96" t="s">
        <v>4373</v>
      </c>
      <c r="AS301" s="338">
        <f t="shared" si="130"/>
        <v>125579.99999999999</v>
      </c>
      <c r="AT301" s="339">
        <f t="shared" si="131"/>
        <v>12683.58</v>
      </c>
      <c r="AW301" s="339">
        <f t="shared" si="132"/>
        <v>138263.57999999999</v>
      </c>
      <c r="AX301" s="237">
        <f>+N301</f>
        <v>182000</v>
      </c>
      <c r="AY301" s="101" t="s">
        <v>2739</v>
      </c>
      <c r="AZ301" s="242">
        <f t="shared" si="133"/>
        <v>0.75968999999999998</v>
      </c>
      <c r="BA301" s="96" t="s">
        <v>2748</v>
      </c>
      <c r="BB301" s="101" t="s">
        <v>2739</v>
      </c>
      <c r="BC301" s="199">
        <v>1</v>
      </c>
      <c r="BD301" s="199">
        <f t="shared" si="118"/>
        <v>0.75968999999999998</v>
      </c>
      <c r="BG301" s="22" t="s">
        <v>4366</v>
      </c>
    </row>
    <row r="302" spans="1:59" s="96" customFormat="1" ht="15" customHeight="1">
      <c r="A302" s="21">
        <v>44053</v>
      </c>
      <c r="B302" s="96" t="s">
        <v>4369</v>
      </c>
      <c r="C302" s="22" t="s">
        <v>2971</v>
      </c>
      <c r="D302" s="97" t="s">
        <v>4374</v>
      </c>
      <c r="E302" s="22" t="s">
        <v>4361</v>
      </c>
      <c r="F302" s="69" t="s">
        <v>2846</v>
      </c>
      <c r="G302" s="69" t="s">
        <v>2846</v>
      </c>
      <c r="H302" s="70">
        <v>10</v>
      </c>
      <c r="I302" s="71" t="s">
        <v>96</v>
      </c>
      <c r="J302" s="76">
        <v>60667</v>
      </c>
      <c r="K302" s="71" t="s">
        <v>4375</v>
      </c>
      <c r="L302" s="72">
        <v>1</v>
      </c>
      <c r="M302" s="72" t="s">
        <v>64</v>
      </c>
      <c r="N302" s="73">
        <f>J302</f>
        <v>60667</v>
      </c>
      <c r="O302" s="73">
        <f>J302*H302*L302</f>
        <v>606670</v>
      </c>
      <c r="P302" s="74">
        <v>0.3</v>
      </c>
      <c r="Q302" s="74">
        <f>N302*P302</f>
        <v>18200.099999999999</v>
      </c>
      <c r="R302" s="21">
        <v>44158</v>
      </c>
      <c r="S302" s="99" t="s">
        <v>4362</v>
      </c>
      <c r="T302" s="22" t="s">
        <v>3036</v>
      </c>
      <c r="U302" s="97" t="s">
        <v>4371</v>
      </c>
      <c r="V302" s="22" t="s">
        <v>2846</v>
      </c>
      <c r="W302" s="72" t="s">
        <v>2705</v>
      </c>
      <c r="X302" s="456">
        <v>0</v>
      </c>
      <c r="Y302" s="97"/>
      <c r="AG302" s="102">
        <f>N302-X302-AA302-AD302</f>
        <v>60667</v>
      </c>
      <c r="AH302" s="174" t="s">
        <v>2971</v>
      </c>
      <c r="AI302" s="22"/>
      <c r="AJ302" s="101"/>
      <c r="AK302" s="101"/>
      <c r="AL302" s="99"/>
      <c r="AM302" s="22"/>
      <c r="AN302" s="22"/>
      <c r="AO302" s="22"/>
      <c r="AP302" s="96" t="s">
        <v>4376</v>
      </c>
      <c r="AS302" s="338">
        <f t="shared" si="130"/>
        <v>18200.099999999999</v>
      </c>
      <c r="AT302" s="339">
        <f t="shared" si="131"/>
        <v>1838.2101</v>
      </c>
      <c r="AW302" s="339">
        <f t="shared" si="132"/>
        <v>20038.310099999999</v>
      </c>
      <c r="AX302" s="237">
        <f>+N302</f>
        <v>60667</v>
      </c>
      <c r="AY302" s="101" t="s">
        <v>96</v>
      </c>
      <c r="AZ302" s="242">
        <f t="shared" si="133"/>
        <v>0.33029999999999998</v>
      </c>
      <c r="BA302" s="96" t="s">
        <v>2749</v>
      </c>
      <c r="BB302" s="101" t="s">
        <v>2739</v>
      </c>
      <c r="BC302" s="199">
        <v>1</v>
      </c>
      <c r="BD302" s="199">
        <f t="shared" si="118"/>
        <v>0.33029999999999998</v>
      </c>
      <c r="BG302" s="22" t="s">
        <v>4366</v>
      </c>
    </row>
    <row r="303" spans="1:59" s="96" customFormat="1" ht="30" customHeight="1">
      <c r="A303" s="21"/>
      <c r="C303" s="22"/>
      <c r="D303" s="97"/>
      <c r="E303" s="22"/>
      <c r="F303" s="69"/>
      <c r="G303" s="69"/>
      <c r="H303" s="70"/>
      <c r="I303" s="71"/>
      <c r="J303" s="76"/>
      <c r="K303" s="71"/>
      <c r="L303" s="72"/>
      <c r="M303" s="72"/>
      <c r="N303" s="73"/>
      <c r="O303" s="73"/>
      <c r="P303" s="74"/>
      <c r="Q303" s="74"/>
      <c r="R303" s="21"/>
      <c r="S303" s="99"/>
      <c r="T303" s="22"/>
      <c r="U303" s="97"/>
      <c r="V303" s="355"/>
      <c r="W303" s="72"/>
      <c r="X303" s="394"/>
      <c r="Y303" s="97"/>
      <c r="AG303" s="102"/>
      <c r="AH303" s="174"/>
      <c r="AI303" s="22"/>
      <c r="AJ303" s="101"/>
      <c r="AK303" s="101"/>
      <c r="AL303" s="99"/>
      <c r="AM303" s="22"/>
      <c r="AN303" s="22"/>
      <c r="AO303" s="22"/>
      <c r="AS303" s="338"/>
      <c r="AT303" s="339"/>
      <c r="AW303" s="339"/>
      <c r="AX303" s="237"/>
      <c r="AY303" s="101"/>
      <c r="AZ303" s="242"/>
      <c r="BB303" s="101"/>
      <c r="BC303" s="199"/>
      <c r="BD303" s="199"/>
      <c r="BG303" s="22"/>
    </row>
    <row r="304" spans="1:59" s="96" customFormat="1" ht="30" customHeight="1">
      <c r="A304" s="21"/>
      <c r="C304" s="22"/>
      <c r="D304" s="97"/>
      <c r="E304" s="22"/>
      <c r="F304" s="69"/>
      <c r="G304" s="69"/>
      <c r="H304" s="70"/>
      <c r="I304" s="71"/>
      <c r="J304" s="76"/>
      <c r="K304" s="71"/>
      <c r="L304" s="72"/>
      <c r="M304" s="72"/>
      <c r="N304" s="73"/>
      <c r="O304" s="73"/>
      <c r="P304" s="74"/>
      <c r="Q304" s="74"/>
      <c r="R304" s="21"/>
      <c r="S304" s="99"/>
      <c r="T304" s="22"/>
      <c r="U304" s="97"/>
      <c r="V304" s="355"/>
      <c r="W304" s="72"/>
      <c r="X304" s="394"/>
      <c r="Y304" s="97"/>
      <c r="AG304" s="102"/>
      <c r="AH304" s="174"/>
      <c r="AI304" s="22"/>
      <c r="AJ304" s="101"/>
      <c r="AK304" s="101"/>
      <c r="AL304" s="99"/>
      <c r="AM304" s="22"/>
      <c r="AN304" s="22"/>
      <c r="AO304" s="22"/>
      <c r="AS304" s="338"/>
      <c r="AT304" s="339"/>
      <c r="AW304" s="339"/>
      <c r="AX304" s="237"/>
      <c r="AY304" s="101"/>
      <c r="AZ304" s="242"/>
      <c r="BB304" s="101"/>
      <c r="BC304" s="199"/>
      <c r="BD304" s="199"/>
      <c r="BG304" s="22"/>
    </row>
    <row r="305" spans="1:59" s="96" customFormat="1" ht="30" customHeight="1">
      <c r="A305" s="21"/>
      <c r="C305" s="22"/>
      <c r="D305" s="97"/>
      <c r="E305" s="22"/>
      <c r="F305" s="69"/>
      <c r="G305" s="69"/>
      <c r="H305" s="70"/>
      <c r="I305" s="71"/>
      <c r="J305" s="76"/>
      <c r="K305" s="71"/>
      <c r="L305" s="72"/>
      <c r="M305" s="72"/>
      <c r="N305" s="73"/>
      <c r="O305" s="73"/>
      <c r="P305" s="74"/>
      <c r="Q305" s="74"/>
      <c r="R305" s="21"/>
      <c r="S305" s="99"/>
      <c r="T305" s="22"/>
      <c r="U305" s="97"/>
      <c r="V305" s="355"/>
      <c r="W305" s="72"/>
      <c r="X305" s="394"/>
      <c r="Y305" s="97"/>
      <c r="AG305" s="102"/>
      <c r="AH305" s="174"/>
      <c r="AI305" s="22"/>
      <c r="AJ305" s="101"/>
      <c r="AK305" s="101"/>
      <c r="AL305" s="99"/>
      <c r="AM305" s="22"/>
      <c r="AN305" s="22"/>
      <c r="AO305" s="22"/>
      <c r="AS305" s="338"/>
      <c r="AT305" s="339"/>
      <c r="AW305" s="339"/>
      <c r="AX305" s="237"/>
      <c r="AY305" s="101"/>
      <c r="AZ305" s="242"/>
      <c r="BB305" s="101"/>
      <c r="BC305" s="199"/>
      <c r="BD305" s="199"/>
      <c r="BG305" s="22"/>
    </row>
    <row r="306" spans="1:59" s="96" customFormat="1" ht="30" customHeight="1">
      <c r="A306" s="21"/>
      <c r="C306" s="22"/>
      <c r="D306" s="97"/>
      <c r="E306" s="22"/>
      <c r="F306" s="69"/>
      <c r="G306" s="69"/>
      <c r="H306" s="70"/>
      <c r="I306" s="71"/>
      <c r="J306" s="76"/>
      <c r="K306" s="71"/>
      <c r="L306" s="72"/>
      <c r="M306" s="72"/>
      <c r="N306" s="73"/>
      <c r="O306" s="73"/>
      <c r="P306" s="74"/>
      <c r="Q306" s="74"/>
      <c r="R306" s="21"/>
      <c r="S306" s="99"/>
      <c r="T306" s="22"/>
      <c r="U306" s="97"/>
      <c r="V306" s="355"/>
      <c r="W306" s="72"/>
      <c r="X306" s="394"/>
      <c r="Y306" s="97"/>
      <c r="AG306" s="102"/>
      <c r="AH306" s="174"/>
      <c r="AI306" s="22"/>
      <c r="AJ306" s="101"/>
      <c r="AK306" s="101"/>
      <c r="AL306" s="99"/>
      <c r="AM306" s="22"/>
      <c r="AN306" s="22"/>
      <c r="AO306" s="22"/>
      <c r="AS306" s="338"/>
      <c r="AT306" s="339"/>
      <c r="AW306" s="339"/>
      <c r="AX306" s="237"/>
      <c r="AY306" s="101"/>
      <c r="AZ306" s="242"/>
      <c r="BB306" s="101"/>
      <c r="BC306" s="199"/>
      <c r="BD306" s="199"/>
      <c r="BG306" s="22"/>
    </row>
    <row r="307" spans="1:59" s="96" customFormat="1" ht="30" customHeight="1">
      <c r="A307" s="21"/>
      <c r="C307" s="22"/>
      <c r="D307" s="97"/>
      <c r="E307" s="22"/>
      <c r="F307" s="69"/>
      <c r="G307" s="69"/>
      <c r="H307" s="70"/>
      <c r="I307" s="71"/>
      <c r="J307" s="76"/>
      <c r="K307" s="71"/>
      <c r="L307" s="72"/>
      <c r="M307" s="72"/>
      <c r="N307" s="73"/>
      <c r="O307" s="73"/>
      <c r="P307" s="74"/>
      <c r="Q307" s="74"/>
      <c r="R307" s="21"/>
      <c r="S307" s="99"/>
      <c r="T307" s="22"/>
      <c r="U307" s="97"/>
      <c r="V307" s="355"/>
      <c r="W307" s="72"/>
      <c r="X307" s="394"/>
      <c r="Y307" s="97"/>
      <c r="AG307" s="102"/>
      <c r="AH307" s="174"/>
      <c r="AI307" s="22"/>
      <c r="AJ307" s="101"/>
      <c r="AK307" s="101"/>
      <c r="AL307" s="99"/>
      <c r="AM307" s="22"/>
      <c r="AN307" s="22"/>
      <c r="AO307" s="22"/>
      <c r="AS307" s="338"/>
      <c r="AT307" s="339"/>
      <c r="AW307" s="339"/>
      <c r="AX307" s="237"/>
      <c r="AY307" s="101"/>
      <c r="AZ307" s="242"/>
      <c r="BB307" s="101"/>
      <c r="BC307" s="199"/>
      <c r="BD307" s="199"/>
      <c r="BG307" s="22"/>
    </row>
    <row r="308" spans="1:59" s="96" customFormat="1" ht="30" customHeight="1">
      <c r="A308" s="21"/>
      <c r="C308" s="22"/>
      <c r="D308" s="97"/>
      <c r="E308" s="22"/>
      <c r="F308" s="69"/>
      <c r="G308" s="69"/>
      <c r="H308" s="70"/>
      <c r="I308" s="71"/>
      <c r="J308" s="76"/>
      <c r="K308" s="71"/>
      <c r="L308" s="72"/>
      <c r="M308" s="72"/>
      <c r="N308" s="73"/>
      <c r="O308" s="73"/>
      <c r="P308" s="74"/>
      <c r="Q308" s="74"/>
      <c r="R308" s="21"/>
      <c r="S308" s="99"/>
      <c r="T308" s="22"/>
      <c r="U308" s="97"/>
      <c r="V308" s="355"/>
      <c r="W308" s="72"/>
      <c r="X308" s="394"/>
      <c r="Y308" s="97"/>
      <c r="AG308" s="102"/>
      <c r="AH308" s="174"/>
      <c r="AI308" s="22"/>
      <c r="AJ308" s="101"/>
      <c r="AK308" s="101"/>
      <c r="AL308" s="99"/>
      <c r="AM308" s="22"/>
      <c r="AN308" s="22"/>
      <c r="AO308" s="22"/>
      <c r="AS308" s="338"/>
      <c r="AT308" s="339"/>
      <c r="AW308" s="339"/>
      <c r="AX308" s="237"/>
      <c r="AY308" s="101"/>
      <c r="AZ308" s="242"/>
      <c r="BB308" s="101"/>
      <c r="BC308" s="199"/>
      <c r="BD308" s="199"/>
      <c r="BG308" s="22"/>
    </row>
    <row r="309" spans="1:59" s="96" customFormat="1" ht="30" customHeight="1">
      <c r="A309" s="21"/>
      <c r="C309" s="22"/>
      <c r="D309" s="97"/>
      <c r="E309" s="22"/>
      <c r="F309" s="69"/>
      <c r="G309" s="69"/>
      <c r="H309" s="70"/>
      <c r="I309" s="71"/>
      <c r="J309" s="76"/>
      <c r="K309" s="71"/>
      <c r="L309" s="72"/>
      <c r="M309" s="72"/>
      <c r="N309" s="73"/>
      <c r="O309" s="73"/>
      <c r="P309" s="74"/>
      <c r="Q309" s="74"/>
      <c r="R309" s="21"/>
      <c r="S309" s="99"/>
      <c r="T309" s="22"/>
      <c r="U309" s="97"/>
      <c r="V309" s="355"/>
      <c r="W309" s="72"/>
      <c r="X309" s="394"/>
      <c r="Y309" s="97"/>
      <c r="AG309" s="102"/>
      <c r="AH309" s="174"/>
      <c r="AI309" s="22"/>
      <c r="AJ309" s="101"/>
      <c r="AK309" s="101"/>
      <c r="AL309" s="99"/>
      <c r="AM309" s="22"/>
      <c r="AN309" s="22"/>
      <c r="AO309" s="22"/>
      <c r="AS309" s="338"/>
      <c r="AT309" s="339"/>
      <c r="AW309" s="339"/>
      <c r="AX309" s="237"/>
      <c r="AY309" s="101"/>
      <c r="AZ309" s="242"/>
      <c r="BB309" s="101"/>
      <c r="BC309" s="199"/>
      <c r="BD309" s="199"/>
      <c r="BG309" s="22"/>
    </row>
    <row r="310" spans="1:59" s="96" customFormat="1" ht="30" customHeight="1">
      <c r="A310" s="21"/>
      <c r="C310" s="22"/>
      <c r="D310" s="97"/>
      <c r="E310" s="22"/>
      <c r="F310" s="69"/>
      <c r="G310" s="69"/>
      <c r="H310" s="70"/>
      <c r="I310" s="71"/>
      <c r="J310" s="76"/>
      <c r="K310" s="71"/>
      <c r="L310" s="72"/>
      <c r="M310" s="72"/>
      <c r="N310" s="73"/>
      <c r="O310" s="73"/>
      <c r="P310" s="74"/>
      <c r="Q310" s="74"/>
      <c r="R310" s="21"/>
      <c r="S310" s="99"/>
      <c r="T310" s="22"/>
      <c r="U310" s="97"/>
      <c r="V310" s="355"/>
      <c r="W310" s="72"/>
      <c r="X310" s="394"/>
      <c r="Y310" s="97"/>
      <c r="AG310" s="102"/>
      <c r="AH310" s="174"/>
      <c r="AI310" s="22"/>
      <c r="AJ310" s="101"/>
      <c r="AK310" s="101"/>
      <c r="AL310" s="99"/>
      <c r="AM310" s="22"/>
      <c r="AN310" s="22"/>
      <c r="AO310" s="22"/>
      <c r="AS310" s="338"/>
      <c r="AT310" s="339"/>
      <c r="AW310" s="339"/>
      <c r="AX310" s="237"/>
      <c r="AY310" s="101"/>
      <c r="AZ310" s="242"/>
      <c r="BB310" s="101"/>
      <c r="BC310" s="199"/>
      <c r="BD310" s="199"/>
      <c r="BG310" s="22"/>
    </row>
    <row r="311" spans="1:59" s="96" customFormat="1" ht="30" customHeight="1">
      <c r="A311" s="21"/>
      <c r="C311" s="22"/>
      <c r="D311" s="97"/>
      <c r="E311" s="22"/>
      <c r="F311" s="69"/>
      <c r="G311" s="69"/>
      <c r="H311" s="70"/>
      <c r="I311" s="71"/>
      <c r="J311" s="76"/>
      <c r="K311" s="71"/>
      <c r="L311" s="72"/>
      <c r="M311" s="72"/>
      <c r="N311" s="73"/>
      <c r="O311" s="73"/>
      <c r="P311" s="74"/>
      <c r="Q311" s="74"/>
      <c r="R311" s="21"/>
      <c r="S311" s="99"/>
      <c r="T311" s="22"/>
      <c r="U311" s="97"/>
      <c r="V311" s="355"/>
      <c r="W311" s="72"/>
      <c r="X311" s="394"/>
      <c r="Y311" s="97"/>
      <c r="AG311" s="102"/>
      <c r="AH311" s="174"/>
      <c r="AI311" s="22"/>
      <c r="AJ311" s="101"/>
      <c r="AK311" s="101"/>
      <c r="AL311" s="99"/>
      <c r="AM311" s="22"/>
      <c r="AN311" s="22"/>
      <c r="AO311" s="22"/>
      <c r="AS311" s="338"/>
      <c r="AT311" s="339"/>
      <c r="AW311" s="339"/>
      <c r="AX311" s="237"/>
      <c r="AY311" s="101"/>
      <c r="AZ311" s="242"/>
      <c r="BB311" s="101"/>
      <c r="BC311" s="199"/>
      <c r="BD311" s="199"/>
      <c r="BG311" s="22"/>
    </row>
    <row r="312" spans="1:59" s="96" customFormat="1" ht="30" customHeight="1">
      <c r="A312" s="21"/>
      <c r="C312" s="22"/>
      <c r="D312" s="97"/>
      <c r="E312" s="22"/>
      <c r="F312" s="69"/>
      <c r="G312" s="69"/>
      <c r="H312" s="70"/>
      <c r="I312" s="71"/>
      <c r="J312" s="76"/>
      <c r="K312" s="71"/>
      <c r="L312" s="72"/>
      <c r="M312" s="72"/>
      <c r="N312" s="73"/>
      <c r="O312" s="73"/>
      <c r="P312" s="74"/>
      <c r="Q312" s="74"/>
      <c r="R312" s="21"/>
      <c r="S312" s="99"/>
      <c r="T312" s="22"/>
      <c r="U312" s="97"/>
      <c r="V312" s="355"/>
      <c r="W312" s="72"/>
      <c r="X312" s="394"/>
      <c r="Y312" s="97"/>
      <c r="AG312" s="102"/>
      <c r="AH312" s="174"/>
      <c r="AI312" s="22"/>
      <c r="AJ312" s="101"/>
      <c r="AK312" s="101"/>
      <c r="AL312" s="99"/>
      <c r="AM312" s="22"/>
      <c r="AN312" s="22"/>
      <c r="AO312" s="22"/>
      <c r="AS312" s="338"/>
      <c r="AT312" s="339"/>
      <c r="AW312" s="339"/>
      <c r="AX312" s="237"/>
      <c r="AY312" s="101"/>
      <c r="AZ312" s="242"/>
      <c r="BB312" s="101"/>
      <c r="BC312" s="199"/>
      <c r="BD312" s="199"/>
      <c r="BG312" s="22"/>
    </row>
    <row r="313" spans="1:59" s="96" customFormat="1" ht="30" customHeight="1">
      <c r="A313" s="21"/>
      <c r="C313" s="22"/>
      <c r="D313" s="97"/>
      <c r="E313" s="22"/>
      <c r="F313" s="69"/>
      <c r="G313" s="69"/>
      <c r="H313" s="70"/>
      <c r="I313" s="71"/>
      <c r="J313" s="76"/>
      <c r="K313" s="71"/>
      <c r="L313" s="72"/>
      <c r="M313" s="72"/>
      <c r="N313" s="73"/>
      <c r="O313" s="73"/>
      <c r="P313" s="74"/>
      <c r="Q313" s="74"/>
      <c r="R313" s="21"/>
      <c r="S313" s="99"/>
      <c r="T313" s="22"/>
      <c r="U313" s="97"/>
      <c r="V313" s="355"/>
      <c r="W313" s="72"/>
      <c r="X313" s="394"/>
      <c r="Y313" s="97"/>
      <c r="AG313" s="102"/>
      <c r="AH313" s="174"/>
      <c r="AI313" s="22"/>
      <c r="AJ313" s="101"/>
      <c r="AK313" s="101"/>
      <c r="AL313" s="99"/>
      <c r="AM313" s="22"/>
      <c r="AN313" s="22"/>
      <c r="AO313" s="22"/>
      <c r="AS313" s="338"/>
      <c r="AT313" s="339"/>
      <c r="AW313" s="339"/>
      <c r="AX313" s="237"/>
      <c r="AY313" s="101"/>
      <c r="AZ313" s="242"/>
      <c r="BB313" s="101"/>
      <c r="BC313" s="199"/>
      <c r="BD313" s="199"/>
      <c r="BG313" s="22"/>
    </row>
    <row r="314" spans="1:59" s="96" customFormat="1" ht="30" customHeight="1">
      <c r="A314" s="21"/>
      <c r="C314" s="22"/>
      <c r="D314" s="97"/>
      <c r="E314" s="22"/>
      <c r="F314" s="69"/>
      <c r="G314" s="69"/>
      <c r="H314" s="70"/>
      <c r="I314" s="71"/>
      <c r="J314" s="76"/>
      <c r="K314" s="71"/>
      <c r="L314" s="72"/>
      <c r="M314" s="72"/>
      <c r="N314" s="73"/>
      <c r="O314" s="73"/>
      <c r="P314" s="74"/>
      <c r="Q314" s="74"/>
      <c r="R314" s="21"/>
      <c r="S314" s="99"/>
      <c r="T314" s="22"/>
      <c r="U314" s="97"/>
      <c r="V314" s="355"/>
      <c r="W314" s="72"/>
      <c r="X314" s="394"/>
      <c r="Y314" s="97"/>
      <c r="AG314" s="102"/>
      <c r="AH314" s="174"/>
      <c r="AI314" s="22"/>
      <c r="AJ314" s="101"/>
      <c r="AK314" s="101"/>
      <c r="AL314" s="99"/>
      <c r="AM314" s="22"/>
      <c r="AN314" s="22"/>
      <c r="AO314" s="22"/>
      <c r="AS314" s="338"/>
      <c r="AT314" s="339"/>
      <c r="AW314" s="339"/>
      <c r="AX314" s="237"/>
      <c r="AY314" s="101"/>
      <c r="AZ314" s="242"/>
      <c r="BB314" s="101"/>
      <c r="BC314" s="199"/>
      <c r="BD314" s="199"/>
      <c r="BG314" s="22"/>
    </row>
    <row r="315" spans="1:59" s="96" customFormat="1" ht="30" customHeight="1">
      <c r="A315" s="21"/>
      <c r="C315" s="22"/>
      <c r="D315" s="97"/>
      <c r="E315" s="22"/>
      <c r="F315" s="69"/>
      <c r="G315" s="69"/>
      <c r="H315" s="70"/>
      <c r="I315" s="71"/>
      <c r="J315" s="76"/>
      <c r="K315" s="71"/>
      <c r="L315" s="72"/>
      <c r="M315" s="72"/>
      <c r="N315" s="73"/>
      <c r="O315" s="73"/>
      <c r="P315" s="74"/>
      <c r="Q315" s="74"/>
      <c r="R315" s="21"/>
      <c r="S315" s="99"/>
      <c r="T315" s="22"/>
      <c r="U315" s="97"/>
      <c r="V315" s="355"/>
      <c r="W315" s="72"/>
      <c r="X315" s="394"/>
      <c r="Y315" s="97"/>
      <c r="AG315" s="102"/>
      <c r="AH315" s="174"/>
      <c r="AI315" s="22"/>
      <c r="AJ315" s="101"/>
      <c r="AK315" s="101"/>
      <c r="AL315" s="99"/>
      <c r="AM315" s="22"/>
      <c r="AN315" s="22"/>
      <c r="AO315" s="22"/>
      <c r="AS315" s="338"/>
      <c r="AT315" s="339"/>
      <c r="AW315" s="339"/>
      <c r="AX315" s="237"/>
      <c r="AY315" s="101"/>
      <c r="AZ315" s="242"/>
      <c r="BB315" s="101"/>
      <c r="BC315" s="199"/>
      <c r="BD315" s="199"/>
      <c r="BG315" s="22"/>
    </row>
    <row r="316" spans="1:59" s="96" customFormat="1" ht="30" customHeight="1">
      <c r="A316" s="21"/>
      <c r="C316" s="22"/>
      <c r="D316" s="97"/>
      <c r="E316" s="22"/>
      <c r="F316" s="69"/>
      <c r="G316" s="69"/>
      <c r="H316" s="70"/>
      <c r="I316" s="71"/>
      <c r="J316" s="76"/>
      <c r="K316" s="71"/>
      <c r="L316" s="72"/>
      <c r="M316" s="72"/>
      <c r="N316" s="73"/>
      <c r="O316" s="73"/>
      <c r="P316" s="74"/>
      <c r="Q316" s="74"/>
      <c r="R316" s="21"/>
      <c r="S316" s="99"/>
      <c r="T316" s="22"/>
      <c r="U316" s="97"/>
      <c r="V316" s="355"/>
      <c r="W316" s="72"/>
      <c r="X316" s="394"/>
      <c r="Y316" s="97"/>
      <c r="AG316" s="102"/>
      <c r="AH316" s="174"/>
      <c r="AI316" s="22"/>
      <c r="AJ316" s="101"/>
      <c r="AK316" s="101"/>
      <c r="AL316" s="99"/>
      <c r="AM316" s="22"/>
      <c r="AN316" s="22"/>
      <c r="AO316" s="22"/>
      <c r="AS316" s="338"/>
      <c r="AT316" s="339"/>
      <c r="AW316" s="339"/>
      <c r="AX316" s="237"/>
      <c r="AY316" s="101"/>
      <c r="AZ316" s="242"/>
      <c r="BB316" s="101"/>
      <c r="BC316" s="199"/>
      <c r="BD316" s="199"/>
      <c r="BG316" s="22"/>
    </row>
    <row r="317" spans="1:59" s="96" customFormat="1" ht="30" customHeight="1">
      <c r="A317" s="21"/>
      <c r="C317" s="22"/>
      <c r="D317" s="97"/>
      <c r="E317" s="22"/>
      <c r="F317" s="69"/>
      <c r="G317" s="69"/>
      <c r="H317" s="70"/>
      <c r="I317" s="71"/>
      <c r="J317" s="76"/>
      <c r="K317" s="71"/>
      <c r="L317" s="72"/>
      <c r="M317" s="72"/>
      <c r="N317" s="73"/>
      <c r="O317" s="73"/>
      <c r="P317" s="74"/>
      <c r="Q317" s="74"/>
      <c r="R317" s="21"/>
      <c r="S317" s="99"/>
      <c r="T317" s="22"/>
      <c r="U317" s="97"/>
      <c r="V317" s="355"/>
      <c r="W317" s="72"/>
      <c r="X317" s="394"/>
      <c r="Y317" s="97"/>
      <c r="AG317" s="102"/>
      <c r="AH317" s="174"/>
      <c r="AI317" s="22"/>
      <c r="AJ317" s="101"/>
      <c r="AK317" s="101"/>
      <c r="AL317" s="99"/>
      <c r="AM317" s="22"/>
      <c r="AN317" s="22"/>
      <c r="AO317" s="22"/>
      <c r="AS317" s="338"/>
      <c r="AT317" s="339"/>
      <c r="AW317" s="339"/>
      <c r="AX317" s="237"/>
      <c r="AY317" s="101"/>
      <c r="AZ317" s="242"/>
      <c r="BB317" s="101"/>
      <c r="BC317" s="199"/>
      <c r="BD317" s="199"/>
      <c r="BG317" s="22"/>
    </row>
    <row r="318" spans="1:59" s="96" customFormat="1" ht="30" customHeight="1">
      <c r="A318" s="21"/>
      <c r="C318" s="22"/>
      <c r="D318" s="97"/>
      <c r="E318" s="22"/>
      <c r="F318" s="69"/>
      <c r="G318" s="69"/>
      <c r="H318" s="70"/>
      <c r="I318" s="71"/>
      <c r="J318" s="76"/>
      <c r="K318" s="71"/>
      <c r="L318" s="72"/>
      <c r="M318" s="72"/>
      <c r="N318" s="73"/>
      <c r="O318" s="73"/>
      <c r="P318" s="74"/>
      <c r="Q318" s="74"/>
      <c r="R318" s="21"/>
      <c r="S318" s="99"/>
      <c r="T318" s="22"/>
      <c r="U318" s="97"/>
      <c r="V318" s="355"/>
      <c r="W318" s="72"/>
      <c r="X318" s="394"/>
      <c r="Y318" s="97"/>
      <c r="AG318" s="102"/>
      <c r="AH318" s="174"/>
      <c r="AI318" s="22"/>
      <c r="AJ318" s="101"/>
      <c r="AK318" s="101"/>
      <c r="AL318" s="99"/>
      <c r="AM318" s="22"/>
      <c r="AN318" s="22"/>
      <c r="AO318" s="22"/>
      <c r="AS318" s="338"/>
      <c r="AT318" s="339"/>
      <c r="AW318" s="339"/>
      <c r="AX318" s="237"/>
      <c r="AY318" s="101"/>
      <c r="AZ318" s="242"/>
      <c r="BB318" s="101"/>
      <c r="BC318" s="199"/>
      <c r="BD318" s="199"/>
      <c r="BG318" s="22"/>
    </row>
    <row r="319" spans="1:59" s="96" customFormat="1" ht="30" customHeight="1">
      <c r="A319" s="21"/>
      <c r="C319" s="22"/>
      <c r="D319" s="97"/>
      <c r="E319" s="22"/>
      <c r="F319" s="69"/>
      <c r="G319" s="69"/>
      <c r="H319" s="70"/>
      <c r="I319" s="71"/>
      <c r="J319" s="76"/>
      <c r="K319" s="71"/>
      <c r="L319" s="72"/>
      <c r="M319" s="72"/>
      <c r="N319" s="73"/>
      <c r="O319" s="73"/>
      <c r="P319" s="74"/>
      <c r="Q319" s="74"/>
      <c r="R319" s="21"/>
      <c r="S319" s="99"/>
      <c r="T319" s="22"/>
      <c r="U319" s="97"/>
      <c r="V319" s="355"/>
      <c r="W319" s="72"/>
      <c r="X319" s="394"/>
      <c r="Y319" s="97"/>
      <c r="AG319" s="102"/>
      <c r="AH319" s="174"/>
      <c r="AI319" s="22"/>
      <c r="AJ319" s="101"/>
      <c r="AK319" s="101"/>
      <c r="AL319" s="99"/>
      <c r="AM319" s="22"/>
      <c r="AN319" s="22"/>
      <c r="AO319" s="22"/>
      <c r="AS319" s="338"/>
      <c r="AT319" s="339"/>
      <c r="AW319" s="339"/>
      <c r="AX319" s="237"/>
      <c r="AY319" s="101"/>
      <c r="AZ319" s="242"/>
      <c r="BB319" s="101"/>
      <c r="BC319" s="199"/>
      <c r="BD319" s="199"/>
      <c r="BG319" s="22"/>
    </row>
    <row r="320" spans="1:59" s="96" customFormat="1" ht="30" customHeight="1">
      <c r="A320" s="21"/>
      <c r="C320" s="22"/>
      <c r="D320" s="97"/>
      <c r="E320" s="22"/>
      <c r="F320" s="69"/>
      <c r="G320" s="69"/>
      <c r="H320" s="70"/>
      <c r="I320" s="71"/>
      <c r="J320" s="76"/>
      <c r="K320" s="71"/>
      <c r="L320" s="72"/>
      <c r="M320" s="72"/>
      <c r="N320" s="73"/>
      <c r="O320" s="73"/>
      <c r="P320" s="74"/>
      <c r="Q320" s="74"/>
      <c r="R320" s="21"/>
      <c r="S320" s="99"/>
      <c r="T320" s="22"/>
      <c r="U320" s="97"/>
      <c r="V320" s="355"/>
      <c r="W320" s="72"/>
      <c r="X320" s="394"/>
      <c r="Y320" s="97"/>
      <c r="AG320" s="102"/>
      <c r="AH320" s="174"/>
      <c r="AI320" s="22"/>
      <c r="AJ320" s="101"/>
      <c r="AK320" s="101"/>
      <c r="AL320" s="99"/>
      <c r="AM320" s="22"/>
      <c r="AN320" s="22"/>
      <c r="AO320" s="22"/>
      <c r="AS320" s="338"/>
      <c r="AT320" s="339"/>
      <c r="AW320" s="339"/>
      <c r="AX320" s="237"/>
      <c r="AY320" s="101"/>
      <c r="AZ320" s="242"/>
      <c r="BB320" s="101"/>
      <c r="BC320" s="199"/>
      <c r="BD320" s="199"/>
      <c r="BG320" s="22"/>
    </row>
    <row r="321" spans="1:59" s="96" customFormat="1" ht="30" customHeight="1">
      <c r="A321" s="21"/>
      <c r="C321" s="22"/>
      <c r="D321" s="97"/>
      <c r="E321" s="22"/>
      <c r="F321" s="69"/>
      <c r="G321" s="69"/>
      <c r="H321" s="70"/>
      <c r="I321" s="71"/>
      <c r="J321" s="76"/>
      <c r="K321" s="71"/>
      <c r="L321" s="72"/>
      <c r="M321" s="72"/>
      <c r="N321" s="73"/>
      <c r="O321" s="73"/>
      <c r="P321" s="74"/>
      <c r="Q321" s="74"/>
      <c r="R321" s="21"/>
      <c r="S321" s="99"/>
      <c r="T321" s="22"/>
      <c r="U321" s="97"/>
      <c r="V321" s="355"/>
      <c r="W321" s="72"/>
      <c r="X321" s="394"/>
      <c r="Y321" s="97"/>
      <c r="AG321" s="102"/>
      <c r="AH321" s="174"/>
      <c r="AI321" s="22"/>
      <c r="AJ321" s="101"/>
      <c r="AK321" s="101"/>
      <c r="AL321" s="99"/>
      <c r="AM321" s="22"/>
      <c r="AN321" s="22"/>
      <c r="AO321" s="22"/>
      <c r="AS321" s="338"/>
      <c r="AT321" s="339"/>
      <c r="AW321" s="339"/>
      <c r="AX321" s="237"/>
      <c r="AY321" s="101"/>
      <c r="AZ321" s="242"/>
      <c r="BB321" s="101"/>
      <c r="BC321" s="199"/>
      <c r="BD321" s="199"/>
      <c r="BG321" s="22"/>
    </row>
    <row r="322" spans="1:59" s="96" customFormat="1" ht="30" customHeight="1">
      <c r="A322" s="21"/>
      <c r="C322" s="22"/>
      <c r="D322" s="97"/>
      <c r="E322" s="22"/>
      <c r="F322" s="69"/>
      <c r="G322" s="69"/>
      <c r="H322" s="70"/>
      <c r="I322" s="71"/>
      <c r="J322" s="76"/>
      <c r="K322" s="71"/>
      <c r="L322" s="72"/>
      <c r="M322" s="72"/>
      <c r="N322" s="73"/>
      <c r="O322" s="73"/>
      <c r="P322" s="74"/>
      <c r="Q322" s="74"/>
      <c r="R322" s="21"/>
      <c r="S322" s="99"/>
      <c r="T322" s="22"/>
      <c r="U322" s="97"/>
      <c r="V322" s="355"/>
      <c r="W322" s="72"/>
      <c r="X322" s="394"/>
      <c r="Y322" s="97"/>
      <c r="AG322" s="102"/>
      <c r="AH322" s="174"/>
      <c r="AI322" s="22"/>
      <c r="AJ322" s="101"/>
      <c r="AK322" s="101"/>
      <c r="AL322" s="99"/>
      <c r="AM322" s="22"/>
      <c r="AN322" s="22"/>
      <c r="AO322" s="22"/>
      <c r="AS322" s="338"/>
      <c r="AT322" s="339"/>
      <c r="AW322" s="339"/>
      <c r="AX322" s="237"/>
      <c r="AY322" s="101"/>
      <c r="AZ322" s="242"/>
      <c r="BB322" s="101"/>
      <c r="BC322" s="199"/>
      <c r="BD322" s="199"/>
      <c r="BG322" s="22"/>
    </row>
    <row r="323" spans="1:59" s="96" customFormat="1" ht="30" customHeight="1">
      <c r="A323" s="21"/>
      <c r="C323" s="22"/>
      <c r="D323" s="97"/>
      <c r="E323" s="22"/>
      <c r="F323" s="69"/>
      <c r="G323" s="69"/>
      <c r="H323" s="70"/>
      <c r="I323" s="71"/>
      <c r="J323" s="76"/>
      <c r="K323" s="71"/>
      <c r="L323" s="72"/>
      <c r="M323" s="72"/>
      <c r="N323" s="73"/>
      <c r="O323" s="73"/>
      <c r="P323" s="74"/>
      <c r="Q323" s="74"/>
      <c r="R323" s="21"/>
      <c r="S323" s="99"/>
      <c r="T323" s="22"/>
      <c r="U323" s="97"/>
      <c r="V323" s="355"/>
      <c r="W323" s="72"/>
      <c r="X323" s="394"/>
      <c r="Y323" s="97"/>
      <c r="AG323" s="102"/>
      <c r="AH323" s="174"/>
      <c r="AI323" s="22"/>
      <c r="AJ323" s="101"/>
      <c r="AK323" s="101"/>
      <c r="AL323" s="99"/>
      <c r="AM323" s="22"/>
      <c r="AN323" s="22"/>
      <c r="AO323" s="22"/>
      <c r="AS323" s="338"/>
      <c r="AT323" s="339"/>
      <c r="AW323" s="339"/>
      <c r="AX323" s="237"/>
      <c r="AY323" s="101"/>
      <c r="AZ323" s="242"/>
      <c r="BB323" s="101"/>
      <c r="BC323" s="199"/>
      <c r="BD323" s="199"/>
      <c r="BG323" s="22"/>
    </row>
    <row r="324" spans="1:59" s="96" customFormat="1" ht="30" customHeight="1">
      <c r="A324" s="21"/>
      <c r="C324" s="22"/>
      <c r="D324" s="97"/>
      <c r="E324" s="22"/>
      <c r="F324" s="69"/>
      <c r="G324" s="69"/>
      <c r="H324" s="70"/>
      <c r="I324" s="71"/>
      <c r="J324" s="76"/>
      <c r="K324" s="71"/>
      <c r="L324" s="72"/>
      <c r="M324" s="72"/>
      <c r="N324" s="73"/>
      <c r="O324" s="73"/>
      <c r="P324" s="74"/>
      <c r="Q324" s="74"/>
      <c r="R324" s="21"/>
      <c r="S324" s="99"/>
      <c r="T324" s="22"/>
      <c r="U324" s="97"/>
      <c r="V324" s="355"/>
      <c r="W324" s="72"/>
      <c r="X324" s="394"/>
      <c r="Y324" s="97"/>
      <c r="AG324" s="102"/>
      <c r="AH324" s="174"/>
      <c r="AI324" s="22"/>
      <c r="AJ324" s="101"/>
      <c r="AK324" s="101"/>
      <c r="AL324" s="99"/>
      <c r="AM324" s="22"/>
      <c r="AN324" s="22"/>
      <c r="AO324" s="22"/>
      <c r="AS324" s="338"/>
      <c r="AT324" s="339"/>
      <c r="AW324" s="339"/>
      <c r="AX324" s="237"/>
      <c r="AY324" s="101"/>
      <c r="AZ324" s="242"/>
      <c r="BB324" s="101"/>
      <c r="BC324" s="199"/>
      <c r="BD324" s="199"/>
      <c r="BG324" s="22"/>
    </row>
    <row r="325" spans="1:59" s="96" customFormat="1" ht="30" customHeight="1">
      <c r="A325" s="21"/>
      <c r="C325" s="22"/>
      <c r="D325" s="97"/>
      <c r="E325" s="22"/>
      <c r="F325" s="69"/>
      <c r="G325" s="69"/>
      <c r="H325" s="70"/>
      <c r="I325" s="71"/>
      <c r="J325" s="76"/>
      <c r="K325" s="71"/>
      <c r="L325" s="72"/>
      <c r="M325" s="72"/>
      <c r="N325" s="73"/>
      <c r="O325" s="73"/>
      <c r="P325" s="74"/>
      <c r="Q325" s="74"/>
      <c r="R325" s="21"/>
      <c r="S325" s="99"/>
      <c r="T325" s="22"/>
      <c r="U325" s="97"/>
      <c r="V325" s="355"/>
      <c r="W325" s="72"/>
      <c r="X325" s="394"/>
      <c r="Y325" s="97"/>
      <c r="AG325" s="102"/>
      <c r="AH325" s="174"/>
      <c r="AI325" s="22"/>
      <c r="AJ325" s="101"/>
      <c r="AK325" s="101"/>
      <c r="AL325" s="99"/>
      <c r="AM325" s="22"/>
      <c r="AN325" s="22"/>
      <c r="AO325" s="22"/>
      <c r="AS325" s="338"/>
      <c r="AT325" s="339"/>
      <c r="AW325" s="339"/>
      <c r="AX325" s="237"/>
      <c r="AY325" s="101"/>
      <c r="AZ325" s="242"/>
      <c r="BB325" s="101"/>
      <c r="BC325" s="199"/>
      <c r="BD325" s="199"/>
      <c r="BG325" s="22"/>
    </row>
    <row r="326" spans="1:59" s="96" customFormat="1" ht="30" customHeight="1">
      <c r="A326" s="21"/>
      <c r="C326" s="22"/>
      <c r="D326" s="97"/>
      <c r="E326" s="22"/>
      <c r="F326" s="69"/>
      <c r="G326" s="69"/>
      <c r="H326" s="70"/>
      <c r="I326" s="71"/>
      <c r="J326" s="76"/>
      <c r="K326" s="71"/>
      <c r="L326" s="72"/>
      <c r="M326" s="72"/>
      <c r="N326" s="73"/>
      <c r="O326" s="73"/>
      <c r="P326" s="74"/>
      <c r="Q326" s="74"/>
      <c r="R326" s="21"/>
      <c r="S326" s="99"/>
      <c r="T326" s="22"/>
      <c r="U326" s="97"/>
      <c r="V326" s="355"/>
      <c r="W326" s="72"/>
      <c r="X326" s="394"/>
      <c r="Y326" s="97"/>
      <c r="AG326" s="102"/>
      <c r="AH326" s="174"/>
      <c r="AI326" s="22"/>
      <c r="AJ326" s="101"/>
      <c r="AK326" s="101"/>
      <c r="AL326" s="99"/>
      <c r="AM326" s="22"/>
      <c r="AN326" s="22"/>
      <c r="AO326" s="22"/>
      <c r="AS326" s="338"/>
      <c r="AT326" s="339"/>
      <c r="AW326" s="339"/>
      <c r="AX326" s="237"/>
      <c r="AY326" s="101"/>
      <c r="AZ326" s="242"/>
      <c r="BB326" s="101"/>
      <c r="BC326" s="199"/>
      <c r="BD326" s="199"/>
      <c r="BG326" s="22"/>
    </row>
    <row r="327" spans="1:59" s="96" customFormat="1" ht="30" customHeight="1">
      <c r="A327" s="21"/>
      <c r="C327" s="22"/>
      <c r="D327" s="97"/>
      <c r="E327" s="22"/>
      <c r="F327" s="69"/>
      <c r="G327" s="69"/>
      <c r="H327" s="70"/>
      <c r="I327" s="71"/>
      <c r="J327" s="76"/>
      <c r="K327" s="71"/>
      <c r="L327" s="72"/>
      <c r="M327" s="72"/>
      <c r="N327" s="73"/>
      <c r="O327" s="73"/>
      <c r="P327" s="74"/>
      <c r="Q327" s="74"/>
      <c r="R327" s="21"/>
      <c r="S327" s="99"/>
      <c r="T327" s="22"/>
      <c r="U327" s="97"/>
      <c r="V327" s="355"/>
      <c r="W327" s="72"/>
      <c r="X327" s="394"/>
      <c r="Y327" s="97"/>
      <c r="AG327" s="102"/>
      <c r="AH327" s="174"/>
      <c r="AI327" s="22"/>
      <c r="AJ327" s="101"/>
      <c r="AK327" s="101"/>
      <c r="AL327" s="99"/>
      <c r="AM327" s="22"/>
      <c r="AN327" s="22"/>
      <c r="AO327" s="22"/>
      <c r="AS327" s="338"/>
      <c r="AT327" s="339"/>
      <c r="AW327" s="339"/>
      <c r="AX327" s="237"/>
      <c r="AY327" s="101"/>
      <c r="AZ327" s="242"/>
      <c r="BB327" s="101"/>
      <c r="BC327" s="199"/>
      <c r="BD327" s="199"/>
      <c r="BG327" s="22"/>
    </row>
    <row r="328" spans="1:59" s="96" customFormat="1" ht="30" customHeight="1">
      <c r="A328" s="21"/>
      <c r="C328" s="22"/>
      <c r="D328" s="97"/>
      <c r="E328" s="22"/>
      <c r="F328" s="69"/>
      <c r="G328" s="69"/>
      <c r="H328" s="70"/>
      <c r="I328" s="71"/>
      <c r="J328" s="76"/>
      <c r="K328" s="71"/>
      <c r="L328" s="72"/>
      <c r="M328" s="72"/>
      <c r="N328" s="73"/>
      <c r="O328" s="73"/>
      <c r="P328" s="74"/>
      <c r="Q328" s="74"/>
      <c r="R328" s="21"/>
      <c r="S328" s="99"/>
      <c r="T328" s="22"/>
      <c r="U328" s="97"/>
      <c r="V328" s="355"/>
      <c r="W328" s="72"/>
      <c r="X328" s="394"/>
      <c r="Y328" s="97"/>
      <c r="AG328" s="102"/>
      <c r="AH328" s="174"/>
      <c r="AI328" s="22"/>
      <c r="AJ328" s="101"/>
      <c r="AK328" s="101"/>
      <c r="AL328" s="99"/>
      <c r="AM328" s="22"/>
      <c r="AN328" s="22"/>
      <c r="AO328" s="22"/>
      <c r="AS328" s="338"/>
      <c r="AT328" s="339"/>
      <c r="AW328" s="339"/>
      <c r="AX328" s="237"/>
      <c r="AY328" s="101"/>
      <c r="AZ328" s="242"/>
      <c r="BB328" s="101"/>
      <c r="BC328" s="199"/>
      <c r="BD328" s="199"/>
      <c r="BG328" s="22"/>
    </row>
    <row r="329" spans="1:59" s="96" customFormat="1" ht="30" customHeight="1">
      <c r="A329" s="21"/>
      <c r="C329" s="22"/>
      <c r="D329" s="97"/>
      <c r="E329" s="22"/>
      <c r="F329" s="69"/>
      <c r="G329" s="69"/>
      <c r="H329" s="70"/>
      <c r="I329" s="71"/>
      <c r="J329" s="76"/>
      <c r="K329" s="71"/>
      <c r="L329" s="72"/>
      <c r="M329" s="72"/>
      <c r="N329" s="73"/>
      <c r="O329" s="73"/>
      <c r="P329" s="74"/>
      <c r="Q329" s="74"/>
      <c r="R329" s="21"/>
      <c r="S329" s="99"/>
      <c r="T329" s="22"/>
      <c r="U329" s="97"/>
      <c r="V329" s="355"/>
      <c r="W329" s="72"/>
      <c r="X329" s="394"/>
      <c r="Y329" s="97"/>
      <c r="AG329" s="102"/>
      <c r="AH329" s="174"/>
      <c r="AI329" s="22"/>
      <c r="AJ329" s="101"/>
      <c r="AK329" s="101"/>
      <c r="AL329" s="99"/>
      <c r="AM329" s="22"/>
      <c r="AN329" s="22"/>
      <c r="AO329" s="22"/>
      <c r="AS329" s="338"/>
      <c r="AT329" s="339"/>
      <c r="AW329" s="339"/>
      <c r="AX329" s="237"/>
      <c r="AY329" s="101"/>
      <c r="AZ329" s="242"/>
      <c r="BB329" s="101"/>
      <c r="BC329" s="199"/>
      <c r="BD329" s="199"/>
      <c r="BG329" s="22"/>
    </row>
    <row r="330" spans="1:59" s="96" customFormat="1" ht="30" customHeight="1">
      <c r="A330" s="21"/>
      <c r="C330" s="22"/>
      <c r="D330" s="97"/>
      <c r="E330" s="22"/>
      <c r="F330" s="69"/>
      <c r="G330" s="69"/>
      <c r="H330" s="70"/>
      <c r="I330" s="71"/>
      <c r="J330" s="76"/>
      <c r="K330" s="71"/>
      <c r="L330" s="72"/>
      <c r="M330" s="72"/>
      <c r="N330" s="73"/>
      <c r="O330" s="73"/>
      <c r="P330" s="74"/>
      <c r="Q330" s="74"/>
      <c r="R330" s="21"/>
      <c r="S330" s="99"/>
      <c r="T330" s="22"/>
      <c r="U330" s="97"/>
      <c r="V330" s="355"/>
      <c r="W330" s="72"/>
      <c r="X330" s="394"/>
      <c r="Y330" s="97"/>
      <c r="AG330" s="102"/>
      <c r="AH330" s="174"/>
      <c r="AI330" s="22"/>
      <c r="AJ330" s="101"/>
      <c r="AK330" s="101"/>
      <c r="AL330" s="99"/>
      <c r="AM330" s="22"/>
      <c r="AN330" s="22"/>
      <c r="AO330" s="22"/>
      <c r="AS330" s="338"/>
      <c r="AT330" s="339"/>
      <c r="AW330" s="339"/>
      <c r="AX330" s="237"/>
      <c r="AY330" s="101"/>
      <c r="AZ330" s="242"/>
      <c r="BB330" s="101"/>
      <c r="BC330" s="199"/>
      <c r="BD330" s="199"/>
      <c r="BG330" s="22"/>
    </row>
    <row r="331" spans="1:59" s="96" customFormat="1" ht="30" customHeight="1">
      <c r="A331" s="21"/>
      <c r="C331" s="22"/>
      <c r="D331" s="97"/>
      <c r="E331" s="22"/>
      <c r="F331" s="69"/>
      <c r="G331" s="69"/>
      <c r="H331" s="70"/>
      <c r="I331" s="71"/>
      <c r="J331" s="76"/>
      <c r="K331" s="71"/>
      <c r="L331" s="72"/>
      <c r="M331" s="72"/>
      <c r="N331" s="73"/>
      <c r="O331" s="73"/>
      <c r="P331" s="74"/>
      <c r="Q331" s="74"/>
      <c r="R331" s="21"/>
      <c r="S331" s="99"/>
      <c r="T331" s="22"/>
      <c r="U331" s="97"/>
      <c r="V331" s="355"/>
      <c r="W331" s="72"/>
      <c r="X331" s="394"/>
      <c r="Y331" s="97"/>
      <c r="AG331" s="102"/>
      <c r="AH331" s="174"/>
      <c r="AI331" s="22"/>
      <c r="AJ331" s="101"/>
      <c r="AK331" s="101"/>
      <c r="AL331" s="99"/>
      <c r="AM331" s="22"/>
      <c r="AN331" s="22"/>
      <c r="AO331" s="22"/>
      <c r="AS331" s="338"/>
      <c r="AT331" s="339"/>
      <c r="AW331" s="339"/>
      <c r="AX331" s="237"/>
      <c r="AY331" s="101"/>
      <c r="AZ331" s="242"/>
      <c r="BB331" s="101"/>
      <c r="BC331" s="199"/>
      <c r="BD331" s="199"/>
      <c r="BG331" s="22"/>
    </row>
    <row r="332" spans="1:59" s="96" customFormat="1" ht="30" customHeight="1">
      <c r="A332" s="21"/>
      <c r="C332" s="22"/>
      <c r="D332" s="97"/>
      <c r="E332" s="22"/>
      <c r="F332" s="69"/>
      <c r="G332" s="69"/>
      <c r="H332" s="70"/>
      <c r="I332" s="71"/>
      <c r="J332" s="76"/>
      <c r="K332" s="71"/>
      <c r="L332" s="72"/>
      <c r="M332" s="72"/>
      <c r="N332" s="73"/>
      <c r="O332" s="73"/>
      <c r="P332" s="74"/>
      <c r="Q332" s="74"/>
      <c r="R332" s="21"/>
      <c r="S332" s="99"/>
      <c r="T332" s="22"/>
      <c r="U332" s="97"/>
      <c r="V332" s="355"/>
      <c r="W332" s="72"/>
      <c r="X332" s="394"/>
      <c r="Y332" s="97"/>
      <c r="AG332" s="102"/>
      <c r="AH332" s="174"/>
      <c r="AI332" s="22"/>
      <c r="AJ332" s="101"/>
      <c r="AK332" s="101"/>
      <c r="AL332" s="99"/>
      <c r="AM332" s="22"/>
      <c r="AN332" s="22"/>
      <c r="AO332" s="22"/>
      <c r="AS332" s="338"/>
      <c r="AT332" s="339"/>
      <c r="AW332" s="339"/>
      <c r="AX332" s="237"/>
      <c r="AY332" s="101"/>
      <c r="AZ332" s="242"/>
      <c r="BB332" s="101"/>
      <c r="BC332" s="199"/>
      <c r="BD332" s="199"/>
      <c r="BG332" s="22"/>
    </row>
    <row r="333" spans="1:59" s="96" customFormat="1" ht="30" customHeight="1">
      <c r="A333" s="21"/>
      <c r="C333" s="22"/>
      <c r="D333" s="97"/>
      <c r="E333" s="22"/>
      <c r="F333" s="69"/>
      <c r="G333" s="69"/>
      <c r="H333" s="70"/>
      <c r="I333" s="71"/>
      <c r="J333" s="76"/>
      <c r="K333" s="71"/>
      <c r="L333" s="72"/>
      <c r="M333" s="72"/>
      <c r="N333" s="73"/>
      <c r="O333" s="73"/>
      <c r="P333" s="74"/>
      <c r="Q333" s="74"/>
      <c r="R333" s="21"/>
      <c r="S333" s="99"/>
      <c r="T333" s="22"/>
      <c r="U333" s="97"/>
      <c r="V333" s="355"/>
      <c r="W333" s="72"/>
      <c r="X333" s="394"/>
      <c r="Y333" s="97"/>
      <c r="AG333" s="102"/>
      <c r="AH333" s="174"/>
      <c r="AI333" s="22"/>
      <c r="AJ333" s="101"/>
      <c r="AK333" s="101"/>
      <c r="AL333" s="99"/>
      <c r="AM333" s="22"/>
      <c r="AN333" s="22"/>
      <c r="AO333" s="22"/>
      <c r="AS333" s="338"/>
      <c r="AT333" s="339"/>
      <c r="AW333" s="339"/>
      <c r="AX333" s="237"/>
      <c r="AY333" s="101"/>
      <c r="AZ333" s="242"/>
      <c r="BB333" s="101"/>
      <c r="BC333" s="199"/>
      <c r="BD333" s="199"/>
      <c r="BG333" s="22"/>
    </row>
    <row r="334" spans="1:59" s="96" customFormat="1" ht="30" customHeight="1">
      <c r="A334" s="21"/>
      <c r="C334" s="22"/>
      <c r="D334" s="97"/>
      <c r="E334" s="22"/>
      <c r="F334" s="69"/>
      <c r="G334" s="69"/>
      <c r="H334" s="70"/>
      <c r="I334" s="71"/>
      <c r="J334" s="76"/>
      <c r="K334" s="71"/>
      <c r="L334" s="72"/>
      <c r="M334" s="72"/>
      <c r="N334" s="73"/>
      <c r="O334" s="73"/>
      <c r="P334" s="74"/>
      <c r="Q334" s="74"/>
      <c r="R334" s="21"/>
      <c r="S334" s="99"/>
      <c r="T334" s="22"/>
      <c r="U334" s="97"/>
      <c r="V334" s="355"/>
      <c r="W334" s="72"/>
      <c r="X334" s="394"/>
      <c r="Y334" s="97"/>
      <c r="AG334" s="102"/>
      <c r="AH334" s="174"/>
      <c r="AI334" s="22"/>
      <c r="AJ334" s="101"/>
      <c r="AK334" s="101"/>
      <c r="AL334" s="99"/>
      <c r="AM334" s="22"/>
      <c r="AN334" s="22"/>
      <c r="AO334" s="22"/>
      <c r="AS334" s="338"/>
      <c r="AT334" s="339"/>
      <c r="AW334" s="339"/>
      <c r="AX334" s="237"/>
      <c r="AY334" s="101"/>
      <c r="AZ334" s="242"/>
      <c r="BB334" s="101"/>
      <c r="BC334" s="199"/>
      <c r="BD334" s="199"/>
      <c r="BG334" s="22"/>
    </row>
    <row r="335" spans="1:59" s="96" customFormat="1" ht="30" customHeight="1">
      <c r="A335" s="21"/>
      <c r="C335" s="22"/>
      <c r="D335" s="97"/>
      <c r="E335" s="22"/>
      <c r="F335" s="69"/>
      <c r="G335" s="69"/>
      <c r="H335" s="70"/>
      <c r="I335" s="71"/>
      <c r="J335" s="76"/>
      <c r="K335" s="71"/>
      <c r="L335" s="72"/>
      <c r="M335" s="72"/>
      <c r="N335" s="73"/>
      <c r="O335" s="73"/>
      <c r="P335" s="74"/>
      <c r="Q335" s="74"/>
      <c r="R335" s="21"/>
      <c r="S335" s="99"/>
      <c r="T335" s="22"/>
      <c r="U335" s="97"/>
      <c r="V335" s="355"/>
      <c r="W335" s="72"/>
      <c r="X335" s="394"/>
      <c r="Y335" s="97"/>
      <c r="AG335" s="102"/>
      <c r="AH335" s="174"/>
      <c r="AI335" s="22"/>
      <c r="AJ335" s="101"/>
      <c r="AK335" s="101"/>
      <c r="AL335" s="99"/>
      <c r="AM335" s="22"/>
      <c r="AN335" s="22"/>
      <c r="AO335" s="22"/>
      <c r="AS335" s="338"/>
      <c r="AT335" s="339"/>
      <c r="AW335" s="339"/>
      <c r="AX335" s="237"/>
      <c r="AY335" s="101"/>
      <c r="AZ335" s="242"/>
      <c r="BB335" s="101"/>
      <c r="BC335" s="199"/>
      <c r="BD335" s="199"/>
      <c r="BG335" s="22"/>
    </row>
    <row r="336" spans="1:59" s="96" customFormat="1" ht="30" customHeight="1">
      <c r="A336" s="21"/>
      <c r="C336" s="22"/>
      <c r="D336" s="97"/>
      <c r="E336" s="22"/>
      <c r="F336" s="69"/>
      <c r="G336" s="69"/>
      <c r="H336" s="70"/>
      <c r="I336" s="71"/>
      <c r="J336" s="76"/>
      <c r="K336" s="71"/>
      <c r="L336" s="72"/>
      <c r="M336" s="72"/>
      <c r="N336" s="73"/>
      <c r="O336" s="73"/>
      <c r="P336" s="74"/>
      <c r="Q336" s="74"/>
      <c r="R336" s="21"/>
      <c r="S336" s="99"/>
      <c r="T336" s="22"/>
      <c r="U336" s="97"/>
      <c r="V336" s="355"/>
      <c r="W336" s="72"/>
      <c r="X336" s="394"/>
      <c r="Y336" s="97"/>
      <c r="AG336" s="102"/>
      <c r="AH336" s="174"/>
      <c r="AI336" s="22"/>
      <c r="AJ336" s="101"/>
      <c r="AK336" s="101"/>
      <c r="AL336" s="99"/>
      <c r="AM336" s="22"/>
      <c r="AN336" s="22"/>
      <c r="AO336" s="22"/>
      <c r="AS336" s="338"/>
      <c r="AT336" s="339"/>
      <c r="AW336" s="339"/>
      <c r="AX336" s="237"/>
      <c r="AY336" s="101"/>
      <c r="AZ336" s="242"/>
      <c r="BB336" s="101"/>
      <c r="BC336" s="199"/>
      <c r="BD336" s="199"/>
      <c r="BG336" s="22"/>
    </row>
    <row r="337" spans="1:59" s="96" customFormat="1" ht="30" customHeight="1">
      <c r="A337" s="21"/>
      <c r="C337" s="22"/>
      <c r="D337" s="97"/>
      <c r="E337" s="22"/>
      <c r="F337" s="69"/>
      <c r="G337" s="69"/>
      <c r="H337" s="70"/>
      <c r="I337" s="71"/>
      <c r="J337" s="76"/>
      <c r="K337" s="71"/>
      <c r="L337" s="72"/>
      <c r="M337" s="72"/>
      <c r="N337" s="73"/>
      <c r="O337" s="73"/>
      <c r="P337" s="74"/>
      <c r="Q337" s="74"/>
      <c r="R337" s="21"/>
      <c r="S337" s="99"/>
      <c r="T337" s="22"/>
      <c r="U337" s="97"/>
      <c r="V337" s="355"/>
      <c r="W337" s="72"/>
      <c r="X337" s="394"/>
      <c r="Y337" s="97"/>
      <c r="AG337" s="102"/>
      <c r="AH337" s="174"/>
      <c r="AI337" s="22"/>
      <c r="AJ337" s="101"/>
      <c r="AK337" s="101"/>
      <c r="AL337" s="99"/>
      <c r="AM337" s="22"/>
      <c r="AN337" s="22"/>
      <c r="AO337" s="22"/>
      <c r="AS337" s="338"/>
      <c r="AT337" s="339"/>
      <c r="AW337" s="339"/>
      <c r="AX337" s="237"/>
      <c r="AY337" s="101"/>
      <c r="AZ337" s="242"/>
      <c r="BB337" s="101"/>
      <c r="BC337" s="199"/>
      <c r="BD337" s="199"/>
      <c r="BG337" s="22"/>
    </row>
    <row r="338" spans="1:59" s="96" customFormat="1" ht="30" customHeight="1">
      <c r="A338" s="21"/>
      <c r="C338" s="22"/>
      <c r="D338" s="97"/>
      <c r="E338" s="22"/>
      <c r="F338" s="69"/>
      <c r="G338" s="69"/>
      <c r="H338" s="70"/>
      <c r="I338" s="71"/>
      <c r="J338" s="71"/>
      <c r="K338" s="71"/>
      <c r="L338" s="72"/>
      <c r="M338" s="72"/>
      <c r="N338" s="73"/>
      <c r="O338" s="73"/>
      <c r="P338" s="74"/>
      <c r="Q338" s="74"/>
      <c r="R338" s="21"/>
      <c r="S338" s="99"/>
      <c r="T338" s="22"/>
      <c r="U338" s="97"/>
      <c r="V338" s="2"/>
      <c r="W338" s="22"/>
      <c r="X338" s="394"/>
      <c r="Y338" s="97"/>
      <c r="AH338" s="174"/>
      <c r="AI338" s="22"/>
      <c r="AJ338" s="101"/>
      <c r="AK338" s="101"/>
      <c r="AL338" s="99"/>
      <c r="AM338" s="22"/>
      <c r="AN338" s="22"/>
      <c r="AO338" s="22"/>
      <c r="AX338" s="101"/>
      <c r="AY338" s="101"/>
      <c r="BB338" s="101"/>
      <c r="BC338" s="199"/>
      <c r="BD338" s="199"/>
      <c r="BG338" s="22"/>
    </row>
    <row r="339" spans="1:59" s="96" customFormat="1" ht="30" customHeight="1">
      <c r="A339" s="21"/>
      <c r="C339" s="22"/>
      <c r="D339" s="97"/>
      <c r="E339" s="22"/>
      <c r="F339" s="69"/>
      <c r="G339" s="69"/>
      <c r="H339" s="70"/>
      <c r="I339" s="71"/>
      <c r="J339" s="71"/>
      <c r="K339" s="71"/>
      <c r="L339" s="72"/>
      <c r="M339" s="72"/>
      <c r="N339" s="73"/>
      <c r="O339" s="73"/>
      <c r="P339" s="74"/>
      <c r="Q339" s="74"/>
      <c r="R339" s="22"/>
      <c r="S339" s="99"/>
      <c r="T339" s="22"/>
      <c r="U339" s="97"/>
      <c r="V339" s="22"/>
      <c r="W339" s="72"/>
      <c r="X339" s="394"/>
      <c r="Y339" s="97"/>
      <c r="AG339" s="102"/>
      <c r="AH339" s="110"/>
      <c r="AI339" s="22"/>
      <c r="AJ339" s="101"/>
      <c r="AK339" s="101"/>
      <c r="AL339" s="99"/>
      <c r="AM339" s="22"/>
      <c r="AN339" s="22"/>
    </row>
    <row r="340" spans="1:59" s="96" customFormat="1" ht="30" customHeight="1">
      <c r="A340" s="21"/>
      <c r="C340" s="22"/>
      <c r="D340" s="97"/>
      <c r="E340" s="22"/>
      <c r="F340" s="69"/>
      <c r="G340" s="69"/>
      <c r="H340" s="70"/>
      <c r="I340" s="71"/>
      <c r="J340" s="71"/>
      <c r="K340" s="71"/>
      <c r="L340" s="72"/>
      <c r="M340" s="72"/>
      <c r="N340" s="73"/>
      <c r="O340" s="98"/>
      <c r="P340" s="74"/>
      <c r="Q340" s="74"/>
      <c r="R340" s="21"/>
      <c r="S340" s="99"/>
      <c r="T340" s="22"/>
      <c r="U340" s="97"/>
      <c r="V340" s="22"/>
      <c r="W340" s="72"/>
      <c r="X340" s="394"/>
      <c r="Y340" s="97"/>
      <c r="AA340" s="101"/>
      <c r="AD340" s="101"/>
      <c r="AG340" s="102"/>
      <c r="AH340" s="110"/>
      <c r="AI340" s="22"/>
      <c r="AJ340" s="101"/>
      <c r="AK340" s="101"/>
      <c r="AL340" s="99"/>
      <c r="AM340" s="22"/>
      <c r="AN340" s="22"/>
    </row>
    <row r="341" spans="1:59" s="341" customFormat="1" ht="30" customHeight="1">
      <c r="A341" s="105" t="s">
        <v>4377</v>
      </c>
      <c r="B341" s="340"/>
      <c r="C341" s="106"/>
      <c r="D341" s="106"/>
      <c r="E341" s="106"/>
      <c r="F341" s="107"/>
      <c r="G341" s="107"/>
      <c r="H341" s="107"/>
      <c r="I341" s="106"/>
      <c r="J341" s="106"/>
      <c r="K341" s="106"/>
      <c r="L341" s="108"/>
      <c r="M341" s="108"/>
      <c r="N341" s="107"/>
      <c r="O341" s="107"/>
      <c r="P341" s="109"/>
      <c r="Q341" s="109"/>
      <c r="R341" s="106"/>
      <c r="S341" s="340"/>
      <c r="T341" s="106"/>
      <c r="U341" s="106"/>
      <c r="V341" s="340"/>
      <c r="W341" s="340"/>
      <c r="X341" s="395"/>
      <c r="Y341" s="340"/>
      <c r="Z341" s="340"/>
      <c r="AA341" s="340"/>
      <c r="AB341" s="340"/>
      <c r="AC341" s="340"/>
      <c r="AD341" s="340"/>
      <c r="AE341" s="340"/>
      <c r="AF341" s="340"/>
      <c r="AG341" s="340"/>
      <c r="AH341" s="340"/>
      <c r="AI341" s="340"/>
      <c r="AJ341" s="340"/>
      <c r="AK341" s="340"/>
      <c r="AL341" s="340"/>
    </row>
  </sheetData>
  <protectedRanges>
    <protectedRange algorithmName="SHA-512" hashValue="sRDgOKcEl5jy1KSg4IJK6vRCz4BHyNyVcuHOcp3iU+GwLN3dpuaNhgyDG/OitRUxePMvp31MmBNr1BtVk6xcow==" saltValue="ejPDi8IabNMCSdw++e6fKg==" spinCount="100000" sqref="A338:Q338" name="Range1_1_1"/>
    <protectedRange algorithmName="SHA-512" hashValue="sRDgOKcEl5jy1KSg4IJK6vRCz4BHyNyVcuHOcp3iU+GwLN3dpuaNhgyDG/OitRUxePMvp31MmBNr1BtVk6xcow==" saltValue="ejPDi8IabNMCSdw++e6fKg==" spinCount="100000" sqref="A303:N337 P303:Q337" name="Range1_5_1_1"/>
    <protectedRange algorithmName="SHA-512" hashValue="sRDgOKcEl5jy1KSg4IJK6vRCz4BHyNyVcuHOcp3iU+GwLN3dpuaNhgyDG/OitRUxePMvp31MmBNr1BtVk6xcow==" saltValue="ejPDi8IabNMCSdw++e6fKg==" spinCount="100000" sqref="B165:D165 B166:C166 I165:I166 A171:B173 D171:Q173 F165:G168 C167:C173 D178:E186 A188:E188 H188:Q188 A189:Q189 C190 F190:G191 P192 O191:O192 J191:K191 N209 P208:Q209 N208:O208 AH208:AH209 A240:Q241 I215:Q215 L216:M216 J217:Q217 L218:M218 Q218 C215:C219 AH216 AH218 F215:G219 J219:P219 A224:B224 B222:B223 P222:P223 D222:H223 D233:Q239 D232 F232:Q232 A210:Q214 D224:G224 A192:M209 N193:Q207 D226:P227 D228:Q228 A226:B228 D231:Q231 C224:C228 A174:C186 F174:Q186 D174:E176 A231:C239 J242:Q242 A243:Q246 A247:B247 D247:Q247 A248:A258 A260:A264 B248:Q264 A1:Q164" name="Range1_5"/>
    <protectedRange algorithmName="SHA-512" hashValue="sRDgOKcEl5jy1KSg4IJK6vRCz4BHyNyVcuHOcp3iU+GwLN3dpuaNhgyDG/OitRUxePMvp31MmBNr1BtVk6xcow==" saltValue="ejPDi8IabNMCSdw++e6fKg==" spinCount="100000" sqref="A187:Q187 F188:G188" name="Range1_2_1"/>
    <protectedRange algorithmName="SHA-512" hashValue="sRDgOKcEl5jy1KSg4IJK6vRCz4BHyNyVcuHOcp3iU+GwLN3dpuaNhgyDG/OitRUxePMvp31MmBNr1BtVk6xcow==" saltValue="ejPDi8IabNMCSdw++e6fKg==" spinCount="100000" sqref="AH68:AH69 AH72:AH73 AH160 AH118:AH119" name="Range1_11_1_1"/>
    <protectedRange algorithmName="SHA-512" hashValue="sRDgOKcEl5jy1KSg4IJK6vRCz4BHyNyVcuHOcp3iU+GwLN3dpuaNhgyDG/OitRUxePMvp31MmBNr1BtVk6xcow==" saltValue="ejPDi8IabNMCSdw++e6fKg==" spinCount="100000" sqref="F220:G221 J220:M223 O220:O223" name="Range1_4_1"/>
    <protectedRange algorithmName="SHA-512" hashValue="sRDgOKcEl5jy1KSg4IJK6vRCz4BHyNyVcuHOcp3iU+GwLN3dpuaNhgyDG/OitRUxePMvp31MmBNr1BtVk6xcow==" saltValue="ejPDi8IabNMCSdw++e6fKg==" spinCount="100000" sqref="AH229 AH245:AH246" name="Range1_3_1"/>
    <protectedRange algorithmName="SHA-512" hashValue="sRDgOKcEl5jy1KSg4IJK6vRCz4BHyNyVcuHOcp3iU+GwLN3dpuaNhgyDG/OitRUxePMvp31MmBNr1BtVk6xcow==" saltValue="ejPDi8IabNMCSdw++e6fKg==" spinCount="100000" sqref="A229:Q229" name="Range1_1_1_1"/>
    <protectedRange algorithmName="SHA-512" hashValue="sRDgOKcEl5jy1KSg4IJK6vRCz4BHyNyVcuHOcp3iU+GwLN3dpuaNhgyDG/OitRUxePMvp31MmBNr1BtVk6xcow==" saltValue="ejPDi8IabNMCSdw++e6fKg==" spinCount="100000" sqref="A242:I242" name="Range1_7_3"/>
    <protectedRange algorithmName="SHA-512" hashValue="sRDgOKcEl5jy1KSg4IJK6vRCz4BHyNyVcuHOcp3iU+GwLN3dpuaNhgyDG/OitRUxePMvp31MmBNr1BtVk6xcow==" saltValue="ejPDi8IabNMCSdw++e6fKg==" spinCount="100000" sqref="A265:Q281 O284:O289 P284:Q293 A284:N293 A295:Q295 A296:N298 P296:Q298 A299:Q300 A301:N302 P301:Q302" name="Range1_5_1_1_1"/>
    <protectedRange algorithmName="SHA-512" hashValue="sRDgOKcEl5jy1KSg4IJK6vRCz4BHyNyVcuHOcp3iU+GwLN3dpuaNhgyDG/OitRUxePMvp31MmBNr1BtVk6xcow==" saltValue="ejPDi8IabNMCSdw++e6fKg==" spinCount="100000" sqref="AH267:AH268" name="Range1_3_1_1_1"/>
    <protectedRange algorithmName="SHA-512" hashValue="sRDgOKcEl5jy1KSg4IJK6vRCz4BHyNyVcuHOcp3iU+GwLN3dpuaNhgyDG/OitRUxePMvp31MmBNr1BtVk6xcow==" saltValue="ejPDi8IabNMCSdw++e6fKg==" spinCount="100000" sqref="E282:G283 I282:K283 M282:M283 O282:O283" name="Range1_7_2_1_1_1"/>
    <protectedRange algorithmName="SHA-512" hashValue="sRDgOKcEl5jy1KSg4IJK6vRCz4BHyNyVcuHOcp3iU+GwLN3dpuaNhgyDG/OitRUxePMvp31MmBNr1BtVk6xcow==" saltValue="ejPDi8IabNMCSdw++e6fKg==" spinCount="100000" sqref="E294:G294 M294 O294 I294:K294" name="Range1_7_1_1_1_1"/>
  </protectedRanges>
  <autoFilter ref="A1:BG302" xr:uid="{5C18D36D-27B4-A04E-AF3E-F372DE6AD77A}"/>
  <sortState ref="A2:BG302">
    <sortCondition ref="A2:A302"/>
  </sortState>
  <conditionalFormatting sqref="R339">
    <cfRule type="expression" dxfId="429" priority="4259">
      <formula>"&lt;'Daily Spend'!$C$2"""</formula>
    </cfRule>
  </conditionalFormatting>
  <conditionalFormatting sqref="A339:I339 L339:N339 P339:R339 U339:V339 X339:AF339 AL339 AH342:AH1048576">
    <cfRule type="expression" dxfId="428" priority="4258">
      <formula>$W339="Cancelled"</formula>
    </cfRule>
  </conditionalFormatting>
  <conditionalFormatting sqref="J339:K339">
    <cfRule type="expression" dxfId="427" priority="4257">
      <formula>$W339="Cancelled"</formula>
    </cfRule>
  </conditionalFormatting>
  <conditionalFormatting sqref="O339">
    <cfRule type="expression" dxfId="426" priority="4256">
      <formula>$W339="Cancelled"</formula>
    </cfRule>
  </conditionalFormatting>
  <conditionalFormatting sqref="S339:T339">
    <cfRule type="expression" dxfId="425" priority="4255">
      <formula>$W339="Cancelled"</formula>
    </cfRule>
  </conditionalFormatting>
  <conditionalFormatting sqref="R340">
    <cfRule type="expression" dxfId="424" priority="4254">
      <formula>"&lt;'Daily Spend'!$C$2"""</formula>
    </cfRule>
  </conditionalFormatting>
  <conditionalFormatting sqref="A340:V340 X340:AF340 AL340">
    <cfRule type="expression" dxfId="423" priority="4253">
      <formula>$W340="Cancelled"</formula>
    </cfRule>
  </conditionalFormatting>
  <conditionalFormatting sqref="W340">
    <cfRule type="expression" dxfId="422" priority="4252">
      <formula>$W340="Cancelled"</formula>
    </cfRule>
  </conditionalFormatting>
  <conditionalFormatting sqref="AG340">
    <cfRule type="expression" dxfId="421" priority="4251">
      <formula>$W340="Cancelled"</formula>
    </cfRule>
  </conditionalFormatting>
  <conditionalFormatting sqref="W339">
    <cfRule type="expression" dxfId="420" priority="4250">
      <formula>$W339="Cancelled"</formula>
    </cfRule>
  </conditionalFormatting>
  <conditionalFormatting sqref="AG339">
    <cfRule type="expression" dxfId="419" priority="4249">
      <formula>$W339="Cancelled"</formula>
    </cfRule>
  </conditionalFormatting>
  <conditionalFormatting sqref="AH339:AK340">
    <cfRule type="expression" dxfId="418" priority="4248">
      <formula>$W339="Cancelled"</formula>
    </cfRule>
  </conditionalFormatting>
  <conditionalFormatting sqref="AH339:AH340">
    <cfRule type="expression" dxfId="417" priority="4247">
      <formula>$W339="Cancelled"</formula>
    </cfRule>
  </conditionalFormatting>
  <conditionalFormatting sqref="R338">
    <cfRule type="expression" dxfId="416" priority="4245">
      <formula>"&lt;'Daily Spend'!$C$2"""</formula>
    </cfRule>
  </conditionalFormatting>
  <conditionalFormatting sqref="X338:AL338 BG338 A338:U338">
    <cfRule type="expression" dxfId="415" priority="4246">
      <formula>$V338="Cancelled"</formula>
    </cfRule>
  </conditionalFormatting>
  <conditionalFormatting sqref="N303:N337">
    <cfRule type="expression" dxfId="414" priority="1945">
      <formula>$W303="Cancelled"</formula>
    </cfRule>
  </conditionalFormatting>
  <conditionalFormatting sqref="AG303:AG337">
    <cfRule type="expression" dxfId="413" priority="1938">
      <formula>$W303="Cancelled"</formula>
    </cfRule>
  </conditionalFormatting>
  <conditionalFormatting sqref="R303:R337">
    <cfRule type="expression" dxfId="412" priority="1965">
      <formula>"&lt;'Daily Spend'!$C$2"""</formula>
    </cfRule>
  </conditionalFormatting>
  <conditionalFormatting sqref="A303:B337 D303:M337 P303:AF337 AH303:AL337 BG303:BG337">
    <cfRule type="expression" dxfId="411" priority="1964">
      <formula>$W303="Cancelled"</formula>
    </cfRule>
  </conditionalFormatting>
  <conditionalFormatting sqref="C303:C337">
    <cfRule type="expression" dxfId="410" priority="1947">
      <formula>$W303="Cancelled"</formula>
    </cfRule>
  </conditionalFormatting>
  <conditionalFormatting sqref="R175:R176 R164 R178 R182 R184 R200 R188:R189 R1:R130 R197 R192:R195 R226:R228 R222 R224 R202:R205 O230 R231:R235 R257 R253:R254 R237:R238 R261 R264 R212:R214 R132:R162 R207:R210 R240:R251">
    <cfRule type="expression" dxfId="409" priority="386">
      <formula>"&lt;'Daily Spend'!$C$2"""</formula>
    </cfRule>
  </conditionalFormatting>
  <conditionalFormatting sqref="R177">
    <cfRule type="expression" dxfId="408" priority="385">
      <formula>"&lt;'Daily Spend'!$C$2"""</formula>
    </cfRule>
  </conditionalFormatting>
  <conditionalFormatting sqref="R180:R181">
    <cfRule type="expression" dxfId="407" priority="384">
      <formula>"&lt;'Daily Spend'!$C$2"""</formula>
    </cfRule>
  </conditionalFormatting>
  <conditionalFormatting sqref="R183">
    <cfRule type="expression" dxfId="406" priority="383">
      <formula>"&lt;'Daily Spend'!$C$2"""</formula>
    </cfRule>
  </conditionalFormatting>
  <conditionalFormatting sqref="R186">
    <cfRule type="expression" dxfId="405" priority="382">
      <formula>"&lt;'Daily Spend'!$C$2"""</formula>
    </cfRule>
  </conditionalFormatting>
  <conditionalFormatting sqref="R187">
    <cfRule type="expression" dxfId="404" priority="381">
      <formula>"&lt;'Daily Spend'!$C$2"""</formula>
    </cfRule>
  </conditionalFormatting>
  <conditionalFormatting sqref="R196">
    <cfRule type="expression" dxfId="403" priority="380">
      <formula>"&lt;'Daily Spend'!$C$2"""</formula>
    </cfRule>
  </conditionalFormatting>
  <conditionalFormatting sqref="A1:AJ1 V204 R205:V205 R202:R204 P209:R209 A209:N209 A208:R208 A210:R210 S208:W210 AI184:AK184 AH166:AK178 AH194:AK198 AH187:AK190 AH113:AK113 AI191:AK193 AI114:AK114 AH132:AK148 AH150:AK157 AI149:AK149 AH159:AK163 AI158:AK158 AI164:AK165 AH180:AK183 AH15:AH101 S202:V203 A202:Q205 S204 A207:W207 A226:B228 A212:AG214 A224:B224 B222:B223 P222:P223 V223 R222 U222:V222 D222:H223 AL222:AL224 D232 F232:V232 AI202:AK205 D224:V224 D226:P227 R226:V227 Q225:Q227 D228:V228 AL226:AL229 V229 A163:Z163 AE163:AG163 A231:C235 D231:V231 X226:AF229 X224:AF224 X222:AG223 AH231:AI231 AL231 AH115:AK130 A164:AG176 A177:C177 E177:AG177 D233:V235 AH234:AL234 AI222:AI223 AI235:AL235 D240:V241 A243:B251 J242:V242 AH237:AL238 AI244:AL244 AL1:AL130 AH248 D243:V250 X250:AJ250 AI249:AJ249 C238:U238 AL245:AL250 AI232:AL233 X231:AF235 AH103:AH111 D251:AL251 AL186:AL198 AI186:AK186 A186:AG198 A257:B257 A261:B261 AI15:AK112 D257:V257 Y261:AI261 AK261:AL261 X257:AL257 D261:V261 D253:AL254 A253:B254 X237:AF238 D237:V237 A237:B238 AK264:AL264 AL200:AL205 W200:AG205 AH200:AK201 A200:V201 BG261 A178:AG178 A180:AG184 AL180:AL184 BG264 D264:V264 A264:B264 Y264:AI264 AI212:AL214 A132:AG162 AL132:AL178 X207:AL210 A2:AG130 A240:B241 X240:AF249 AH240:AL243">
    <cfRule type="expression" dxfId="402" priority="379">
      <formula>$W1="Cancelled"</formula>
    </cfRule>
  </conditionalFormatting>
  <conditionalFormatting sqref="R198">
    <cfRule type="expression" dxfId="401" priority="378">
      <formula>"&lt;'Daily Spend'!$C$2"""</formula>
    </cfRule>
  </conditionalFormatting>
  <conditionalFormatting sqref="AM1">
    <cfRule type="expression" dxfId="400" priority="377">
      <formula>$W1="Cancelled"</formula>
    </cfRule>
  </conditionalFormatting>
  <conditionalFormatting sqref="R201">
    <cfRule type="expression" dxfId="399" priority="376">
      <formula>"&lt;'Daily Spend'!$C$2"""</formula>
    </cfRule>
  </conditionalFormatting>
  <conditionalFormatting sqref="AH3:AK14 AH2:AJ2">
    <cfRule type="expression" dxfId="398" priority="375">
      <formula>$W2="Cancelled"</formula>
    </cfRule>
  </conditionalFormatting>
  <conditionalFormatting sqref="S205:U205 S207:T207">
    <cfRule type="expression" dxfId="397" priority="374">
      <formula>$W204="Cancelled"</formula>
    </cfRule>
  </conditionalFormatting>
  <conditionalFormatting sqref="R212">
    <cfRule type="expression" dxfId="396" priority="373">
      <formula>"&lt;'Daily Spend'!$C$2"""</formula>
    </cfRule>
  </conditionalFormatting>
  <conditionalFormatting sqref="C215">
    <cfRule type="expression" dxfId="395" priority="372">
      <formula>$W215="Cancelled"</formula>
    </cfRule>
  </conditionalFormatting>
  <conditionalFormatting sqref="C216">
    <cfRule type="expression" dxfId="394" priority="371">
      <formula>$W216="Cancelled"</formula>
    </cfRule>
  </conditionalFormatting>
  <conditionalFormatting sqref="C217 C219 C224:C225 C228">
    <cfRule type="expression" dxfId="393" priority="370">
      <formula>$W217="Cancelled"</formula>
    </cfRule>
  </conditionalFormatting>
  <conditionalFormatting sqref="C240:C241 C244:C246 C249:C251 C253 C257 C261 C264">
    <cfRule type="expression" dxfId="392" priority="369">
      <formula>$W240="Cancelled"</formula>
    </cfRule>
  </conditionalFormatting>
  <conditionalFormatting sqref="I215:Q215">
    <cfRule type="expression" dxfId="391" priority="368">
      <formula>$W215="Cancelled"</formula>
    </cfRule>
  </conditionalFormatting>
  <conditionalFormatting sqref="F215:G215">
    <cfRule type="expression" dxfId="390" priority="367">
      <formula>$W215="Cancelled"</formula>
    </cfRule>
  </conditionalFormatting>
  <conditionalFormatting sqref="S215:T215">
    <cfRule type="expression" dxfId="389" priority="366">
      <formula>$W215="Cancelled"</formula>
    </cfRule>
  </conditionalFormatting>
  <conditionalFormatting sqref="W215">
    <cfRule type="expression" dxfId="388" priority="365">
      <formula>$W215="Cancelled"</formula>
    </cfRule>
  </conditionalFormatting>
  <conditionalFormatting sqref="W216">
    <cfRule type="expression" dxfId="387" priority="364">
      <formula>$W216="Cancelled"</formula>
    </cfRule>
  </conditionalFormatting>
  <conditionalFormatting sqref="S216:T218">
    <cfRule type="expression" dxfId="386" priority="363">
      <formula>$W216="Cancelled"</formula>
    </cfRule>
  </conditionalFormatting>
  <conditionalFormatting sqref="P216 P218">
    <cfRule type="expression" dxfId="385" priority="362">
      <formula>$W216="Cancelled"</formula>
    </cfRule>
  </conditionalFormatting>
  <conditionalFormatting sqref="F216:G218">
    <cfRule type="expression" dxfId="384" priority="361">
      <formula>$W216="Cancelled"</formula>
    </cfRule>
  </conditionalFormatting>
  <conditionalFormatting sqref="L216:M216">
    <cfRule type="expression" dxfId="383" priority="360">
      <formula>$W216="Cancelled"</formula>
    </cfRule>
  </conditionalFormatting>
  <conditionalFormatting sqref="J217:Q217">
    <cfRule type="expression" dxfId="382" priority="359">
      <formula>$W217="Cancelled"</formula>
    </cfRule>
  </conditionalFormatting>
  <conditionalFormatting sqref="L218:M218">
    <cfRule type="expression" dxfId="381" priority="358">
      <formula>$W218="Cancelled"</formula>
    </cfRule>
  </conditionalFormatting>
  <conditionalFormatting sqref="Q218">
    <cfRule type="expression" dxfId="380" priority="357">
      <formula>$W218="Cancelled"</formula>
    </cfRule>
  </conditionalFormatting>
  <conditionalFormatting sqref="C218">
    <cfRule type="expression" dxfId="379" priority="356">
      <formula>$W218="Cancelled"</formula>
    </cfRule>
  </conditionalFormatting>
  <conditionalFormatting sqref="W217">
    <cfRule type="expression" dxfId="378" priority="355">
      <formula>$W217="Cancelled"</formula>
    </cfRule>
  </conditionalFormatting>
  <conditionalFormatting sqref="W218">
    <cfRule type="expression" dxfId="377" priority="354">
      <formula>$W218="Cancelled"</formula>
    </cfRule>
  </conditionalFormatting>
  <conditionalFormatting sqref="W219">
    <cfRule type="expression" dxfId="376" priority="353">
      <formula>$W219="Cancelled"</formula>
    </cfRule>
  </conditionalFormatting>
  <conditionalFormatting sqref="AG215">
    <cfRule type="expression" dxfId="375" priority="352">
      <formula>$W215="Cancelled"</formula>
    </cfRule>
  </conditionalFormatting>
  <conditionalFormatting sqref="AG216">
    <cfRule type="expression" dxfId="374" priority="351">
      <formula>$W216="Cancelled"</formula>
    </cfRule>
  </conditionalFormatting>
  <conditionalFormatting sqref="AG217">
    <cfRule type="expression" dxfId="373" priority="350">
      <formula>$W217="Cancelled"</formula>
    </cfRule>
  </conditionalFormatting>
  <conditionalFormatting sqref="AH216">
    <cfRule type="expression" dxfId="372" priority="349">
      <formula>$W216="Cancelled"</formula>
    </cfRule>
  </conditionalFormatting>
  <conditionalFormatting sqref="AH218">
    <cfRule type="expression" dxfId="371" priority="348">
      <formula>$W218="Cancelled"</formula>
    </cfRule>
  </conditionalFormatting>
  <conditionalFormatting sqref="F219:G219">
    <cfRule type="expression" dxfId="370" priority="347">
      <formula>$W219="Cancelled"</formula>
    </cfRule>
  </conditionalFormatting>
  <conditionalFormatting sqref="J219:P219">
    <cfRule type="expression" dxfId="369" priority="346">
      <formula>$W219="Cancelled"</formula>
    </cfRule>
  </conditionalFormatting>
  <conditionalFormatting sqref="S219:T219">
    <cfRule type="expression" dxfId="368" priority="345">
      <formula>$W219="Cancelled"</formula>
    </cfRule>
  </conditionalFormatting>
  <conditionalFormatting sqref="H217:I217">
    <cfRule type="expression" dxfId="367" priority="344">
      <formula>$W217="Cancelled"</formula>
    </cfRule>
  </conditionalFormatting>
  <conditionalFormatting sqref="D217:E217">
    <cfRule type="expression" dxfId="366" priority="343">
      <formula>$W217="Cancelled"</formula>
    </cfRule>
  </conditionalFormatting>
  <conditionalFormatting sqref="A217:B217">
    <cfRule type="expression" dxfId="365" priority="342">
      <formula>$W217="Cancelled"</formula>
    </cfRule>
  </conditionalFormatting>
  <conditionalFormatting sqref="R217">
    <cfRule type="expression" dxfId="364" priority="341">
      <formula>"&lt;'Daily Spend'!$C$2"""</formula>
    </cfRule>
  </conditionalFormatting>
  <conditionalFormatting sqref="R217">
    <cfRule type="expression" dxfId="363" priority="340">
      <formula>$W217="Cancelled"</formula>
    </cfRule>
  </conditionalFormatting>
  <conditionalFormatting sqref="F220:G221">
    <cfRule type="expression" dxfId="362" priority="339">
      <formula>$W220="Cancelled"</formula>
    </cfRule>
  </conditionalFormatting>
  <conditionalFormatting sqref="J220:K220">
    <cfRule type="expression" dxfId="361" priority="338">
      <formula>$W220="Cancelled"</formula>
    </cfRule>
  </conditionalFormatting>
  <conditionalFormatting sqref="L220:M220">
    <cfRule type="expression" dxfId="360" priority="337">
      <formula>$W220="Cancelled"</formula>
    </cfRule>
  </conditionalFormatting>
  <conditionalFormatting sqref="J221:K221">
    <cfRule type="expression" dxfId="359" priority="336">
      <formula>$W221="Cancelled"</formula>
    </cfRule>
  </conditionalFormatting>
  <conditionalFormatting sqref="L221:M221">
    <cfRule type="expression" dxfId="358" priority="335">
      <formula>$W221="Cancelled"</formula>
    </cfRule>
  </conditionalFormatting>
  <conditionalFormatting sqref="O220:O221">
    <cfRule type="expression" dxfId="357" priority="334">
      <formula>$W220="Cancelled"</formula>
    </cfRule>
  </conditionalFormatting>
  <conditionalFormatting sqref="S220:S221">
    <cfRule type="expression" dxfId="356" priority="333">
      <formula>$W220="Cancelled"</formula>
    </cfRule>
  </conditionalFormatting>
  <conditionalFormatting sqref="S220:S221">
    <cfRule type="expression" dxfId="355" priority="332">
      <formula>$W219="Cancelled"</formula>
    </cfRule>
  </conditionalFormatting>
  <conditionalFormatting sqref="J222:K223">
    <cfRule type="expression" dxfId="354" priority="331">
      <formula>$W222="Cancelled"</formula>
    </cfRule>
  </conditionalFormatting>
  <conditionalFormatting sqref="L222:M223">
    <cfRule type="expression" dxfId="353" priority="330">
      <formula>$W222="Cancelled"</formula>
    </cfRule>
  </conditionalFormatting>
  <conditionalFormatting sqref="O222:O223">
    <cfRule type="expression" dxfId="352" priority="329">
      <formula>$W222="Cancelled"</formula>
    </cfRule>
  </conditionalFormatting>
  <conditionalFormatting sqref="S222">
    <cfRule type="expression" dxfId="351" priority="328">
      <formula>$W222="Cancelled"</formula>
    </cfRule>
  </conditionalFormatting>
  <conditionalFormatting sqref="S222">
    <cfRule type="expression" dxfId="350" priority="327">
      <formula>$W221="Cancelled"</formula>
    </cfRule>
  </conditionalFormatting>
  <conditionalFormatting sqref="R223">
    <cfRule type="expression" dxfId="349" priority="326">
      <formula>"&lt;'Daily Spend'!$C$2"""</formula>
    </cfRule>
  </conditionalFormatting>
  <conditionalFormatting sqref="R223 U223">
    <cfRule type="expression" dxfId="348" priority="325">
      <formula>$W223="Cancelled"</formula>
    </cfRule>
  </conditionalFormatting>
  <conditionalFormatting sqref="S223">
    <cfRule type="expression" dxfId="347" priority="324">
      <formula>$W223="Cancelled"</formula>
    </cfRule>
  </conditionalFormatting>
  <conditionalFormatting sqref="S223">
    <cfRule type="expression" dxfId="346" priority="323">
      <formula>$W222="Cancelled"</formula>
    </cfRule>
  </conditionalFormatting>
  <conditionalFormatting sqref="T220:T223">
    <cfRule type="expression" dxfId="345" priority="322">
      <formula>$W220="Cancelled"</formula>
    </cfRule>
  </conditionalFormatting>
  <conditionalFormatting sqref="W220">
    <cfRule type="expression" dxfId="344" priority="321">
      <formula>$W220="Cancelled"</formula>
    </cfRule>
  </conditionalFormatting>
  <conditionalFormatting sqref="AG219">
    <cfRule type="expression" dxfId="343" priority="320">
      <formula>$W219="Cancelled"</formula>
    </cfRule>
  </conditionalFormatting>
  <conditionalFormatting sqref="AG220">
    <cfRule type="expression" dxfId="342" priority="319">
      <formula>$W220="Cancelled"</formula>
    </cfRule>
  </conditionalFormatting>
  <conditionalFormatting sqref="AG221">
    <cfRule type="expression" dxfId="341" priority="318">
      <formula>$W221="Cancelled"</formula>
    </cfRule>
  </conditionalFormatting>
  <conditionalFormatting sqref="AG218">
    <cfRule type="expression" dxfId="340" priority="317">
      <formula>$W218="Cancelled"</formula>
    </cfRule>
  </conditionalFormatting>
  <conditionalFormatting sqref="AI224:AK224 AG224 AG226 AI226:AK226 AG227:AK227">
    <cfRule type="expression" dxfId="339" priority="316">
      <formula>$W224="Cancelled"</formula>
    </cfRule>
  </conditionalFormatting>
  <conditionalFormatting sqref="AH224">
    <cfRule type="expression" dxfId="338" priority="315">
      <formula>$W224="Cancelled"</formula>
    </cfRule>
  </conditionalFormatting>
  <conditionalFormatting sqref="AG225">
    <cfRule type="expression" dxfId="337" priority="314">
      <formula>$W225="Cancelled"</formula>
    </cfRule>
  </conditionalFormatting>
  <conditionalFormatting sqref="AH226">
    <cfRule type="expression" dxfId="336" priority="313">
      <formula>$W226="Cancelled"</formula>
    </cfRule>
  </conditionalFormatting>
  <conditionalFormatting sqref="AI229:AK229 AI228">
    <cfRule type="expression" dxfId="335" priority="312">
      <formula>$W228="Cancelled"</formula>
    </cfRule>
  </conditionalFormatting>
  <conditionalFormatting sqref="AH229">
    <cfRule type="expression" dxfId="334" priority="311">
      <formula>$W229="Cancelled"</formula>
    </cfRule>
  </conditionalFormatting>
  <conditionalFormatting sqref="AG228">
    <cfRule type="expression" dxfId="333" priority="310">
      <formula>$W228="Cancelled"</formula>
    </cfRule>
  </conditionalFormatting>
  <conditionalFormatting sqref="AJ228:AK228">
    <cfRule type="expression" dxfId="332" priority="309">
      <formula>$W228="Cancelled"</formula>
    </cfRule>
  </conditionalFormatting>
  <conditionalFormatting sqref="AH228:AH229">
    <cfRule type="expression" dxfId="331" priority="308">
      <formula>$W228="Cancelled"</formula>
    </cfRule>
  </conditionalFormatting>
  <conditionalFormatting sqref="Y230:AF230 AI230 AL230">
    <cfRule type="expression" dxfId="330" priority="387">
      <formula>#REF!="Cancelled"</formula>
    </cfRule>
  </conditionalFormatting>
  <conditionalFormatting sqref="C227">
    <cfRule type="expression" dxfId="329" priority="307">
      <formula>$W227="Cancelled"</formula>
    </cfRule>
  </conditionalFormatting>
  <conditionalFormatting sqref="C226">
    <cfRule type="expression" dxfId="328" priority="306">
      <formula>$W226="Cancelled"</formula>
    </cfRule>
  </conditionalFormatting>
  <conditionalFormatting sqref="R229">
    <cfRule type="expression" dxfId="327" priority="305">
      <formula>"&lt;'Daily Spend'!$C$2"""</formula>
    </cfRule>
  </conditionalFormatting>
  <conditionalFormatting sqref="A229:B229 D229:U229">
    <cfRule type="expression" dxfId="326" priority="304">
      <formula>$W229="Cancelled"</formula>
    </cfRule>
  </conditionalFormatting>
  <conditionalFormatting sqref="C229">
    <cfRule type="expression" dxfId="325" priority="303">
      <formula>$W229="Cancelled"</formula>
    </cfRule>
  </conditionalFormatting>
  <conditionalFormatting sqref="AH230">
    <cfRule type="expression" dxfId="324" priority="302">
      <formula>$W230="Cancelled"</formula>
    </cfRule>
  </conditionalFormatting>
  <conditionalFormatting sqref="W221:W231">
    <cfRule type="expression" dxfId="323" priority="301">
      <formula>$W221="Cancelled"</formula>
    </cfRule>
  </conditionalFormatting>
  <conditionalFormatting sqref="AJ230:AK230">
    <cfRule type="expression" dxfId="322" priority="300">
      <formula>$W230="Cancelled"</formula>
    </cfRule>
  </conditionalFormatting>
  <conditionalFormatting sqref="AJ231:AK231">
    <cfRule type="expression" dxfId="321" priority="299">
      <formula>$W231="Cancelled"</formula>
    </cfRule>
  </conditionalFormatting>
  <conditionalFormatting sqref="AG229">
    <cfRule type="expression" dxfId="320" priority="298">
      <formula>$W229="Cancelled"</formula>
    </cfRule>
  </conditionalFormatting>
  <conditionalFormatting sqref="AG230">
    <cfRule type="expression" dxfId="319" priority="297">
      <formula>$W230="Cancelled"</formula>
    </cfRule>
  </conditionalFormatting>
  <conditionalFormatting sqref="AG231">
    <cfRule type="expression" dxfId="318" priority="296">
      <formula>$W231="Cancelled"</formula>
    </cfRule>
  </conditionalFormatting>
  <conditionalFormatting sqref="AG232">
    <cfRule type="expression" dxfId="317" priority="295">
      <formula>$W232="Cancelled"</formula>
    </cfRule>
  </conditionalFormatting>
  <conditionalFormatting sqref="W232">
    <cfRule type="expression" dxfId="316" priority="294">
      <formula>$W232="Cancelled"</formula>
    </cfRule>
  </conditionalFormatting>
  <conditionalFormatting sqref="W233">
    <cfRule type="expression" dxfId="315" priority="293">
      <formula>$W233="Cancelled"</formula>
    </cfRule>
  </conditionalFormatting>
  <conditionalFormatting sqref="W234">
    <cfRule type="expression" dxfId="314" priority="292">
      <formula>$W234="Cancelled"</formula>
    </cfRule>
  </conditionalFormatting>
  <conditionalFormatting sqref="W235">
    <cfRule type="expression" dxfId="313" priority="291">
      <formula>$W235="Cancelled"</formula>
    </cfRule>
  </conditionalFormatting>
  <conditionalFormatting sqref="AG233">
    <cfRule type="expression" dxfId="312" priority="290">
      <formula>$W233="Cancelled"</formula>
    </cfRule>
  </conditionalFormatting>
  <conditionalFormatting sqref="AH235">
    <cfRule type="expression" dxfId="311" priority="289">
      <formula>$W235="Cancelled"</formula>
    </cfRule>
  </conditionalFormatting>
  <conditionalFormatting sqref="AG234">
    <cfRule type="expression" dxfId="310" priority="288">
      <formula>$W234="Cancelled"</formula>
    </cfRule>
  </conditionalFormatting>
  <conditionalFormatting sqref="AG235">
    <cfRule type="expression" dxfId="309" priority="287">
      <formula>$W235="Cancelled"</formula>
    </cfRule>
  </conditionalFormatting>
  <conditionalFormatting sqref="AH225">
    <cfRule type="expression" dxfId="308" priority="286">
      <formula>$W225="Cancelled"</formula>
    </cfRule>
  </conditionalFormatting>
  <conditionalFormatting sqref="C237">
    <cfRule type="expression" dxfId="307" priority="285">
      <formula>$W237="Cancelled"</formula>
    </cfRule>
  </conditionalFormatting>
  <conditionalFormatting sqref="W237">
    <cfRule type="expression" dxfId="306" priority="284">
      <formula>$W237="Cancelled"</formula>
    </cfRule>
  </conditionalFormatting>
  <conditionalFormatting sqref="AG237">
    <cfRule type="expression" dxfId="305" priority="283">
      <formula>$W237="Cancelled"</formula>
    </cfRule>
  </conditionalFormatting>
  <conditionalFormatting sqref="AK1">
    <cfRule type="expression" dxfId="304" priority="282">
      <formula>$W1="Cancelled"</formula>
    </cfRule>
  </conditionalFormatting>
  <conditionalFormatting sqref="AK2:AK130 AK186:AK198 AK237:AK238 AK200:AK205 AK180:AK184 AK212:AK235 AK132:AK178 AK207:AK210">
    <cfRule type="expression" dxfId="303" priority="281">
      <formula>$W2="Cancelled"</formula>
    </cfRule>
  </conditionalFormatting>
  <conditionalFormatting sqref="AG238">
    <cfRule type="expression" dxfId="302" priority="280">
      <formula>$W238="Cancelled"</formula>
    </cfRule>
  </conditionalFormatting>
  <conditionalFormatting sqref="W238">
    <cfRule type="expression" dxfId="301" priority="279">
      <formula>$W238="Cancelled"</formula>
    </cfRule>
  </conditionalFormatting>
  <conditionalFormatting sqref="W240">
    <cfRule type="expression" dxfId="300" priority="278">
      <formula>$W240="Cancelled"</formula>
    </cfRule>
  </conditionalFormatting>
  <conditionalFormatting sqref="W241">
    <cfRule type="expression" dxfId="299" priority="277">
      <formula>$W241="Cancelled"</formula>
    </cfRule>
  </conditionalFormatting>
  <conditionalFormatting sqref="AG240">
    <cfRule type="expression" dxfId="298" priority="276">
      <formula>$W240="Cancelled"</formula>
    </cfRule>
  </conditionalFormatting>
  <conditionalFormatting sqref="AG241">
    <cfRule type="expression" dxfId="297" priority="275">
      <formula>$W241="Cancelled"</formula>
    </cfRule>
  </conditionalFormatting>
  <conditionalFormatting sqref="AK240">
    <cfRule type="expression" dxfId="296" priority="274">
      <formula>$W240="Cancelled"</formula>
    </cfRule>
  </conditionalFormatting>
  <conditionalFormatting sqref="AK241">
    <cfRule type="expression" dxfId="295" priority="273">
      <formula>$W241="Cancelled"</formula>
    </cfRule>
  </conditionalFormatting>
  <conditionalFormatting sqref="C243">
    <cfRule type="expression" dxfId="294" priority="272">
      <formula>$W243="Cancelled"</formula>
    </cfRule>
  </conditionalFormatting>
  <conditionalFormatting sqref="AK242">
    <cfRule type="expression" dxfId="293" priority="271">
      <formula>$W242="Cancelled"</formula>
    </cfRule>
  </conditionalFormatting>
  <conditionalFormatting sqref="AK243">
    <cfRule type="expression" dxfId="292" priority="270">
      <formula>$W243="Cancelled"</formula>
    </cfRule>
  </conditionalFormatting>
  <conditionalFormatting sqref="AG242">
    <cfRule type="expression" dxfId="291" priority="269">
      <formula>$W242="Cancelled"</formula>
    </cfRule>
  </conditionalFormatting>
  <conditionalFormatting sqref="AG243">
    <cfRule type="expression" dxfId="290" priority="268">
      <formula>$W243="Cancelled"</formula>
    </cfRule>
  </conditionalFormatting>
  <conditionalFormatting sqref="AJ225">
    <cfRule type="expression" dxfId="289" priority="267">
      <formula>$W225="Cancelled"</formula>
    </cfRule>
  </conditionalFormatting>
  <conditionalFormatting sqref="W243">
    <cfRule type="expression" dxfId="288" priority="266">
      <formula>$W243="Cancelled"</formula>
    </cfRule>
  </conditionalFormatting>
  <conditionalFormatting sqref="AG244">
    <cfRule type="expression" dxfId="287" priority="265">
      <formula>$W244="Cancelled"</formula>
    </cfRule>
  </conditionalFormatting>
  <conditionalFormatting sqref="W242">
    <cfRule type="expression" dxfId="286" priority="264">
      <formula>$W242="Cancelled"</formula>
    </cfRule>
  </conditionalFormatting>
  <conditionalFormatting sqref="W244">
    <cfRule type="expression" dxfId="285" priority="263">
      <formula>$W244="Cancelled"</formula>
    </cfRule>
  </conditionalFormatting>
  <conditionalFormatting sqref="AK244">
    <cfRule type="expression" dxfId="284" priority="262">
      <formula>$W244="Cancelled"</formula>
    </cfRule>
  </conditionalFormatting>
  <conditionalFormatting sqref="W245">
    <cfRule type="expression" dxfId="283" priority="261">
      <formula>$W245="Cancelled"</formula>
    </cfRule>
  </conditionalFormatting>
  <conditionalFormatting sqref="W246">
    <cfRule type="expression" dxfId="282" priority="260">
      <formula>$W246="Cancelled"</formula>
    </cfRule>
  </conditionalFormatting>
  <conditionalFormatting sqref="AK246">
    <cfRule type="expression" dxfId="281" priority="247">
      <formula>$W246="Cancelled"</formula>
    </cfRule>
  </conditionalFormatting>
  <conditionalFormatting sqref="AG245">
    <cfRule type="expression" dxfId="280" priority="259">
      <formula>$W245="Cancelled"</formula>
    </cfRule>
  </conditionalFormatting>
  <conditionalFormatting sqref="AK246">
    <cfRule type="expression" dxfId="279" priority="246">
      <formula>$W246="Cancelled"</formula>
    </cfRule>
  </conditionalFormatting>
  <conditionalFormatting sqref="AG246">
    <cfRule type="expression" dxfId="278" priority="258">
      <formula>$W246="Cancelled"</formula>
    </cfRule>
  </conditionalFormatting>
  <conditionalFormatting sqref="AI245">
    <cfRule type="expression" dxfId="277" priority="257">
      <formula>$W245="Cancelled"</formula>
    </cfRule>
  </conditionalFormatting>
  <conditionalFormatting sqref="AH245">
    <cfRule type="expression" dxfId="276" priority="256">
      <formula>$W245="Cancelled"</formula>
    </cfRule>
  </conditionalFormatting>
  <conditionalFormatting sqref="AH245">
    <cfRule type="expression" dxfId="275" priority="255">
      <formula>$W245="Cancelled"</formula>
    </cfRule>
  </conditionalFormatting>
  <conditionalFormatting sqref="AI246">
    <cfRule type="expression" dxfId="274" priority="254">
      <formula>$W246="Cancelled"</formula>
    </cfRule>
  </conditionalFormatting>
  <conditionalFormatting sqref="AH246">
    <cfRule type="expression" dxfId="273" priority="253">
      <formula>$W246="Cancelled"</formula>
    </cfRule>
  </conditionalFormatting>
  <conditionalFormatting sqref="AH246">
    <cfRule type="expression" dxfId="272" priority="252">
      <formula>$W246="Cancelled"</formula>
    </cfRule>
  </conditionalFormatting>
  <conditionalFormatting sqref="AJ245">
    <cfRule type="expression" dxfId="271" priority="251">
      <formula>$W245="Cancelled"</formula>
    </cfRule>
  </conditionalFormatting>
  <conditionalFormatting sqref="AJ246">
    <cfRule type="expression" dxfId="270" priority="250">
      <formula>$W246="Cancelled"</formula>
    </cfRule>
  </conditionalFormatting>
  <conditionalFormatting sqref="AK245">
    <cfRule type="expression" dxfId="269" priority="249">
      <formula>$W245="Cancelled"</formula>
    </cfRule>
  </conditionalFormatting>
  <conditionalFormatting sqref="AK245">
    <cfRule type="expression" dxfId="268" priority="248">
      <formula>$W245="Cancelled"</formula>
    </cfRule>
  </conditionalFormatting>
  <conditionalFormatting sqref="C248">
    <cfRule type="expression" dxfId="267" priority="245">
      <formula>$W248="Cancelled"</formula>
    </cfRule>
  </conditionalFormatting>
  <conditionalFormatting sqref="W247">
    <cfRule type="expression" dxfId="266" priority="244">
      <formula>$W247="Cancelled"</formula>
    </cfRule>
  </conditionalFormatting>
  <conditionalFormatting sqref="W248:W250">
    <cfRule type="expression" dxfId="265" priority="243">
      <formula>$W248="Cancelled"</formula>
    </cfRule>
  </conditionalFormatting>
  <conditionalFormatting sqref="AG247">
    <cfRule type="expression" dxfId="264" priority="242">
      <formula>$W247="Cancelled"</formula>
    </cfRule>
  </conditionalFormatting>
  <conditionalFormatting sqref="AG248:AG249">
    <cfRule type="expression" dxfId="263" priority="241">
      <formula>$W248="Cancelled"</formula>
    </cfRule>
  </conditionalFormatting>
  <conditionalFormatting sqref="AJ247">
    <cfRule type="expression" dxfId="262" priority="240">
      <formula>$W247="Cancelled"</formula>
    </cfRule>
  </conditionalFormatting>
  <conditionalFormatting sqref="AJ248">
    <cfRule type="expression" dxfId="261" priority="239">
      <formula>$W248="Cancelled"</formula>
    </cfRule>
  </conditionalFormatting>
  <conditionalFormatting sqref="V237">
    <cfRule type="expression" dxfId="260" priority="388">
      <formula>$W238="Cancelled"</formula>
    </cfRule>
  </conditionalFormatting>
  <conditionalFormatting sqref="AH249">
    <cfRule type="expression" dxfId="259" priority="238">
      <formula>$W249="Cancelled"</formula>
    </cfRule>
  </conditionalFormatting>
  <conditionalFormatting sqref="AK250">
    <cfRule type="expression" dxfId="258" priority="232">
      <formula>$W250="Cancelled"</formula>
    </cfRule>
  </conditionalFormatting>
  <conditionalFormatting sqref="AK247">
    <cfRule type="expression" dxfId="257" priority="237">
      <formula>$W247="Cancelled"</formula>
    </cfRule>
  </conditionalFormatting>
  <conditionalFormatting sqref="AK247">
    <cfRule type="expression" dxfId="256" priority="236">
      <formula>$W247="Cancelled"</formula>
    </cfRule>
  </conditionalFormatting>
  <conditionalFormatting sqref="AK248">
    <cfRule type="expression" dxfId="255" priority="235">
      <formula>$W248="Cancelled"</formula>
    </cfRule>
  </conditionalFormatting>
  <conditionalFormatting sqref="AK248">
    <cfRule type="expression" dxfId="254" priority="234">
      <formula>$W248="Cancelled"</formula>
    </cfRule>
  </conditionalFormatting>
  <conditionalFormatting sqref="AK250">
    <cfRule type="expression" dxfId="253" priority="233">
      <formula>$W250="Cancelled"</formula>
    </cfRule>
  </conditionalFormatting>
  <conditionalFormatting sqref="BG226:BG228 BG224 BG231:BG235 BG243:BG251 BG1:BG130 BG186:BG198 BG253:BG254 BG237:BG238 BG200:BG205 BG180:BG184 BG212:BG214 BG132:BG178 BG207:BG210 BG240:BG241">
    <cfRule type="expression" dxfId="252" priority="231">
      <formula>$W1="Cancelled"</formula>
    </cfRule>
  </conditionalFormatting>
  <conditionalFormatting sqref="BG217">
    <cfRule type="expression" dxfId="251" priority="230">
      <formula>$W217="Cancelled"</formula>
    </cfRule>
  </conditionalFormatting>
  <conditionalFormatting sqref="BG229">
    <cfRule type="expression" dxfId="250" priority="229">
      <formula>$W229="Cancelled"</formula>
    </cfRule>
  </conditionalFormatting>
  <conditionalFormatting sqref="C254">
    <cfRule type="expression" dxfId="249" priority="228">
      <formula>$W254="Cancelled"</formula>
    </cfRule>
  </conditionalFormatting>
  <conditionalFormatting sqref="R185">
    <cfRule type="expression" dxfId="248" priority="227">
      <formula>"&lt;'Daily Spend'!$C$2"""</formula>
    </cfRule>
  </conditionalFormatting>
  <conditionalFormatting sqref="A185:AG185 AI185:AL185">
    <cfRule type="expression" dxfId="247" priority="226">
      <formula>$W185="Cancelled"</formula>
    </cfRule>
  </conditionalFormatting>
  <conditionalFormatting sqref="AK185">
    <cfRule type="expression" dxfId="246" priority="225">
      <formula>$W185="Cancelled"</formula>
    </cfRule>
  </conditionalFormatting>
  <conditionalFormatting sqref="BG185">
    <cfRule type="expression" dxfId="245" priority="224">
      <formula>$W185="Cancelled"</formula>
    </cfRule>
  </conditionalFormatting>
  <conditionalFormatting sqref="BG255">
    <cfRule type="expression" dxfId="244" priority="217">
      <formula>$W255="Cancelled"</formula>
    </cfRule>
  </conditionalFormatting>
  <conditionalFormatting sqref="R255">
    <cfRule type="expression" dxfId="243" priority="223">
      <formula>"&lt;'Daily Spend'!$C$2"""</formula>
    </cfRule>
  </conditionalFormatting>
  <conditionalFormatting sqref="A255:B255 D255:V255 AH255:AL255 X255:AF255">
    <cfRule type="expression" dxfId="242" priority="222">
      <formula>$W255="Cancelled"</formula>
    </cfRule>
  </conditionalFormatting>
  <conditionalFormatting sqref="C255">
    <cfRule type="expression" dxfId="241" priority="221">
      <formula>$W255="Cancelled"</formula>
    </cfRule>
  </conditionalFormatting>
  <conditionalFormatting sqref="W255">
    <cfRule type="expression" dxfId="240" priority="220">
      <formula>$W255="Cancelled"</formula>
    </cfRule>
  </conditionalFormatting>
  <conditionalFormatting sqref="AG255">
    <cfRule type="expression" dxfId="239" priority="219">
      <formula>$W255="Cancelled"</formula>
    </cfRule>
  </conditionalFormatting>
  <conditionalFormatting sqref="AK255">
    <cfRule type="expression" dxfId="238" priority="218">
      <formula>$W255="Cancelled"</formula>
    </cfRule>
  </conditionalFormatting>
  <conditionalFormatting sqref="R256">
    <cfRule type="expression" dxfId="237" priority="216">
      <formula>"&lt;'Daily Spend'!$C$2"""</formula>
    </cfRule>
  </conditionalFormatting>
  <conditionalFormatting sqref="A256:B256 AL256 D256:V256 X256:AF256">
    <cfRule type="expression" dxfId="236" priority="215">
      <formula>$W256="Cancelled"</formula>
    </cfRule>
  </conditionalFormatting>
  <conditionalFormatting sqref="C256">
    <cfRule type="expression" dxfId="235" priority="214">
      <formula>$W256="Cancelled"</formula>
    </cfRule>
  </conditionalFormatting>
  <conditionalFormatting sqref="AI256:AK256 AG256">
    <cfRule type="expression" dxfId="234" priority="213">
      <formula>$W256="Cancelled"</formula>
    </cfRule>
  </conditionalFormatting>
  <conditionalFormatting sqref="AH256">
    <cfRule type="expression" dxfId="233" priority="212">
      <formula>$W256="Cancelled"</formula>
    </cfRule>
  </conditionalFormatting>
  <conditionalFormatting sqref="W256">
    <cfRule type="expression" dxfId="232" priority="211">
      <formula>$W256="Cancelled"</formula>
    </cfRule>
  </conditionalFormatting>
  <conditionalFormatting sqref="AK256">
    <cfRule type="expression" dxfId="231" priority="210">
      <formula>$W256="Cancelled"</formula>
    </cfRule>
  </conditionalFormatting>
  <conditionalFormatting sqref="BG256">
    <cfRule type="expression" dxfId="230" priority="209">
      <formula>$W256="Cancelled"</formula>
    </cfRule>
  </conditionalFormatting>
  <conditionalFormatting sqref="W257">
    <cfRule type="expression" dxfId="229" priority="208">
      <formula>$W257="Cancelled"</formula>
    </cfRule>
  </conditionalFormatting>
  <conditionalFormatting sqref="W261">
    <cfRule type="expression" dxfId="228" priority="207">
      <formula>$W261="Cancelled"</formula>
    </cfRule>
  </conditionalFormatting>
  <conditionalFormatting sqref="AJ261">
    <cfRule type="expression" dxfId="227" priority="206">
      <formula>$W261="Cancelled"</formula>
    </cfRule>
  </conditionalFormatting>
  <conditionalFormatting sqref="AK249">
    <cfRule type="expression" dxfId="226" priority="204">
      <formula>$W249="Cancelled"</formula>
    </cfRule>
  </conditionalFormatting>
  <conditionalFormatting sqref="AK249">
    <cfRule type="expression" dxfId="225" priority="205">
      <formula>$W249="Cancelled"</formula>
    </cfRule>
  </conditionalFormatting>
  <conditionalFormatting sqref="W264">
    <cfRule type="expression" dxfId="224" priority="203">
      <formula>$W264="Cancelled"</formula>
    </cfRule>
  </conditionalFormatting>
  <conditionalFormatting sqref="AJ264">
    <cfRule type="expression" dxfId="223" priority="202">
      <formula>$W264="Cancelled"</formula>
    </cfRule>
  </conditionalFormatting>
  <conditionalFormatting sqref="R252">
    <cfRule type="expression" dxfId="222" priority="201">
      <formula>"&lt;'Daily Spend'!$C$2"""</formula>
    </cfRule>
  </conditionalFormatting>
  <conditionalFormatting sqref="A252:B252 D252:Y252 AA252:AL252">
    <cfRule type="expression" dxfId="221" priority="200">
      <formula>$W252="Cancelled"</formula>
    </cfRule>
  </conditionalFormatting>
  <conditionalFormatting sqref="C252">
    <cfRule type="expression" dxfId="220" priority="199">
      <formula>$W252="Cancelled"</formula>
    </cfRule>
  </conditionalFormatting>
  <conditionalFormatting sqref="BG252">
    <cfRule type="expression" dxfId="219" priority="198">
      <formula>$W252="Cancelled"</formula>
    </cfRule>
  </conditionalFormatting>
  <conditionalFormatting sqref="C236">
    <cfRule type="expression" dxfId="218" priority="197">
      <formula>$W236="Cancelled"</formula>
    </cfRule>
  </conditionalFormatting>
  <conditionalFormatting sqref="I236:Q236">
    <cfRule type="expression" dxfId="217" priority="196">
      <formula>$W236="Cancelled"</formula>
    </cfRule>
  </conditionalFormatting>
  <conditionalFormatting sqref="F236:G236">
    <cfRule type="expression" dxfId="216" priority="195">
      <formula>$W236="Cancelled"</formula>
    </cfRule>
  </conditionalFormatting>
  <conditionalFormatting sqref="S236:T236">
    <cfRule type="expression" dxfId="215" priority="194">
      <formula>$W236="Cancelled"</formula>
    </cfRule>
  </conditionalFormatting>
  <conditionalFormatting sqref="W236">
    <cfRule type="expression" dxfId="214" priority="193">
      <formula>$W236="Cancelled"</formula>
    </cfRule>
  </conditionalFormatting>
  <conditionalFormatting sqref="AG236">
    <cfRule type="expression" dxfId="213" priority="192">
      <formula>$W236="Cancelled"</formula>
    </cfRule>
  </conditionalFormatting>
  <conditionalFormatting sqref="AK236">
    <cfRule type="expression" dxfId="212" priority="191">
      <formula>$W236="Cancelled"</formula>
    </cfRule>
  </conditionalFormatting>
  <conditionalFormatting sqref="Z252">
    <cfRule type="expression" dxfId="211" priority="190">
      <formula>$W252="Cancelled"</formula>
    </cfRule>
  </conditionalFormatting>
  <conditionalFormatting sqref="R199">
    <cfRule type="expression" dxfId="210" priority="189">
      <formula>"&lt;'Daily Spend'!$C$2"""</formula>
    </cfRule>
  </conditionalFormatting>
  <conditionalFormatting sqref="A199:AL199">
    <cfRule type="expression" dxfId="209" priority="188">
      <formula>$W199="Cancelled"</formula>
    </cfRule>
  </conditionalFormatting>
  <conditionalFormatting sqref="AK199">
    <cfRule type="expression" dxfId="208" priority="187">
      <formula>$W199="Cancelled"</formula>
    </cfRule>
  </conditionalFormatting>
  <conditionalFormatting sqref="BG199">
    <cfRule type="expression" dxfId="207" priority="186">
      <formula>$W199="Cancelled"</formula>
    </cfRule>
  </conditionalFormatting>
  <conditionalFormatting sqref="R259:R260">
    <cfRule type="expression" dxfId="206" priority="185">
      <formula>"&lt;'Daily Spend'!$C$2"""</formula>
    </cfRule>
  </conditionalFormatting>
  <conditionalFormatting sqref="AH259:AL260 A259:U260 Y259:AF260">
    <cfRule type="expression" dxfId="205" priority="184">
      <formula>$W259="Cancelled"</formula>
    </cfRule>
  </conditionalFormatting>
  <conditionalFormatting sqref="AK259:AK260">
    <cfRule type="expression" dxfId="204" priority="183">
      <formula>$W259="Cancelled"</formula>
    </cfRule>
  </conditionalFormatting>
  <conditionalFormatting sqref="AG259:AG260">
    <cfRule type="expression" dxfId="203" priority="182">
      <formula>$W259="Cancelled"</formula>
    </cfRule>
  </conditionalFormatting>
  <conditionalFormatting sqref="W259:W260">
    <cfRule type="expression" dxfId="202" priority="181">
      <formula>$W259="Cancelled"</formula>
    </cfRule>
  </conditionalFormatting>
  <conditionalFormatting sqref="BG259:BG260">
    <cfRule type="expression" dxfId="201" priority="180">
      <formula>$W259="Cancelled"</formula>
    </cfRule>
  </conditionalFormatting>
  <conditionalFormatting sqref="R179">
    <cfRule type="expression" dxfId="200" priority="179">
      <formula>"&lt;'Daily Spend'!$C$2"""</formula>
    </cfRule>
  </conditionalFormatting>
  <conditionalFormatting sqref="A179:AL179">
    <cfRule type="expression" dxfId="199" priority="178">
      <formula>$W179="Cancelled"</formula>
    </cfRule>
  </conditionalFormatting>
  <conditionalFormatting sqref="AK179">
    <cfRule type="expression" dxfId="198" priority="177">
      <formula>$W179="Cancelled"</formula>
    </cfRule>
  </conditionalFormatting>
  <conditionalFormatting sqref="BG179">
    <cfRule type="expression" dxfId="197" priority="176">
      <formula>$W179="Cancelled"</formula>
    </cfRule>
  </conditionalFormatting>
  <conditionalFormatting sqref="R262">
    <cfRule type="expression" dxfId="196" priority="175">
      <formula>"&lt;'Daily Spend'!$C$2"""</formula>
    </cfRule>
  </conditionalFormatting>
  <conditionalFormatting sqref="AH262:AL262 A262:U262 Y262:AF262">
    <cfRule type="expression" dxfId="195" priority="174">
      <formula>$W262="Cancelled"</formula>
    </cfRule>
  </conditionalFormatting>
  <conditionalFormatting sqref="AK262">
    <cfRule type="expression" dxfId="194" priority="173">
      <formula>$W262="Cancelled"</formula>
    </cfRule>
  </conditionalFormatting>
  <conditionalFormatting sqref="AG262">
    <cfRule type="expression" dxfId="193" priority="172">
      <formula>$W262="Cancelled"</formula>
    </cfRule>
  </conditionalFormatting>
  <conditionalFormatting sqref="W262">
    <cfRule type="expression" dxfId="192" priority="171">
      <formula>$W262="Cancelled"</formula>
    </cfRule>
  </conditionalFormatting>
  <conditionalFormatting sqref="BG257">
    <cfRule type="expression" dxfId="191" priority="170">
      <formula>$W257="Cancelled"</formula>
    </cfRule>
  </conditionalFormatting>
  <conditionalFormatting sqref="BG262">
    <cfRule type="expression" dxfId="190" priority="169">
      <formula>$W262="Cancelled"</formula>
    </cfRule>
  </conditionalFormatting>
  <conditionalFormatting sqref="C263">
    <cfRule type="expression" dxfId="189" priority="168">
      <formula>$W263="Cancelled"</formula>
    </cfRule>
  </conditionalFormatting>
  <conditionalFormatting sqref="I263:Q263">
    <cfRule type="expression" dxfId="188" priority="167">
      <formula>$W263="Cancelled"</formula>
    </cfRule>
  </conditionalFormatting>
  <conditionalFormatting sqref="F263:G263">
    <cfRule type="expression" dxfId="187" priority="166">
      <formula>$W263="Cancelled"</formula>
    </cfRule>
  </conditionalFormatting>
  <conditionalFormatting sqref="S263:T263">
    <cfRule type="expression" dxfId="186" priority="165">
      <formula>$W263="Cancelled"</formula>
    </cfRule>
  </conditionalFormatting>
  <conditionalFormatting sqref="W263">
    <cfRule type="expression" dxfId="185" priority="164">
      <formula>$W263="Cancelled"</formula>
    </cfRule>
  </conditionalFormatting>
  <conditionalFormatting sqref="AG263">
    <cfRule type="expression" dxfId="184" priority="163">
      <formula>$W263="Cancelled"</formula>
    </cfRule>
  </conditionalFormatting>
  <conditionalFormatting sqref="AK263">
    <cfRule type="expression" dxfId="183" priority="162">
      <formula>$W263="Cancelled"</formula>
    </cfRule>
  </conditionalFormatting>
  <conditionalFormatting sqref="R211">
    <cfRule type="expression" dxfId="182" priority="161">
      <formula>"&lt;'Daily Spend'!$C$2"""</formula>
    </cfRule>
  </conditionalFormatting>
  <conditionalFormatting sqref="A211:AL211">
    <cfRule type="expression" dxfId="181" priority="160">
      <formula>$W211="Cancelled"</formula>
    </cfRule>
  </conditionalFormatting>
  <conditionalFormatting sqref="AK211">
    <cfRule type="expression" dxfId="180" priority="159">
      <formula>$W211="Cancelled"</formula>
    </cfRule>
  </conditionalFormatting>
  <conditionalFormatting sqref="BG211">
    <cfRule type="expression" dxfId="179" priority="158">
      <formula>$W211="Cancelled"</formula>
    </cfRule>
  </conditionalFormatting>
  <conditionalFormatting sqref="R131">
    <cfRule type="expression" dxfId="178" priority="157">
      <formula>"&lt;'Daily Spend'!$C$2"""</formula>
    </cfRule>
  </conditionalFormatting>
  <conditionalFormatting sqref="A131:AL131">
    <cfRule type="expression" dxfId="177" priority="156">
      <formula>$W131="Cancelled"</formula>
    </cfRule>
  </conditionalFormatting>
  <conditionalFormatting sqref="AK131">
    <cfRule type="expression" dxfId="176" priority="155">
      <formula>$W131="Cancelled"</formula>
    </cfRule>
  </conditionalFormatting>
  <conditionalFormatting sqref="BG131">
    <cfRule type="expression" dxfId="175" priority="154">
      <formula>$W131="Cancelled"</formula>
    </cfRule>
  </conditionalFormatting>
  <conditionalFormatting sqref="R206">
    <cfRule type="expression" dxfId="174" priority="153">
      <formula>"&lt;'Daily Spend'!$C$2"""</formula>
    </cfRule>
  </conditionalFormatting>
  <conditionalFormatting sqref="A206:AL206">
    <cfRule type="expression" dxfId="173" priority="152">
      <formula>$W206="Cancelled"</formula>
    </cfRule>
  </conditionalFormatting>
  <conditionalFormatting sqref="AK206">
    <cfRule type="expression" dxfId="172" priority="151">
      <formula>$W206="Cancelled"</formula>
    </cfRule>
  </conditionalFormatting>
  <conditionalFormatting sqref="BG206">
    <cfRule type="expression" dxfId="171" priority="150">
      <formula>$W206="Cancelled"</formula>
    </cfRule>
  </conditionalFormatting>
  <conditionalFormatting sqref="R266:R281 R284:R285 R295:R297 R289:R293">
    <cfRule type="expression" dxfId="170" priority="148">
      <formula>"&lt;'Daily Spend'!$C$2"""</formula>
    </cfRule>
  </conditionalFormatting>
  <conditionalFormatting sqref="AI274:AJ277 AI269:AI273 Y266:AI266 A266:B281 D266:V277 BG266 AK266:AL272 AI282:AJ283 AL283:AL284 Y284:AF284 AH281:AI281 AL281 Y281:AF281 D278:W279 Y267:AG277 Y282:AG283 AL273:AL277 BG269:BG284 A284:V284 A289:V289 A290:N293 D280:V281 AI290:AJ293 AH289:AJ289 A295:V295 P290:V293 AH295:AJ295 AL289:AL293 A296:B296 A297 D296:M297 P296:W297 AK278:AL280 AH296:AI297 AK296:AL297 BG295 AL295 Y289:AF293 Y295:AF297 Y278:AI280">
    <cfRule type="expression" dxfId="169" priority="147">
      <formula>$W266="Cancelled"</formula>
    </cfRule>
  </conditionalFormatting>
  <conditionalFormatting sqref="C266:C281">
    <cfRule type="expression" dxfId="168" priority="146">
      <formula>$W266="Cancelled"</formula>
    </cfRule>
  </conditionalFormatting>
  <conditionalFormatting sqref="W266:W277 W282:W283">
    <cfRule type="expression" dxfId="167" priority="145">
      <formula>$W266="Cancelled"</formula>
    </cfRule>
  </conditionalFormatting>
  <conditionalFormatting sqref="AJ266">
    <cfRule type="expression" dxfId="166" priority="144">
      <formula>$W266="Cancelled"</formula>
    </cfRule>
  </conditionalFormatting>
  <conditionalFormatting sqref="AI267">
    <cfRule type="expression" dxfId="165" priority="143">
      <formula>$W267="Cancelled"</formula>
    </cfRule>
  </conditionalFormatting>
  <conditionalFormatting sqref="AH267">
    <cfRule type="expression" dxfId="164" priority="142">
      <formula>$W267="Cancelled"</formula>
    </cfRule>
  </conditionalFormatting>
  <conditionalFormatting sqref="AH267">
    <cfRule type="expression" dxfId="163" priority="141">
      <formula>$W267="Cancelled"</formula>
    </cfRule>
  </conditionalFormatting>
  <conditionalFormatting sqref="AI268">
    <cfRule type="expression" dxfId="162" priority="140">
      <formula>$W268="Cancelled"</formula>
    </cfRule>
  </conditionalFormatting>
  <conditionalFormatting sqref="AH268">
    <cfRule type="expression" dxfId="161" priority="139">
      <formula>$W268="Cancelled"</formula>
    </cfRule>
  </conditionalFormatting>
  <conditionalFormatting sqref="AH268">
    <cfRule type="expression" dxfId="160" priority="138">
      <formula>$W268="Cancelled"</formula>
    </cfRule>
  </conditionalFormatting>
  <conditionalFormatting sqref="AJ267">
    <cfRule type="expression" dxfId="159" priority="137">
      <formula>$W267="Cancelled"</formula>
    </cfRule>
  </conditionalFormatting>
  <conditionalFormatting sqref="AJ268">
    <cfRule type="expression" dxfId="158" priority="136">
      <formula>$W268="Cancelled"</formula>
    </cfRule>
  </conditionalFormatting>
  <conditionalFormatting sqref="AH269">
    <cfRule type="expression" dxfId="157" priority="135">
      <formula>$W269="Cancelled"</formula>
    </cfRule>
  </conditionalFormatting>
  <conditionalFormatting sqref="AH269">
    <cfRule type="expression" dxfId="156" priority="134">
      <formula>$W269="Cancelled"</formula>
    </cfRule>
  </conditionalFormatting>
  <conditionalFormatting sqref="AJ269">
    <cfRule type="expression" dxfId="155" priority="133">
      <formula>$W269="Cancelled"</formula>
    </cfRule>
  </conditionalFormatting>
  <conditionalFormatting sqref="AJ270">
    <cfRule type="expression" dxfId="154" priority="132">
      <formula>$W270="Cancelled"</formula>
    </cfRule>
  </conditionalFormatting>
  <conditionalFormatting sqref="AJ271">
    <cfRule type="expression" dxfId="153" priority="131">
      <formula>$W271="Cancelled"</formula>
    </cfRule>
  </conditionalFormatting>
  <conditionalFormatting sqref="AJ272">
    <cfRule type="expression" dxfId="152" priority="130">
      <formula>$W272="Cancelled"</formula>
    </cfRule>
  </conditionalFormatting>
  <conditionalFormatting sqref="AJ273:AJ277 AJ282:AJ283">
    <cfRule type="expression" dxfId="151" priority="129">
      <formula>$W273="Cancelled"</formula>
    </cfRule>
  </conditionalFormatting>
  <conditionalFormatting sqref="AH274">
    <cfRule type="expression" dxfId="150" priority="128">
      <formula>$W274="Cancelled"</formula>
    </cfRule>
  </conditionalFormatting>
  <conditionalFormatting sqref="AH274">
    <cfRule type="expression" dxfId="149" priority="127">
      <formula>$W274="Cancelled"</formula>
    </cfRule>
  </conditionalFormatting>
  <conditionalFormatting sqref="AH275">
    <cfRule type="expression" dxfId="148" priority="126">
      <formula>$W275="Cancelled"</formula>
    </cfRule>
  </conditionalFormatting>
  <conditionalFormatting sqref="AH275">
    <cfRule type="expression" dxfId="147" priority="125">
      <formula>$W275="Cancelled"</formula>
    </cfRule>
  </conditionalFormatting>
  <conditionalFormatting sqref="AH276">
    <cfRule type="expression" dxfId="146" priority="124">
      <formula>$W276="Cancelled"</formula>
    </cfRule>
  </conditionalFormatting>
  <conditionalFormatting sqref="AH276">
    <cfRule type="expression" dxfId="145" priority="123">
      <formula>$W276="Cancelled"</formula>
    </cfRule>
  </conditionalFormatting>
  <conditionalFormatting sqref="AH277">
    <cfRule type="expression" dxfId="144" priority="122">
      <formula>$W277="Cancelled"</formula>
    </cfRule>
  </conditionalFormatting>
  <conditionalFormatting sqref="AH277">
    <cfRule type="expression" dxfId="143" priority="121">
      <formula>$W277="Cancelled"</formula>
    </cfRule>
  </conditionalFormatting>
  <conditionalFormatting sqref="AH270:AH273">
    <cfRule type="expression" dxfId="142" priority="120">
      <formula>$W270="Cancelled"</formula>
    </cfRule>
  </conditionalFormatting>
  <conditionalFormatting sqref="AH270:AH273">
    <cfRule type="expression" dxfId="141" priority="119">
      <formula>$W270="Cancelled"</formula>
    </cfRule>
  </conditionalFormatting>
  <conditionalFormatting sqref="AK273:AK277 AK282:AK283">
    <cfRule type="expression" dxfId="140" priority="118">
      <formula>$W273="Cancelled"</formula>
    </cfRule>
  </conditionalFormatting>
  <conditionalFormatting sqref="R265">
    <cfRule type="expression" dxfId="139" priority="117">
      <formula>"&lt;'Daily Spend'!$C$2"""</formula>
    </cfRule>
  </conditionalFormatting>
  <conditionalFormatting sqref="AK265:AL265 BG265 D265:V265 A265:B265 Y265:AI265">
    <cfRule type="expression" dxfId="138" priority="116">
      <formula>$W265="Cancelled"</formula>
    </cfRule>
  </conditionalFormatting>
  <conditionalFormatting sqref="C265">
    <cfRule type="expression" dxfId="137" priority="115">
      <formula>$W265="Cancelled"</formula>
    </cfRule>
  </conditionalFormatting>
  <conditionalFormatting sqref="W265">
    <cfRule type="expression" dxfId="136" priority="114">
      <formula>$W265="Cancelled"</formula>
    </cfRule>
  </conditionalFormatting>
  <conditionalFormatting sqref="AJ265">
    <cfRule type="expression" dxfId="135" priority="113">
      <formula>$W265="Cancelled"</formula>
    </cfRule>
  </conditionalFormatting>
  <conditionalFormatting sqref="AH282">
    <cfRule type="expression" dxfId="134" priority="112">
      <formula>$W282="Cancelled"</formula>
    </cfRule>
  </conditionalFormatting>
  <conditionalFormatting sqref="AH282">
    <cfRule type="expression" dxfId="133" priority="111">
      <formula>$W282="Cancelled"</formula>
    </cfRule>
  </conditionalFormatting>
  <conditionalFormatting sqref="AH283">
    <cfRule type="expression" dxfId="132" priority="110">
      <formula>$W283="Cancelled"</formula>
    </cfRule>
  </conditionalFormatting>
  <conditionalFormatting sqref="AH283">
    <cfRule type="expression" dxfId="131" priority="109">
      <formula>$W283="Cancelled"</formula>
    </cfRule>
  </conditionalFormatting>
  <conditionalFormatting sqref="BG267">
    <cfRule type="expression" dxfId="130" priority="108">
      <formula>$W267="Cancelled"</formula>
    </cfRule>
  </conditionalFormatting>
  <conditionalFormatting sqref="BG268">
    <cfRule type="expression" dxfId="129" priority="107">
      <formula>$W268="Cancelled"</formula>
    </cfRule>
  </conditionalFormatting>
  <conditionalFormatting sqref="AJ279">
    <cfRule type="expression" dxfId="128" priority="106">
      <formula>$W279="Cancelled"</formula>
    </cfRule>
  </conditionalFormatting>
  <conditionalFormatting sqref="AJ280">
    <cfRule type="expression" dxfId="127" priority="105">
      <formula>$W280="Cancelled"</formula>
    </cfRule>
  </conditionalFormatting>
  <conditionalFormatting sqref="AH284">
    <cfRule type="expression" dxfId="126" priority="104">
      <formula>$W284="Cancelled"</formula>
    </cfRule>
  </conditionalFormatting>
  <conditionalFormatting sqref="AI284">
    <cfRule type="expression" dxfId="125" priority="103">
      <formula>$W284="Cancelled"</formula>
    </cfRule>
  </conditionalFormatting>
  <conditionalFormatting sqref="AJ284">
    <cfRule type="expression" dxfId="124" priority="102">
      <formula>$W284="Cancelled"</formula>
    </cfRule>
  </conditionalFormatting>
  <conditionalFormatting sqref="AK284">
    <cfRule type="expression" dxfId="123" priority="101">
      <formula>$W284="Cancelled"</formula>
    </cfRule>
  </conditionalFormatting>
  <conditionalFormatting sqref="AK284">
    <cfRule type="expression" dxfId="122" priority="100">
      <formula>$W284="Cancelled"</formula>
    </cfRule>
  </conditionalFormatting>
  <conditionalFormatting sqref="AG284">
    <cfRule type="expression" dxfId="121" priority="99">
      <formula>$W284="Cancelled"</formula>
    </cfRule>
  </conditionalFormatting>
  <conditionalFormatting sqref="W284">
    <cfRule type="expression" dxfId="120" priority="98">
      <formula>$W284="Cancelled"</formula>
    </cfRule>
  </conditionalFormatting>
  <conditionalFormatting sqref="AG281">
    <cfRule type="expression" dxfId="119" priority="97">
      <formula>$W281="Cancelled"</formula>
    </cfRule>
  </conditionalFormatting>
  <conditionalFormatting sqref="AJ281">
    <cfRule type="expression" dxfId="118" priority="96">
      <formula>$W281="Cancelled"</formula>
    </cfRule>
  </conditionalFormatting>
  <conditionalFormatting sqref="AK281">
    <cfRule type="expression" dxfId="117" priority="95">
      <formula>$W281="Cancelled"</formula>
    </cfRule>
  </conditionalFormatting>
  <conditionalFormatting sqref="W281">
    <cfRule type="expression" dxfId="116" priority="94">
      <formula>$W281="Cancelled"</formula>
    </cfRule>
  </conditionalFormatting>
  <conditionalFormatting sqref="Y285:AF285 A285:U285 AH285:AJ285">
    <cfRule type="expression" dxfId="115" priority="149">
      <formula>$V285="Cancelled"</formula>
    </cfRule>
  </conditionalFormatting>
  <conditionalFormatting sqref="W280">
    <cfRule type="expression" dxfId="114" priority="93">
      <formula>$W280="Cancelled"</formula>
    </cfRule>
  </conditionalFormatting>
  <conditionalFormatting sqref="AG285 AG289:AG292">
    <cfRule type="expression" dxfId="113" priority="92">
      <formula>$W285="Cancelled"</formula>
    </cfRule>
  </conditionalFormatting>
  <conditionalFormatting sqref="AG293">
    <cfRule type="expression" dxfId="112" priority="91">
      <formula>$W293="Cancelled"</formula>
    </cfRule>
  </conditionalFormatting>
  <conditionalFormatting sqref="AH290">
    <cfRule type="expression" dxfId="111" priority="90">
      <formula>$W290="Cancelled"</formula>
    </cfRule>
  </conditionalFormatting>
  <conditionalFormatting sqref="AH290">
    <cfRule type="expression" dxfId="110" priority="89">
      <formula>$W290="Cancelled"</formula>
    </cfRule>
  </conditionalFormatting>
  <conditionalFormatting sqref="AH291">
    <cfRule type="expression" dxfId="109" priority="88">
      <formula>$W291="Cancelled"</formula>
    </cfRule>
  </conditionalFormatting>
  <conditionalFormatting sqref="AH291">
    <cfRule type="expression" dxfId="108" priority="87">
      <formula>$W291="Cancelled"</formula>
    </cfRule>
  </conditionalFormatting>
  <conditionalFormatting sqref="AH292">
    <cfRule type="expression" dxfId="107" priority="86">
      <formula>$W292="Cancelled"</formula>
    </cfRule>
  </conditionalFormatting>
  <conditionalFormatting sqref="AH292">
    <cfRule type="expression" dxfId="106" priority="85">
      <formula>$W292="Cancelled"</formula>
    </cfRule>
  </conditionalFormatting>
  <conditionalFormatting sqref="AH293">
    <cfRule type="expression" dxfId="105" priority="84">
      <formula>$W293="Cancelled"</formula>
    </cfRule>
  </conditionalFormatting>
  <conditionalFormatting sqref="AH293">
    <cfRule type="expression" dxfId="104" priority="83">
      <formula>$W293="Cancelled"</formula>
    </cfRule>
  </conditionalFormatting>
  <conditionalFormatting sqref="AK285 AK289:AK293">
    <cfRule type="expression" dxfId="103" priority="82">
      <formula>$W285="Cancelled"</formula>
    </cfRule>
  </conditionalFormatting>
  <conditionalFormatting sqref="AG295">
    <cfRule type="expression" dxfId="102" priority="81">
      <formula>$W295="Cancelled"</formula>
    </cfRule>
  </conditionalFormatting>
  <conditionalFormatting sqref="AK295">
    <cfRule type="expression" dxfId="101" priority="80">
      <formula>$W295="Cancelled"</formula>
    </cfRule>
  </conditionalFormatting>
  <conditionalFormatting sqref="R299:R302">
    <cfRule type="expression" dxfId="100" priority="79">
      <formula>"&lt;'Daily Spend'!$C$2"""</formula>
    </cfRule>
  </conditionalFormatting>
  <conditionalFormatting sqref="D298:J298 P298 D299:V299 A299:B300 D300:W300 A302:B302 D302:M302 A301:M301 P301:W302 AH299:AL300 AH302:AL302 AH301:AJ301 AL301 AH298:AI298 AK298:AL298 BG298:BG302 Y298:AF302">
    <cfRule type="expression" dxfId="99" priority="78">
      <formula>$W298="Cancelled"</formula>
    </cfRule>
  </conditionalFormatting>
  <conditionalFormatting sqref="C296">
    <cfRule type="expression" dxfId="98" priority="77">
      <formula>$W296="Cancelled"</formula>
    </cfRule>
  </conditionalFormatting>
  <conditionalFormatting sqref="N296">
    <cfRule type="expression" dxfId="97" priority="76">
      <formula>$W296="Cancelled"</formula>
    </cfRule>
  </conditionalFormatting>
  <conditionalFormatting sqref="A298">
    <cfRule type="expression" dxfId="96" priority="75">
      <formula>$W298="Cancelled"</formula>
    </cfRule>
  </conditionalFormatting>
  <conditionalFormatting sqref="B297">
    <cfRule type="expression" dxfId="95" priority="74">
      <formula>$W297="Cancelled"</formula>
    </cfRule>
  </conditionalFormatting>
  <conditionalFormatting sqref="C297">
    <cfRule type="expression" dxfId="94" priority="73">
      <formula>$W297="Cancelled"</formula>
    </cfRule>
  </conditionalFormatting>
  <conditionalFormatting sqref="B298">
    <cfRule type="expression" dxfId="93" priority="72">
      <formula>$W298="Cancelled"</formula>
    </cfRule>
  </conditionalFormatting>
  <conditionalFormatting sqref="C298">
    <cfRule type="expression" dxfId="92" priority="71">
      <formula>$W298="Cancelled"</formula>
    </cfRule>
  </conditionalFormatting>
  <conditionalFormatting sqref="N297">
    <cfRule type="expression" dxfId="91" priority="70">
      <formula>$W297="Cancelled"</formula>
    </cfRule>
  </conditionalFormatting>
  <conditionalFormatting sqref="K298:M298">
    <cfRule type="expression" dxfId="90" priority="69">
      <formula>$W298="Cancelled"</formula>
    </cfRule>
  </conditionalFormatting>
  <conditionalFormatting sqref="N298">
    <cfRule type="expression" dxfId="89" priority="68">
      <formula>$W298="Cancelled"</formula>
    </cfRule>
  </conditionalFormatting>
  <conditionalFormatting sqref="Q298">
    <cfRule type="expression" dxfId="88" priority="67">
      <formula>$W298="Cancelled"</formula>
    </cfRule>
  </conditionalFormatting>
  <conditionalFormatting sqref="R298">
    <cfRule type="expression" dxfId="87" priority="66">
      <formula>"&lt;'Daily Spend'!$C$2"""</formula>
    </cfRule>
  </conditionalFormatting>
  <conditionalFormatting sqref="R298:W298">
    <cfRule type="expression" dxfId="86" priority="65">
      <formula>$W298="Cancelled"</formula>
    </cfRule>
  </conditionalFormatting>
  <conditionalFormatting sqref="C299">
    <cfRule type="expression" dxfId="85" priority="64">
      <formula>$W299="Cancelled"</formula>
    </cfRule>
  </conditionalFormatting>
  <conditionalFormatting sqref="W299">
    <cfRule type="expression" dxfId="84" priority="63">
      <formula>$W299="Cancelled"</formula>
    </cfRule>
  </conditionalFormatting>
  <conditionalFormatting sqref="C300">
    <cfRule type="expression" dxfId="83" priority="62">
      <formula>$W300="Cancelled"</formula>
    </cfRule>
  </conditionalFormatting>
  <conditionalFormatting sqref="C302">
    <cfRule type="expression" dxfId="82" priority="61">
      <formula>$W302="Cancelled"</formula>
    </cfRule>
  </conditionalFormatting>
  <conditionalFormatting sqref="N301">
    <cfRule type="expression" dxfId="81" priority="60">
      <formula>$W301="Cancelled"</formula>
    </cfRule>
  </conditionalFormatting>
  <conditionalFormatting sqref="N302">
    <cfRule type="expression" dxfId="80" priority="59">
      <formula>$W302="Cancelled"</formula>
    </cfRule>
  </conditionalFormatting>
  <conditionalFormatting sqref="AG296">
    <cfRule type="expression" dxfId="79" priority="58">
      <formula>$W296="Cancelled"</formula>
    </cfRule>
  </conditionalFormatting>
  <conditionalFormatting sqref="AG297">
    <cfRule type="expression" dxfId="78" priority="57">
      <formula>$W297="Cancelled"</formula>
    </cfRule>
  </conditionalFormatting>
  <conditionalFormatting sqref="AG298">
    <cfRule type="expression" dxfId="77" priority="56">
      <formula>$W298="Cancelled"</formula>
    </cfRule>
  </conditionalFormatting>
  <conditionalFormatting sqref="AG299">
    <cfRule type="expression" dxfId="76" priority="55">
      <formula>$W299="Cancelled"</formula>
    </cfRule>
  </conditionalFormatting>
  <conditionalFormatting sqref="AG300">
    <cfRule type="expression" dxfId="75" priority="54">
      <formula>$W300="Cancelled"</formula>
    </cfRule>
  </conditionalFormatting>
  <conditionalFormatting sqref="AG301">
    <cfRule type="expression" dxfId="74" priority="53">
      <formula>$W301="Cancelled"</formula>
    </cfRule>
  </conditionalFormatting>
  <conditionalFormatting sqref="AG302">
    <cfRule type="expression" dxfId="73" priority="52">
      <formula>$W302="Cancelled"</formula>
    </cfRule>
  </conditionalFormatting>
  <conditionalFormatting sqref="AK301">
    <cfRule type="expression" dxfId="72" priority="51">
      <formula>$W301="Cancelled"</formula>
    </cfRule>
  </conditionalFormatting>
  <conditionalFormatting sqref="AJ278">
    <cfRule type="expression" dxfId="71" priority="50">
      <formula>$W278="Cancelled"</formula>
    </cfRule>
  </conditionalFormatting>
  <conditionalFormatting sqref="AJ298">
    <cfRule type="expression" dxfId="70" priority="49">
      <formula>$W298="Cancelled"</formula>
    </cfRule>
  </conditionalFormatting>
  <conditionalFormatting sqref="AJ297">
    <cfRule type="expression" dxfId="69" priority="48">
      <formula>$W297="Cancelled"</formula>
    </cfRule>
  </conditionalFormatting>
  <conditionalFormatting sqref="AJ296">
    <cfRule type="expression" dxfId="68" priority="47">
      <formula>$W296="Cancelled"</formula>
    </cfRule>
  </conditionalFormatting>
  <conditionalFormatting sqref="R294">
    <cfRule type="expression" dxfId="67" priority="46">
      <formula>"&lt;'Daily Spend'!$C$2"""</formula>
    </cfRule>
  </conditionalFormatting>
  <conditionalFormatting sqref="AH294:AL294 A294:U294 Y294:AF294">
    <cfRule type="expression" dxfId="66" priority="45">
      <formula>$W294="Cancelled"</formula>
    </cfRule>
  </conditionalFormatting>
  <conditionalFormatting sqref="AK294">
    <cfRule type="expression" dxfId="65" priority="44">
      <formula>$W294="Cancelled"</formula>
    </cfRule>
  </conditionalFormatting>
  <conditionalFormatting sqref="AG294">
    <cfRule type="expression" dxfId="64" priority="43">
      <formula>$W294="Cancelled"</formula>
    </cfRule>
  </conditionalFormatting>
  <conditionalFormatting sqref="W294">
    <cfRule type="expression" dxfId="63" priority="42">
      <formula>$W294="Cancelled"</formula>
    </cfRule>
  </conditionalFormatting>
  <conditionalFormatting sqref="R288">
    <cfRule type="expression" dxfId="62" priority="41">
      <formula>"&lt;'Daily Spend'!$C$2"""</formula>
    </cfRule>
  </conditionalFormatting>
  <conditionalFormatting sqref="A288:B288 AH288 D288:V288 AL288 Y288:AF288">
    <cfRule type="expression" dxfId="61" priority="40">
      <formula>$W288="Cancelled"</formula>
    </cfRule>
  </conditionalFormatting>
  <conditionalFormatting sqref="C288">
    <cfRule type="expression" dxfId="60" priority="39">
      <formula>$W288="Cancelled"</formula>
    </cfRule>
  </conditionalFormatting>
  <conditionalFormatting sqref="W288">
    <cfRule type="expression" dxfId="59" priority="38">
      <formula>$W288="Cancelled"</formula>
    </cfRule>
  </conditionalFormatting>
  <conditionalFormatting sqref="AG288">
    <cfRule type="expression" dxfId="58" priority="37">
      <formula>$W288="Cancelled"</formula>
    </cfRule>
  </conditionalFormatting>
  <conditionalFormatting sqref="AJ288">
    <cfRule type="expression" dxfId="57" priority="36">
      <formula>$W288="Cancelled"</formula>
    </cfRule>
  </conditionalFormatting>
  <conditionalFormatting sqref="AK288">
    <cfRule type="expression" dxfId="56" priority="35">
      <formula>$W288="Cancelled"</formula>
    </cfRule>
  </conditionalFormatting>
  <conditionalFormatting sqref="AK288">
    <cfRule type="expression" dxfId="55" priority="34">
      <formula>$W288="Cancelled"</formula>
    </cfRule>
  </conditionalFormatting>
  <conditionalFormatting sqref="R286:R287">
    <cfRule type="expression" dxfId="54" priority="33">
      <formula>"&lt;'Daily Spend'!$C$2"""</formula>
    </cfRule>
  </conditionalFormatting>
  <conditionalFormatting sqref="A286:B287 D286:V287 AL286:AL287 Y286:AF287">
    <cfRule type="expression" dxfId="53" priority="32">
      <formula>$W286="Cancelled"</formula>
    </cfRule>
  </conditionalFormatting>
  <conditionalFormatting sqref="W286:W287">
    <cfRule type="expression" dxfId="52" priority="31">
      <formula>$W286="Cancelled"</formula>
    </cfRule>
  </conditionalFormatting>
  <conditionalFormatting sqref="AG286:AG287">
    <cfRule type="expression" dxfId="51" priority="30">
      <formula>$W286="Cancelled"</formula>
    </cfRule>
  </conditionalFormatting>
  <conditionalFormatting sqref="AJ286:AJ287">
    <cfRule type="expression" dxfId="50" priority="29">
      <formula>$W286="Cancelled"</formula>
    </cfRule>
  </conditionalFormatting>
  <conditionalFormatting sqref="AK286:AK287">
    <cfRule type="expression" dxfId="49" priority="28">
      <formula>$W286="Cancelled"</formula>
    </cfRule>
  </conditionalFormatting>
  <conditionalFormatting sqref="AK286:AK287">
    <cfRule type="expression" dxfId="48" priority="27">
      <formula>$W286="Cancelled"</formula>
    </cfRule>
  </conditionalFormatting>
  <conditionalFormatting sqref="BG297">
    <cfRule type="expression" dxfId="47" priority="26">
      <formula>$W297="Cancelled"</formula>
    </cfRule>
  </conditionalFormatting>
  <conditionalFormatting sqref="BG296">
    <cfRule type="expression" dxfId="46" priority="25">
      <formula>$W296="Cancelled"</formula>
    </cfRule>
  </conditionalFormatting>
  <conditionalFormatting sqref="BG294">
    <cfRule type="expression" dxfId="45" priority="24">
      <formula>$W294="Cancelled"</formula>
    </cfRule>
  </conditionalFormatting>
  <conditionalFormatting sqref="BG293">
    <cfRule type="expression" dxfId="44" priority="23">
      <formula>$W293="Cancelled"</formula>
    </cfRule>
  </conditionalFormatting>
  <conditionalFormatting sqref="BG292">
    <cfRule type="expression" dxfId="43" priority="22">
      <formula>$W292="Cancelled"</formula>
    </cfRule>
  </conditionalFormatting>
  <conditionalFormatting sqref="BG291">
    <cfRule type="expression" dxfId="42" priority="21">
      <formula>$W291="Cancelled"</formula>
    </cfRule>
  </conditionalFormatting>
  <conditionalFormatting sqref="BG290">
    <cfRule type="expression" dxfId="41" priority="20">
      <formula>$W290="Cancelled"</formula>
    </cfRule>
  </conditionalFormatting>
  <conditionalFormatting sqref="BG289">
    <cfRule type="expression" dxfId="40" priority="19">
      <formula>$W289="Cancelled"</formula>
    </cfRule>
  </conditionalFormatting>
  <conditionalFormatting sqref="BG288">
    <cfRule type="expression" dxfId="39" priority="18">
      <formula>$W288="Cancelled"</formula>
    </cfRule>
  </conditionalFormatting>
  <conditionalFormatting sqref="BG287">
    <cfRule type="expression" dxfId="38" priority="17">
      <formula>$W287="Cancelled"</formula>
    </cfRule>
  </conditionalFormatting>
  <conditionalFormatting sqref="BG286">
    <cfRule type="expression" dxfId="37" priority="16">
      <formula>$W286="Cancelled"</formula>
    </cfRule>
  </conditionalFormatting>
  <conditionalFormatting sqref="BG285">
    <cfRule type="expression" dxfId="36" priority="15">
      <formula>$W285="Cancelled"</formula>
    </cfRule>
  </conditionalFormatting>
  <conditionalFormatting sqref="R239">
    <cfRule type="expression" dxfId="35" priority="14">
      <formula>"&lt;'Daily Spend'!$C$2"""</formula>
    </cfRule>
  </conditionalFormatting>
  <conditionalFormatting sqref="AH239:AL239 X239:AB239 A239:U239 AD239:AF239">
    <cfRule type="expression" dxfId="34" priority="13">
      <formula>$W239="Cancelled"</formula>
    </cfRule>
  </conditionalFormatting>
  <conditionalFormatting sqref="AK239">
    <cfRule type="expression" dxfId="33" priority="12">
      <formula>$W239="Cancelled"</formula>
    </cfRule>
  </conditionalFormatting>
  <conditionalFormatting sqref="AG239">
    <cfRule type="expression" dxfId="32" priority="11">
      <formula>$W239="Cancelled"</formula>
    </cfRule>
  </conditionalFormatting>
  <conditionalFormatting sqref="W239">
    <cfRule type="expression" dxfId="31" priority="10">
      <formula>$W239="Cancelled"</formula>
    </cfRule>
  </conditionalFormatting>
  <conditionalFormatting sqref="BG239">
    <cfRule type="expression" dxfId="30" priority="9">
      <formula>$W239="Cancelled"</formula>
    </cfRule>
  </conditionalFormatting>
  <conditionalFormatting sqref="AC239">
    <cfRule type="expression" dxfId="29" priority="8">
      <formula>$W239="Cancelled"</formula>
    </cfRule>
  </conditionalFormatting>
  <conditionalFormatting sqref="BG258">
    <cfRule type="expression" dxfId="28" priority="1">
      <formula>$W258="Cancelled"</formula>
    </cfRule>
  </conditionalFormatting>
  <conditionalFormatting sqref="R258">
    <cfRule type="expression" dxfId="27" priority="7">
      <formula>"&lt;'Daily Spend'!$C$2"""</formula>
    </cfRule>
  </conditionalFormatting>
  <conditionalFormatting sqref="A258:B258 D258:V258 AH258:AL258 X258:AF258 X259:X302">
    <cfRule type="expression" dxfId="26" priority="6">
      <formula>$W258="Cancelled"</formula>
    </cfRule>
  </conditionalFormatting>
  <conditionalFormatting sqref="C258">
    <cfRule type="expression" dxfId="25" priority="5">
      <formula>$W258="Cancelled"</formula>
    </cfRule>
  </conditionalFormatting>
  <conditionalFormatting sqref="W258">
    <cfRule type="expression" dxfId="24" priority="4">
      <formula>$W258="Cancelled"</formula>
    </cfRule>
  </conditionalFormatting>
  <conditionalFormatting sqref="AG258">
    <cfRule type="expression" dxfId="23" priority="3">
      <formula>$W258="Cancelled"</formula>
    </cfRule>
  </conditionalFormatting>
  <conditionalFormatting sqref="AK258">
    <cfRule type="expression" dxfId="22" priority="2">
      <formula>$W258="Cancelled"</formula>
    </cfRule>
  </conditionalFormatting>
  <dataValidations count="5">
    <dataValidation type="list" allowBlank="1" showInputMessage="1" showErrorMessage="1" sqref="C341:C1048576 C146:C153 C163:C166 C106 C133:C144 C183 C108:C131 C97:C104 C155:C160 C2:C95 C189 C196 AH160 AH72:AH73 AH118:AH119 AH68:AH69 C204" xr:uid="{0D27FF72-7875-46B2-93C7-861879A55302}">
      <formula1>"Hand Sanitizer, Gowns, Facial Tissue, Hand Soap, Toilet Tissue, Tyvek NH-XL, Tyvek NH-XXL,Tyvek H-XL,Tyvek H-XXL, Disinfectant Wipes, Paper Towels, Gloves - S, Gloves - M, Gloves - L, Gloves - XL, Surgical Mask, N-95 with Filter, N-95 without Filter"</formula1>
    </dataValidation>
    <dataValidation type="list" allowBlank="1" showInputMessage="1" showErrorMessage="1" sqref="C339:C340" xr:uid="{56F4E994-3AA1-4FC1-A718-FC0BE9BF6D1C}">
      <formula1>"Hand Sanitizer,Gowns,Facial Tissue,Hand Soap,Toilet Tissue,Tyvek NH-XL,Tyvek NH-XXL,Tyvek H-XL,Tyvek H-XXL, Disinfectant Wipes, Paper Towels, Gloves - S, Gloves - M, Gloves - L, Gloves - XL, Surgical Mask, N-95 Filter,N-95 No Filter,Therm,Gog,IA,FS,PAWS"</formula1>
    </dataValidation>
    <dataValidation type="list" allowBlank="1" showInputMessage="1" showErrorMessage="1" sqref="C338 C167:C182 C184:C190 C192:C195 C197:C203 AH208 AH218 AH216 C210:C219 C205:C208 AH229 C224:C225 C228:C236 C238:C241 AH245:AH246 C244:C246 C249:C257 C259:C261 C264:C281 AH267:AH268 C284:C285 C289:C292 C295 C301" xr:uid="{86591DE7-6A3C-4C03-BF0A-9F3E62592624}">
      <formula1>"Hand Sanitizer,Gowns,Facial Tissue,Hand Soap,Toilet Tissue,Tyvek NH-XL,Tyvek NH-XXL,Tyvek H-XL,Tyvek H-XXL, Disinfectant Wipes,Paper Towels,Gloves - S,Gloves - M,Gloves - L, Gloves - XL, Surgical Mask,N-95 Filter,N-95 No Filter,Therm,Gog,IA,FS,PAWS,CMask"</formula1>
    </dataValidation>
    <dataValidation type="list" allowBlank="1" showInputMessage="1" showErrorMessage="1" sqref="C105 C107 C132" xr:uid="{DA8777E6-659B-4D72-8DED-E44EFEF3BE65}">
      <formula1>"Hand Sanitizer, Gowns, Facial Tissue, Hand Soap, Toilet Tissue, Tyvek NH-XL, Tyvek NH-XXL,Tyvek H-XL,Tyvek H-XXL, Disinfectant Wipes, Paper Towels, Gloves - S, Gloves - M, Gloves - L, Gloves - XL, Surgical Mask, N-95 Filter, N-95 No Filter"</formula1>
    </dataValidation>
    <dataValidation type="list" allowBlank="1" showInputMessage="1" showErrorMessage="1" sqref="C96" xr:uid="{1952D539-B4B0-4E47-9B79-8D35916AF02B}">
      <formula1>"Hand Sanitizer, Gowns, Facial Tissue, Hand Soap, Toilet Tissue, Tyvek NH-XL, Tyvek NH-XXL,Tyvek H-XL,Tyvek H-XXL, Disinfectant Wipes, Paper Towels, Gloves - S, Gloves - M, Gloves - L, Gloves - XL, Surgical Mask, N-95 Filter, N-95 No Filter, Therm, Gog, IA"</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77BDD-2682-4820-BB20-EBF3AFCE8456}">
  <sheetPr codeName="Sheet8"/>
  <dimension ref="A1:AS121"/>
  <sheetViews>
    <sheetView zoomScale="70" zoomScaleNormal="70" workbookViewId="0"/>
  </sheetViews>
  <sheetFormatPr baseColWidth="10" defaultColWidth="8.83203125" defaultRowHeight="15"/>
  <cols>
    <col min="1" max="1" width="18.5" bestFit="1" customWidth="1"/>
    <col min="2" max="2" width="19.5" bestFit="1" customWidth="1"/>
    <col min="3" max="3" width="32.5" bestFit="1" customWidth="1"/>
    <col min="4" max="4" width="12.83203125" bestFit="1" customWidth="1"/>
    <col min="5" max="5" width="19" style="2" bestFit="1" customWidth="1"/>
    <col min="6" max="6" width="13" style="2" bestFit="1" customWidth="1"/>
    <col min="7" max="7" width="19.5" style="2" bestFit="1" customWidth="1"/>
    <col min="8" max="8" width="11" style="2" bestFit="1" customWidth="1"/>
    <col min="9" max="9" width="9.83203125" style="2" bestFit="1" customWidth="1"/>
    <col min="10" max="10" width="11.33203125" style="2" bestFit="1" customWidth="1"/>
    <col min="11" max="11" width="10.5" style="2" bestFit="1" customWidth="1"/>
    <col min="12" max="12" width="13.5" style="2" bestFit="1" customWidth="1"/>
    <col min="13" max="13" width="11" style="2" bestFit="1" customWidth="1"/>
    <col min="14" max="14" width="15.33203125" style="2" bestFit="1" customWidth="1"/>
    <col min="15" max="15" width="9.5" style="2" bestFit="1" customWidth="1"/>
    <col min="17" max="17" width="16.5" bestFit="1" customWidth="1"/>
    <col min="18" max="18" width="21.5" bestFit="1" customWidth="1"/>
    <col min="19" max="19" width="23.1640625" bestFit="1" customWidth="1"/>
    <col min="20" max="20" width="6.33203125" bestFit="1" customWidth="1"/>
    <col min="21" max="21" width="18.83203125" bestFit="1" customWidth="1"/>
    <col min="22" max="22" width="10.5" bestFit="1" customWidth="1"/>
    <col min="23" max="23" width="10.1640625" bestFit="1" customWidth="1"/>
    <col min="24" max="26" width="9.33203125" bestFit="1" customWidth="1"/>
    <col min="27" max="27" width="8.1640625" bestFit="1" customWidth="1"/>
    <col min="28" max="28" width="10.5" bestFit="1" customWidth="1"/>
    <col min="29" max="31" width="9.33203125" bestFit="1" customWidth="1"/>
    <col min="33" max="33" width="27.83203125" bestFit="1" customWidth="1"/>
    <col min="34" max="34" width="6.6640625" bestFit="1" customWidth="1"/>
    <col min="35" max="35" width="19" bestFit="1" customWidth="1"/>
    <col min="36" max="36" width="10.6640625" bestFit="1" customWidth="1"/>
    <col min="37" max="37" width="9.6640625" bestFit="1" customWidth="1"/>
    <col min="38" max="38" width="9" bestFit="1" customWidth="1"/>
    <col min="39" max="39" width="9.5" bestFit="1" customWidth="1"/>
    <col min="40" max="41" width="9" bestFit="1" customWidth="1"/>
    <col min="42" max="42" width="11.1640625" bestFit="1" customWidth="1"/>
    <col min="43" max="43" width="9.5" bestFit="1" customWidth="1"/>
    <col min="44" max="44" width="9" bestFit="1" customWidth="1"/>
    <col min="45" max="45" width="9.5" bestFit="1" customWidth="1"/>
  </cols>
  <sheetData>
    <row r="1" spans="1:45">
      <c r="C1" s="36" t="s">
        <v>175</v>
      </c>
      <c r="D1" s="38">
        <v>44060</v>
      </c>
    </row>
    <row r="2" spans="1:45">
      <c r="D2" s="40"/>
      <c r="Q2" s="2" t="s">
        <v>4378</v>
      </c>
      <c r="R2" s="114">
        <v>44056</v>
      </c>
      <c r="V2" s="2"/>
      <c r="W2" s="2"/>
      <c r="X2" s="2"/>
      <c r="Y2" s="2"/>
      <c r="Z2" s="2"/>
      <c r="AA2" s="2"/>
      <c r="AB2" s="2"/>
      <c r="AC2" s="2"/>
      <c r="AD2" s="2"/>
      <c r="AE2" s="2"/>
    </row>
    <row r="3" spans="1:45" s="79" customFormat="1" ht="132" customHeight="1">
      <c r="A3" s="454" t="s">
        <v>4379</v>
      </c>
      <c r="B3" s="455"/>
      <c r="C3" s="455"/>
      <c r="D3" s="455"/>
      <c r="E3" s="455"/>
      <c r="F3" s="455"/>
      <c r="G3" s="455"/>
      <c r="H3" s="455"/>
      <c r="I3" s="455"/>
      <c r="J3" s="455"/>
      <c r="K3" s="80"/>
      <c r="L3" s="80"/>
      <c r="M3" s="80"/>
      <c r="N3" s="80"/>
      <c r="O3" s="80"/>
      <c r="Q3"/>
      <c r="R3"/>
      <c r="S3"/>
      <c r="T3" s="2"/>
      <c r="U3" s="2"/>
      <c r="V3" s="2"/>
      <c r="W3" s="2"/>
      <c r="X3" s="2"/>
      <c r="Y3" s="2"/>
      <c r="Z3" s="2"/>
      <c r="AA3" s="2"/>
      <c r="AB3" s="2"/>
      <c r="AC3" s="2"/>
      <c r="AD3" s="2"/>
      <c r="AE3" s="2"/>
    </row>
    <row r="4" spans="1:45" ht="32">
      <c r="A4" s="150" t="s">
        <v>4380</v>
      </c>
      <c r="B4" s="81" t="s">
        <v>4381</v>
      </c>
      <c r="C4" s="82" t="s">
        <v>21</v>
      </c>
      <c r="D4" s="83" t="s">
        <v>22</v>
      </c>
      <c r="E4" s="83" t="s">
        <v>2923</v>
      </c>
      <c r="F4" s="84" t="s">
        <v>24</v>
      </c>
      <c r="G4" s="84" t="s">
        <v>25</v>
      </c>
      <c r="H4" s="41" t="s">
        <v>26</v>
      </c>
      <c r="I4" s="41" t="s">
        <v>27</v>
      </c>
      <c r="J4" s="41" t="s">
        <v>28</v>
      </c>
      <c r="K4" s="41" t="s">
        <v>29</v>
      </c>
      <c r="L4" s="41" t="s">
        <v>30</v>
      </c>
      <c r="M4" s="41" t="s">
        <v>31</v>
      </c>
      <c r="N4" s="41" t="s">
        <v>32</v>
      </c>
      <c r="O4" s="152" t="s">
        <v>33</v>
      </c>
      <c r="Q4" s="150" t="s">
        <v>4380</v>
      </c>
      <c r="R4" s="81" t="s">
        <v>4381</v>
      </c>
      <c r="S4" s="82" t="s">
        <v>21</v>
      </c>
      <c r="T4" s="83" t="s">
        <v>22</v>
      </c>
      <c r="U4" s="83" t="s">
        <v>2923</v>
      </c>
      <c r="V4" s="84" t="s">
        <v>24</v>
      </c>
      <c r="W4" s="84" t="s">
        <v>25</v>
      </c>
      <c r="X4" s="41" t="s">
        <v>26</v>
      </c>
      <c r="Y4" s="41" t="s">
        <v>27</v>
      </c>
      <c r="Z4" s="41" t="s">
        <v>28</v>
      </c>
      <c r="AA4" s="41" t="s">
        <v>29</v>
      </c>
      <c r="AB4" s="41" t="s">
        <v>30</v>
      </c>
      <c r="AC4" s="41" t="s">
        <v>31</v>
      </c>
      <c r="AD4" s="41" t="s">
        <v>32</v>
      </c>
      <c r="AE4" s="152" t="s">
        <v>33</v>
      </c>
      <c r="AG4" s="154" t="s">
        <v>21</v>
      </c>
      <c r="AH4" s="155" t="s">
        <v>22</v>
      </c>
      <c r="AI4" s="155" t="s">
        <v>2923</v>
      </c>
      <c r="AJ4" s="156" t="s">
        <v>24</v>
      </c>
      <c r="AK4" s="156" t="s">
        <v>25</v>
      </c>
      <c r="AL4" s="157" t="s">
        <v>26</v>
      </c>
      <c r="AM4" s="157" t="s">
        <v>27</v>
      </c>
      <c r="AN4" s="157" t="s">
        <v>28</v>
      </c>
      <c r="AO4" s="157" t="s">
        <v>29</v>
      </c>
      <c r="AP4" s="157" t="s">
        <v>30</v>
      </c>
      <c r="AQ4" s="157" t="s">
        <v>31</v>
      </c>
      <c r="AR4" s="157" t="s">
        <v>32</v>
      </c>
      <c r="AS4" s="157" t="s">
        <v>33</v>
      </c>
    </row>
    <row r="5" spans="1:45">
      <c r="A5" s="151">
        <v>1</v>
      </c>
      <c r="B5" s="5">
        <v>11</v>
      </c>
      <c r="C5" s="4" t="str">
        <f>_xlfn.SINGLE(VLOOKUP(B5,DisplayOrder!A:B,2,FALSE))</f>
        <v>Disinfectant Wipes</v>
      </c>
      <c r="D5" s="5" t="str">
        <f>_xlfn.SINGLE(VLOOKUP(B5,DisplayOrder!A:C,3,FALSE))</f>
        <v>tube</v>
      </c>
      <c r="E5" s="2" t="s">
        <v>4382</v>
      </c>
      <c r="F5" s="359">
        <v>880</v>
      </c>
      <c r="G5" s="360">
        <v>10529</v>
      </c>
      <c r="H5" s="173">
        <v>1150</v>
      </c>
      <c r="I5" s="172">
        <v>4</v>
      </c>
      <c r="J5" s="172">
        <v>3705</v>
      </c>
      <c r="K5" s="172">
        <v>1250</v>
      </c>
      <c r="L5" s="172">
        <v>150</v>
      </c>
      <c r="M5" s="172">
        <v>68</v>
      </c>
      <c r="N5" s="172">
        <v>56</v>
      </c>
      <c r="O5" s="179">
        <v>41</v>
      </c>
      <c r="Q5" s="151">
        <v>1</v>
      </c>
      <c r="R5" s="5">
        <v>11</v>
      </c>
      <c r="S5" s="4" t="s">
        <v>78</v>
      </c>
      <c r="T5" s="5" t="s">
        <v>79</v>
      </c>
      <c r="U5" s="2" t="s">
        <v>4382</v>
      </c>
      <c r="V5" s="359">
        <v>880</v>
      </c>
      <c r="W5" s="360">
        <v>3086</v>
      </c>
      <c r="X5" s="173">
        <v>150</v>
      </c>
      <c r="Y5" s="172">
        <v>4</v>
      </c>
      <c r="Z5" s="172">
        <v>3753</v>
      </c>
      <c r="AA5" s="172">
        <v>1250</v>
      </c>
      <c r="AB5" s="172">
        <v>150</v>
      </c>
      <c r="AC5" s="172">
        <v>68</v>
      </c>
      <c r="AD5" s="172">
        <v>56</v>
      </c>
      <c r="AE5" s="179">
        <v>57</v>
      </c>
      <c r="AG5" s="4" t="s">
        <v>78</v>
      </c>
      <c r="AH5" s="5" t="s">
        <v>79</v>
      </c>
      <c r="AI5" s="2" t="s">
        <v>4382</v>
      </c>
      <c r="AJ5" s="158">
        <f>SUM(DATA_Depts[[#This Row],[SFD]])-SUM(V5)</f>
        <v>0</v>
      </c>
      <c r="AK5" s="158">
        <f>SUM(DATA_Depts[[#This Row],[SPD]])-SUM(W5)</f>
        <v>7443</v>
      </c>
      <c r="AL5" s="158">
        <f>SUM(DATA_Depts[[#This Row],[Parks]])-SUM(X5)</f>
        <v>1000</v>
      </c>
      <c r="AM5" s="158">
        <f>SUM(DATA_Depts[[#This Row],[SPU]])-SUM(Y5)</f>
        <v>0</v>
      </c>
      <c r="AN5" s="158">
        <f>SUM(DATA_Depts[[#This Row],[SDOT]])-SUM(Z5)</f>
        <v>-48</v>
      </c>
      <c r="AO5" s="158">
        <f>SUM(DATA_Depts[[#This Row],[SDCI]])-SUM(AA5)</f>
        <v>0</v>
      </c>
      <c r="AP5" s="158">
        <f>SUM(DATA_Depts[[#This Row],[Libraries]])-SUM(AB5)</f>
        <v>0</v>
      </c>
      <c r="AQ5" s="158">
        <f>SUM(DATA_Depts[[#This Row],[SeaIT]])-SUM(AC5)</f>
        <v>0</v>
      </c>
      <c r="AR5" s="158">
        <f>SUM(DATA_Depts[[#This Row],[Seattle Ctr]])-SUM(AD5)</f>
        <v>0</v>
      </c>
      <c r="AS5" s="158">
        <f>SUM(DATA_Depts[[#This Row],[SCL]])-SUM(AE5)</f>
        <v>-16</v>
      </c>
    </row>
    <row r="6" spans="1:45">
      <c r="A6" s="151">
        <v>2</v>
      </c>
      <c r="B6" s="5">
        <v>22</v>
      </c>
      <c r="C6" s="4" t="str">
        <f>_xlfn.SINGLE(VLOOKUP(B6,DisplayOrder!A:B,2,FALSE))</f>
        <v>Facial Tissue</v>
      </c>
      <c r="D6" s="5" t="str">
        <f>_xlfn.SINGLE(VLOOKUP(B6,DisplayOrder!A:C,3,FALSE))</f>
        <v>box</v>
      </c>
      <c r="E6" s="2" t="s">
        <v>4382</v>
      </c>
      <c r="F6" s="359" t="s">
        <v>2678</v>
      </c>
      <c r="G6" s="360">
        <v>0</v>
      </c>
      <c r="H6" s="360">
        <v>750</v>
      </c>
      <c r="I6" s="359">
        <v>28233</v>
      </c>
      <c r="J6" s="359">
        <v>725</v>
      </c>
      <c r="K6" s="359">
        <v>100</v>
      </c>
      <c r="L6" s="359">
        <v>380</v>
      </c>
      <c r="M6" s="359">
        <v>72</v>
      </c>
      <c r="N6" s="359">
        <v>0</v>
      </c>
      <c r="O6" s="361" t="s">
        <v>2939</v>
      </c>
      <c r="Q6" s="151">
        <v>2</v>
      </c>
      <c r="R6" s="5">
        <v>22</v>
      </c>
      <c r="S6" s="4" t="s">
        <v>94</v>
      </c>
      <c r="T6" s="5" t="s">
        <v>85</v>
      </c>
      <c r="U6" s="2" t="s">
        <v>4382</v>
      </c>
      <c r="V6" s="359" t="s">
        <v>2678</v>
      </c>
      <c r="W6" s="360">
        <v>0</v>
      </c>
      <c r="X6" s="360">
        <v>50</v>
      </c>
      <c r="Y6" s="359">
        <v>28233</v>
      </c>
      <c r="Z6" s="359">
        <v>725</v>
      </c>
      <c r="AA6" s="359">
        <v>100</v>
      </c>
      <c r="AB6" s="359">
        <v>380</v>
      </c>
      <c r="AC6" s="359">
        <v>72</v>
      </c>
      <c r="AD6" s="359">
        <v>0</v>
      </c>
      <c r="AE6" s="361" t="s">
        <v>2939</v>
      </c>
      <c r="AG6" s="4" t="s">
        <v>94</v>
      </c>
      <c r="AH6" s="5" t="s">
        <v>85</v>
      </c>
      <c r="AI6" s="2" t="s">
        <v>4382</v>
      </c>
      <c r="AJ6" s="158">
        <f>SUM(DATA_Depts[[#This Row],[SFD]])-SUM(V6)</f>
        <v>0</v>
      </c>
      <c r="AK6" s="158">
        <f>SUM(DATA_Depts[[#This Row],[SPD]])-SUM(W6)</f>
        <v>0</v>
      </c>
      <c r="AL6" s="158">
        <f>SUM(DATA_Depts[[#This Row],[Parks]])-SUM(X6)</f>
        <v>700</v>
      </c>
      <c r="AM6" s="158">
        <f>SUM(DATA_Depts[[#This Row],[SPU]])-SUM(Y6)</f>
        <v>0</v>
      </c>
      <c r="AN6" s="158">
        <f>SUM(DATA_Depts[[#This Row],[SDOT]])-SUM(Z6)</f>
        <v>0</v>
      </c>
      <c r="AO6" s="158">
        <f>SUM(DATA_Depts[[#This Row],[SDCI]])-SUM(AA6)</f>
        <v>0</v>
      </c>
      <c r="AP6" s="158">
        <f>SUM(DATA_Depts[[#This Row],[Libraries]])-SUM(AB6)</f>
        <v>0</v>
      </c>
      <c r="AQ6" s="158">
        <f>SUM(DATA_Depts[[#This Row],[SeaIT]])-SUM(AC6)</f>
        <v>0</v>
      </c>
      <c r="AR6" s="158">
        <f>SUM(DATA_Depts[[#This Row],[Seattle Ctr]])-SUM(AD6)</f>
        <v>0</v>
      </c>
      <c r="AS6" s="158">
        <f>SUM(DATA_Depts[[#This Row],[SCL]])-SUM(AE6)</f>
        <v>0</v>
      </c>
    </row>
    <row r="7" spans="1:45">
      <c r="A7" s="151">
        <v>3</v>
      </c>
      <c r="B7" s="5">
        <v>21</v>
      </c>
      <c r="C7" s="4" t="str">
        <f>_xlfn.SINGLE(VLOOKUP(B7,DisplayOrder!A:B,2,FALSE))</f>
        <v>Hand Soap</v>
      </c>
      <c r="D7" s="5" t="str">
        <f>_xlfn.SINGLE(VLOOKUP(B7,DisplayOrder!A:C,3,FALSE))</f>
        <v>bottle</v>
      </c>
      <c r="E7" s="2" t="s">
        <v>4382</v>
      </c>
      <c r="F7" s="359" t="s">
        <v>2678</v>
      </c>
      <c r="G7" s="360">
        <v>950</v>
      </c>
      <c r="H7" s="360">
        <v>288</v>
      </c>
      <c r="I7" s="359">
        <v>501</v>
      </c>
      <c r="J7" s="359">
        <v>1238</v>
      </c>
      <c r="K7" s="359">
        <v>150</v>
      </c>
      <c r="L7" s="359">
        <v>410</v>
      </c>
      <c r="M7" s="359">
        <v>0</v>
      </c>
      <c r="N7" s="359">
        <v>25</v>
      </c>
      <c r="O7" s="361">
        <v>24</v>
      </c>
      <c r="Q7" s="151">
        <v>3</v>
      </c>
      <c r="R7" s="5">
        <v>21</v>
      </c>
      <c r="S7" s="4" t="s">
        <v>93</v>
      </c>
      <c r="T7" s="5" t="s">
        <v>83</v>
      </c>
      <c r="U7" s="2" t="s">
        <v>4382</v>
      </c>
      <c r="V7" s="359" t="s">
        <v>2678</v>
      </c>
      <c r="W7" s="360">
        <v>950</v>
      </c>
      <c r="X7" s="360">
        <v>250</v>
      </c>
      <c r="Y7" s="359">
        <v>501</v>
      </c>
      <c r="Z7" s="359">
        <v>1430</v>
      </c>
      <c r="AA7" s="359">
        <v>150</v>
      </c>
      <c r="AB7" s="359">
        <v>410</v>
      </c>
      <c r="AC7" s="359">
        <v>0</v>
      </c>
      <c r="AD7" s="359">
        <v>25</v>
      </c>
      <c r="AE7" s="361">
        <v>24</v>
      </c>
      <c r="AG7" s="4" t="s">
        <v>93</v>
      </c>
      <c r="AH7" s="5" t="s">
        <v>83</v>
      </c>
      <c r="AI7" s="2" t="s">
        <v>4382</v>
      </c>
      <c r="AJ7" s="158">
        <f>SUM(DATA_Depts[[#This Row],[SFD]])-SUM(V7)</f>
        <v>0</v>
      </c>
      <c r="AK7" s="158">
        <f>SUM(DATA_Depts[[#This Row],[SPD]])-SUM(W7)</f>
        <v>0</v>
      </c>
      <c r="AL7" s="158">
        <f>SUM(DATA_Depts[[#This Row],[Parks]])-SUM(X7)</f>
        <v>38</v>
      </c>
      <c r="AM7" s="158">
        <f>SUM(DATA_Depts[[#This Row],[SPU]])-SUM(Y7)</f>
        <v>0</v>
      </c>
      <c r="AN7" s="158">
        <f>SUM(DATA_Depts[[#This Row],[SDOT]])-SUM(Z7)</f>
        <v>-192</v>
      </c>
      <c r="AO7" s="158">
        <f>SUM(DATA_Depts[[#This Row],[SDCI]])-SUM(AA7)</f>
        <v>0</v>
      </c>
      <c r="AP7" s="158">
        <f>SUM(DATA_Depts[[#This Row],[Libraries]])-SUM(AB7)</f>
        <v>0</v>
      </c>
      <c r="AQ7" s="158">
        <f>SUM(DATA_Depts[[#This Row],[SeaIT]])-SUM(AC7)</f>
        <v>0</v>
      </c>
      <c r="AR7" s="158">
        <f>SUM(DATA_Depts[[#This Row],[Seattle Ctr]])-SUM(AD7)</f>
        <v>0</v>
      </c>
      <c r="AS7" s="158">
        <f>SUM(DATA_Depts[[#This Row],[SCL]])-SUM(AE7)</f>
        <v>0</v>
      </c>
    </row>
    <row r="8" spans="1:45">
      <c r="A8" s="151">
        <v>4</v>
      </c>
      <c r="B8" s="5">
        <v>1</v>
      </c>
      <c r="C8" s="4" t="str">
        <f>_xlfn.SINGLE(VLOOKUP(B8,DisplayOrder!A:B,2,FALSE))</f>
        <v>Masks (N95)</v>
      </c>
      <c r="D8" s="5" t="str">
        <f>_xlfn.SINGLE(VLOOKUP(B8,DisplayOrder!A:C,3,FALSE))</f>
        <v>each</v>
      </c>
      <c r="E8" s="2" t="s">
        <v>4382</v>
      </c>
      <c r="F8" s="359">
        <v>74840</v>
      </c>
      <c r="G8" s="360">
        <v>62649</v>
      </c>
      <c r="H8" s="171">
        <v>350</v>
      </c>
      <c r="I8" s="172">
        <v>136</v>
      </c>
      <c r="J8" s="172">
        <v>6983</v>
      </c>
      <c r="K8" s="172">
        <v>150</v>
      </c>
      <c r="L8" s="172">
        <v>904</v>
      </c>
      <c r="M8" s="172">
        <v>343</v>
      </c>
      <c r="N8" s="172">
        <v>760</v>
      </c>
      <c r="O8" s="179">
        <v>300</v>
      </c>
      <c r="Q8" s="151">
        <v>4</v>
      </c>
      <c r="R8" s="5">
        <v>1</v>
      </c>
      <c r="S8" s="4" t="s">
        <v>66</v>
      </c>
      <c r="T8" s="5" t="s">
        <v>67</v>
      </c>
      <c r="U8" s="2" t="s">
        <v>4382</v>
      </c>
      <c r="V8" s="359">
        <v>74840</v>
      </c>
      <c r="W8" s="360">
        <v>63209</v>
      </c>
      <c r="X8" s="171">
        <v>350</v>
      </c>
      <c r="Y8" s="172">
        <v>136</v>
      </c>
      <c r="Z8" s="172">
        <v>7023</v>
      </c>
      <c r="AA8" s="172">
        <v>150</v>
      </c>
      <c r="AB8" s="172">
        <v>904</v>
      </c>
      <c r="AC8" s="172">
        <v>343</v>
      </c>
      <c r="AD8" s="172">
        <v>760</v>
      </c>
      <c r="AE8" s="179">
        <v>360</v>
      </c>
      <c r="AG8" s="4" t="s">
        <v>66</v>
      </c>
      <c r="AH8" s="5" t="s">
        <v>67</v>
      </c>
      <c r="AI8" s="2" t="s">
        <v>4382</v>
      </c>
      <c r="AJ8" s="158">
        <f>SUM(DATA_Depts[[#This Row],[SFD]])-SUM(V8)</f>
        <v>0</v>
      </c>
      <c r="AK8" s="158">
        <f>SUM(DATA_Depts[[#This Row],[SPD]])-SUM(W8)</f>
        <v>-560</v>
      </c>
      <c r="AL8" s="158">
        <f>SUM(DATA_Depts[[#This Row],[Parks]])-SUM(X8)</f>
        <v>0</v>
      </c>
      <c r="AM8" s="158">
        <f>SUM(DATA_Depts[[#This Row],[SPU]])-SUM(Y8)</f>
        <v>0</v>
      </c>
      <c r="AN8" s="158">
        <f>SUM(DATA_Depts[[#This Row],[SDOT]])-SUM(Z8)</f>
        <v>-40</v>
      </c>
      <c r="AO8" s="158">
        <f>SUM(DATA_Depts[[#This Row],[SDCI]])-SUM(AA8)</f>
        <v>0</v>
      </c>
      <c r="AP8" s="158">
        <f>SUM(DATA_Depts[[#This Row],[Libraries]])-SUM(AB8)</f>
        <v>0</v>
      </c>
      <c r="AQ8" s="158">
        <f>SUM(DATA_Depts[[#This Row],[SeaIT]])-SUM(AC8)</f>
        <v>0</v>
      </c>
      <c r="AR8" s="158">
        <f>SUM(DATA_Depts[[#This Row],[Seattle Ctr]])-SUM(AD8)</f>
        <v>0</v>
      </c>
      <c r="AS8" s="158">
        <f>SUM(DATA_Depts[[#This Row],[SCL]])-SUM(AE8)</f>
        <v>-60</v>
      </c>
    </row>
    <row r="9" spans="1:45">
      <c r="A9" s="151">
        <v>5</v>
      </c>
      <c r="B9" s="5">
        <v>2</v>
      </c>
      <c r="C9" s="4" t="str">
        <f>_xlfn.SINGLE(VLOOKUP(B9,DisplayOrder!A:B,2,FALSE))</f>
        <v>Masks (Surgical)</v>
      </c>
      <c r="D9" s="5" t="str">
        <f>_xlfn.SINGLE(VLOOKUP(B9,DisplayOrder!A:C,3,FALSE))</f>
        <v>each</v>
      </c>
      <c r="E9" s="2" t="s">
        <v>4382</v>
      </c>
      <c r="F9" s="359">
        <v>57501</v>
      </c>
      <c r="G9" s="360">
        <v>65820</v>
      </c>
      <c r="H9" s="171">
        <v>95000</v>
      </c>
      <c r="I9" s="172" t="s">
        <v>2678</v>
      </c>
      <c r="J9" s="172">
        <v>2200</v>
      </c>
      <c r="K9" s="172">
        <v>250</v>
      </c>
      <c r="L9" s="172">
        <v>682000</v>
      </c>
      <c r="M9" s="172">
        <v>250</v>
      </c>
      <c r="N9" s="172">
        <v>4000</v>
      </c>
      <c r="O9" s="179">
        <v>10098</v>
      </c>
      <c r="Q9" s="151">
        <v>5</v>
      </c>
      <c r="R9" s="5">
        <v>2</v>
      </c>
      <c r="S9" s="4" t="s">
        <v>68</v>
      </c>
      <c r="T9" s="5" t="s">
        <v>67</v>
      </c>
      <c r="U9" s="2" t="s">
        <v>4382</v>
      </c>
      <c r="V9" s="359">
        <v>57501</v>
      </c>
      <c r="W9" s="360">
        <v>58182</v>
      </c>
      <c r="X9" s="171">
        <v>40000</v>
      </c>
      <c r="Y9" s="172" t="s">
        <v>2678</v>
      </c>
      <c r="Z9" s="172">
        <v>2650</v>
      </c>
      <c r="AA9" s="172">
        <v>250</v>
      </c>
      <c r="AB9" s="172">
        <v>682000</v>
      </c>
      <c r="AC9" s="172">
        <v>250</v>
      </c>
      <c r="AD9" s="172">
        <v>4000</v>
      </c>
      <c r="AE9" s="179">
        <v>11279</v>
      </c>
      <c r="AG9" s="4" t="s">
        <v>68</v>
      </c>
      <c r="AH9" s="5" t="s">
        <v>67</v>
      </c>
      <c r="AI9" s="2" t="s">
        <v>4382</v>
      </c>
      <c r="AJ9" s="158">
        <f>SUM(DATA_Depts[[#This Row],[SFD]])-SUM(V9)</f>
        <v>0</v>
      </c>
      <c r="AK9" s="158">
        <f>SUM(DATA_Depts[[#This Row],[SPD]])-SUM(W9)</f>
        <v>7638</v>
      </c>
      <c r="AL9" s="158">
        <f>SUM(DATA_Depts[[#This Row],[Parks]])-SUM(X9)</f>
        <v>55000</v>
      </c>
      <c r="AM9" s="158">
        <f>SUM(DATA_Depts[[#This Row],[SPU]])-SUM(Y9)</f>
        <v>0</v>
      </c>
      <c r="AN9" s="158">
        <f>SUM(DATA_Depts[[#This Row],[SDOT]])-SUM(Z9)</f>
        <v>-450</v>
      </c>
      <c r="AO9" s="158">
        <f>SUM(DATA_Depts[[#This Row],[SDCI]])-SUM(AA9)</f>
        <v>0</v>
      </c>
      <c r="AP9" s="158">
        <f>SUM(DATA_Depts[[#This Row],[Libraries]])-SUM(AB9)</f>
        <v>0</v>
      </c>
      <c r="AQ9" s="158">
        <f>SUM(DATA_Depts[[#This Row],[SeaIT]])-SUM(AC9)</f>
        <v>0</v>
      </c>
      <c r="AR9" s="158">
        <f>SUM(DATA_Depts[[#This Row],[Seattle Ctr]])-SUM(AD9)</f>
        <v>0</v>
      </c>
      <c r="AS9" s="158">
        <f>SUM(DATA_Depts[[#This Row],[SCL]])-SUM(AE9)</f>
        <v>-1181</v>
      </c>
    </row>
    <row r="10" spans="1:45">
      <c r="A10" s="151">
        <v>6</v>
      </c>
      <c r="B10" s="5">
        <v>4</v>
      </c>
      <c r="C10" s="4" t="str">
        <f>_xlfn.SINGLE(VLOOKUP(B10,DisplayOrder!A:B,2,FALSE))</f>
        <v>Nitrile Gloves (Public Safety)</v>
      </c>
      <c r="D10" s="5" t="str">
        <f>_xlfn.SINGLE(VLOOKUP(B10,DisplayOrder!A:C,3,FALSE))</f>
        <v>pair</v>
      </c>
      <c r="E10" s="2" t="s">
        <v>4382</v>
      </c>
      <c r="F10" s="359">
        <v>175650</v>
      </c>
      <c r="G10" s="360">
        <v>192400</v>
      </c>
      <c r="H10" s="171" t="s">
        <v>2678</v>
      </c>
      <c r="I10" s="172" t="s">
        <v>2678</v>
      </c>
      <c r="J10" s="172" t="s">
        <v>2678</v>
      </c>
      <c r="K10" s="172" t="s">
        <v>2678</v>
      </c>
      <c r="L10" s="172" t="s">
        <v>2678</v>
      </c>
      <c r="M10" s="172" t="s">
        <v>2678</v>
      </c>
      <c r="N10" s="172">
        <v>0</v>
      </c>
      <c r="O10" s="179" t="s">
        <v>2678</v>
      </c>
      <c r="Q10" s="151">
        <v>6</v>
      </c>
      <c r="R10" s="5">
        <v>4</v>
      </c>
      <c r="S10" s="4" t="s">
        <v>70</v>
      </c>
      <c r="T10" s="5" t="s">
        <v>71</v>
      </c>
      <c r="U10" s="2" t="s">
        <v>4382</v>
      </c>
      <c r="V10" s="359">
        <v>175650</v>
      </c>
      <c r="W10" s="360">
        <v>196300</v>
      </c>
      <c r="X10" s="171" t="s">
        <v>2678</v>
      </c>
      <c r="Y10" s="172" t="s">
        <v>2678</v>
      </c>
      <c r="Z10" s="172" t="s">
        <v>2678</v>
      </c>
      <c r="AA10" s="172" t="s">
        <v>2678</v>
      </c>
      <c r="AB10" s="172" t="s">
        <v>2678</v>
      </c>
      <c r="AC10" s="172" t="s">
        <v>2678</v>
      </c>
      <c r="AD10" s="172">
        <v>0</v>
      </c>
      <c r="AE10" s="179" t="s">
        <v>2678</v>
      </c>
      <c r="AG10" s="4" t="s">
        <v>70</v>
      </c>
      <c r="AH10" s="5" t="s">
        <v>71</v>
      </c>
      <c r="AI10" s="2" t="s">
        <v>4382</v>
      </c>
      <c r="AJ10" s="158">
        <f>SUM(DATA_Depts[[#This Row],[SFD]])-SUM(V10)</f>
        <v>0</v>
      </c>
      <c r="AK10" s="158">
        <f>SUM(DATA_Depts[[#This Row],[SPD]])-SUM(W10)</f>
        <v>-3900</v>
      </c>
      <c r="AL10" s="158">
        <f>SUM(DATA_Depts[[#This Row],[Parks]])-SUM(X10)</f>
        <v>0</v>
      </c>
      <c r="AM10" s="158">
        <f>SUM(DATA_Depts[[#This Row],[SPU]])-SUM(Y10)</f>
        <v>0</v>
      </c>
      <c r="AN10" s="158">
        <f>SUM(DATA_Depts[[#This Row],[SDOT]])-SUM(Z10)</f>
        <v>0</v>
      </c>
      <c r="AO10" s="158">
        <f>SUM(DATA_Depts[[#This Row],[SDCI]])-SUM(AA10)</f>
        <v>0</v>
      </c>
      <c r="AP10" s="158">
        <f>SUM(DATA_Depts[[#This Row],[Libraries]])-SUM(AB10)</f>
        <v>0</v>
      </c>
      <c r="AQ10" s="158">
        <f>SUM(DATA_Depts[[#This Row],[SeaIT]])-SUM(AC10)</f>
        <v>0</v>
      </c>
      <c r="AR10" s="158">
        <f>SUM(DATA_Depts[[#This Row],[Seattle Ctr]])-SUM(AD10)</f>
        <v>0</v>
      </c>
      <c r="AS10" s="158">
        <f>SUM(DATA_Depts[[#This Row],[SCL]])-SUM(AE10)</f>
        <v>0</v>
      </c>
    </row>
    <row r="11" spans="1:45">
      <c r="A11" s="151">
        <v>7</v>
      </c>
      <c r="B11" s="5">
        <v>5</v>
      </c>
      <c r="C11" s="4" t="str">
        <f>_xlfn.SINGLE(VLOOKUP(B11,DisplayOrder!A:B,2,FALSE))</f>
        <v>Nitrile Gloves (General Use)</v>
      </c>
      <c r="D11" s="5" t="str">
        <f>_xlfn.SINGLE(VLOOKUP(B11,DisplayOrder!A:C,3,FALSE))</f>
        <v>pair</v>
      </c>
      <c r="E11" s="2" t="s">
        <v>4382</v>
      </c>
      <c r="F11" s="359" t="s">
        <v>2678</v>
      </c>
      <c r="G11" s="360">
        <v>100750</v>
      </c>
      <c r="H11" s="171">
        <v>900</v>
      </c>
      <c r="I11" s="172">
        <v>2647</v>
      </c>
      <c r="J11" s="172">
        <v>57650</v>
      </c>
      <c r="K11" s="172">
        <v>150</v>
      </c>
      <c r="L11" s="172">
        <v>56250</v>
      </c>
      <c r="M11" s="172">
        <v>22400</v>
      </c>
      <c r="N11" s="172">
        <v>30450</v>
      </c>
      <c r="O11" s="179">
        <v>11850</v>
      </c>
      <c r="Q11" s="151">
        <v>7</v>
      </c>
      <c r="R11" s="5">
        <v>5</v>
      </c>
      <c r="S11" s="4" t="s">
        <v>72</v>
      </c>
      <c r="T11" s="5" t="s">
        <v>71</v>
      </c>
      <c r="U11" s="2" t="s">
        <v>4382</v>
      </c>
      <c r="V11" s="359" t="s">
        <v>2678</v>
      </c>
      <c r="W11" s="360">
        <v>101600</v>
      </c>
      <c r="X11" s="171">
        <v>300</v>
      </c>
      <c r="Y11" s="172">
        <v>2647</v>
      </c>
      <c r="Z11" s="172">
        <v>57650</v>
      </c>
      <c r="AA11" s="172">
        <v>150</v>
      </c>
      <c r="AB11" s="172">
        <v>56250</v>
      </c>
      <c r="AC11" s="172">
        <v>22400</v>
      </c>
      <c r="AD11" s="172">
        <v>30450</v>
      </c>
      <c r="AE11" s="179">
        <v>12550</v>
      </c>
      <c r="AG11" s="4" t="s">
        <v>72</v>
      </c>
      <c r="AH11" s="5" t="s">
        <v>71</v>
      </c>
      <c r="AI11" s="2" t="s">
        <v>4382</v>
      </c>
      <c r="AJ11" s="158">
        <f>SUM(DATA_Depts[[#This Row],[SFD]])-SUM(V11)</f>
        <v>0</v>
      </c>
      <c r="AK11" s="158">
        <f>SUM(DATA_Depts[[#This Row],[SPD]])-SUM(W11)</f>
        <v>-850</v>
      </c>
      <c r="AL11" s="158">
        <f>SUM(DATA_Depts[[#This Row],[Parks]])-SUM(X11)</f>
        <v>600</v>
      </c>
      <c r="AM11" s="158">
        <f>SUM(DATA_Depts[[#This Row],[SPU]])-SUM(Y11)</f>
        <v>0</v>
      </c>
      <c r="AN11" s="158">
        <f>SUM(DATA_Depts[[#This Row],[SDOT]])-SUM(Z11)</f>
        <v>0</v>
      </c>
      <c r="AO11" s="158">
        <f>SUM(DATA_Depts[[#This Row],[SDCI]])-SUM(AA11)</f>
        <v>0</v>
      </c>
      <c r="AP11" s="158">
        <f>SUM(DATA_Depts[[#This Row],[Libraries]])-SUM(AB11)</f>
        <v>0</v>
      </c>
      <c r="AQ11" s="158">
        <f>SUM(DATA_Depts[[#This Row],[SeaIT]])-SUM(AC11)</f>
        <v>0</v>
      </c>
      <c r="AR11" s="158">
        <f>SUM(DATA_Depts[[#This Row],[Seattle Ctr]])-SUM(AD11)</f>
        <v>0</v>
      </c>
      <c r="AS11" s="158">
        <f>SUM(DATA_Depts[[#This Row],[SCL]])-SUM(AE11)</f>
        <v>-700</v>
      </c>
    </row>
    <row r="12" spans="1:45">
      <c r="A12" s="151">
        <v>8</v>
      </c>
      <c r="B12" s="5">
        <v>23</v>
      </c>
      <c r="C12" s="4" t="str">
        <f>_xlfn.SINGLE(VLOOKUP(B12,DisplayOrder!A:B,2,FALSE))</f>
        <v>Paper Towels</v>
      </c>
      <c r="D12" s="5" t="str">
        <f>_xlfn.SINGLE(VLOOKUP(B12,DisplayOrder!A:C,3,FALSE))</f>
        <v>pack</v>
      </c>
      <c r="E12" s="2" t="s">
        <v>4382</v>
      </c>
      <c r="F12" s="359" t="s">
        <v>2678</v>
      </c>
      <c r="G12" s="360">
        <v>0</v>
      </c>
      <c r="H12" s="360">
        <v>550</v>
      </c>
      <c r="I12" s="359">
        <v>78</v>
      </c>
      <c r="J12" s="359">
        <v>716</v>
      </c>
      <c r="K12" s="359">
        <v>100</v>
      </c>
      <c r="L12" s="359">
        <v>700</v>
      </c>
      <c r="M12" s="359">
        <v>0</v>
      </c>
      <c r="N12" s="359">
        <v>0</v>
      </c>
      <c r="O12" s="361">
        <v>84</v>
      </c>
      <c r="Q12" s="151">
        <v>8</v>
      </c>
      <c r="R12" s="5">
        <v>23</v>
      </c>
      <c r="S12" s="4" t="s">
        <v>95</v>
      </c>
      <c r="T12" s="5" t="s">
        <v>96</v>
      </c>
      <c r="U12" s="2" t="s">
        <v>4382</v>
      </c>
      <c r="V12" s="359" t="s">
        <v>2678</v>
      </c>
      <c r="W12" s="360">
        <v>0</v>
      </c>
      <c r="X12" s="360">
        <v>350</v>
      </c>
      <c r="Y12" s="359">
        <v>78</v>
      </c>
      <c r="Z12" s="359">
        <v>716</v>
      </c>
      <c r="AA12" s="359">
        <v>100</v>
      </c>
      <c r="AB12" s="359">
        <v>700</v>
      </c>
      <c r="AC12" s="359">
        <v>0</v>
      </c>
      <c r="AD12" s="359">
        <v>0</v>
      </c>
      <c r="AE12" s="361">
        <v>84</v>
      </c>
      <c r="AG12" s="4" t="s">
        <v>95</v>
      </c>
      <c r="AH12" s="5" t="s">
        <v>96</v>
      </c>
      <c r="AI12" s="2" t="s">
        <v>4382</v>
      </c>
      <c r="AJ12" s="158">
        <f>SUM(DATA_Depts[[#This Row],[SFD]])-SUM(V12)</f>
        <v>0</v>
      </c>
      <c r="AK12" s="158">
        <f>SUM(DATA_Depts[[#This Row],[SPD]])-SUM(W12)</f>
        <v>0</v>
      </c>
      <c r="AL12" s="158">
        <f>SUM(DATA_Depts[[#This Row],[Parks]])-SUM(X12)</f>
        <v>200</v>
      </c>
      <c r="AM12" s="158">
        <f>SUM(DATA_Depts[[#This Row],[SPU]])-SUM(Y12)</f>
        <v>0</v>
      </c>
      <c r="AN12" s="158">
        <f>SUM(DATA_Depts[[#This Row],[SDOT]])-SUM(Z12)</f>
        <v>0</v>
      </c>
      <c r="AO12" s="158">
        <f>SUM(DATA_Depts[[#This Row],[SDCI]])-SUM(AA12)</f>
        <v>0</v>
      </c>
      <c r="AP12" s="158">
        <f>SUM(DATA_Depts[[#This Row],[Libraries]])-SUM(AB12)</f>
        <v>0</v>
      </c>
      <c r="AQ12" s="158">
        <f>SUM(DATA_Depts[[#This Row],[SeaIT]])-SUM(AC12)</f>
        <v>0</v>
      </c>
      <c r="AR12" s="158">
        <f>SUM(DATA_Depts[[#This Row],[Seattle Ctr]])-SUM(AD12)</f>
        <v>0</v>
      </c>
      <c r="AS12" s="158">
        <f>SUM(DATA_Depts[[#This Row],[SCL]])-SUM(AE12)</f>
        <v>0</v>
      </c>
    </row>
    <row r="13" spans="1:45">
      <c r="A13" s="151">
        <v>9</v>
      </c>
      <c r="B13" s="5">
        <v>14</v>
      </c>
      <c r="C13" s="4" t="str">
        <f>_xlfn.SINGLE(VLOOKUP(B13,DisplayOrder!A:B,2,FALSE))</f>
        <v>Purell (1200 ml stand refill)</v>
      </c>
      <c r="D13" s="5" t="str">
        <f>_xlfn.SINGLE(VLOOKUP(B13,DisplayOrder!A:C,3,FALSE))</f>
        <v>box</v>
      </c>
      <c r="E13" s="2" t="s">
        <v>4382</v>
      </c>
      <c r="F13" s="359" t="s">
        <v>2678</v>
      </c>
      <c r="G13" s="360">
        <v>0</v>
      </c>
      <c r="H13" s="171">
        <v>0</v>
      </c>
      <c r="I13" s="172">
        <v>0</v>
      </c>
      <c r="J13" s="172">
        <v>22</v>
      </c>
      <c r="K13" s="172">
        <v>5</v>
      </c>
      <c r="L13" s="172">
        <v>0</v>
      </c>
      <c r="M13" s="172">
        <v>0</v>
      </c>
      <c r="N13" s="172">
        <v>25</v>
      </c>
      <c r="O13" s="179">
        <v>0</v>
      </c>
      <c r="Q13" s="151">
        <v>9</v>
      </c>
      <c r="R13" s="5">
        <v>14</v>
      </c>
      <c r="S13" s="4" t="s">
        <v>84</v>
      </c>
      <c r="T13" s="5" t="s">
        <v>85</v>
      </c>
      <c r="U13" s="2" t="s">
        <v>4382</v>
      </c>
      <c r="V13" s="359" t="s">
        <v>2678</v>
      </c>
      <c r="W13" s="360">
        <v>0</v>
      </c>
      <c r="X13" s="171">
        <v>0</v>
      </c>
      <c r="Y13" s="172">
        <v>0</v>
      </c>
      <c r="Z13" s="172">
        <v>22</v>
      </c>
      <c r="AA13" s="172">
        <v>5</v>
      </c>
      <c r="AB13" s="172">
        <v>0</v>
      </c>
      <c r="AC13" s="172">
        <v>0</v>
      </c>
      <c r="AD13" s="172">
        <v>25</v>
      </c>
      <c r="AE13" s="179">
        <v>0</v>
      </c>
      <c r="AG13" s="4" t="s">
        <v>84</v>
      </c>
      <c r="AH13" s="5" t="s">
        <v>85</v>
      </c>
      <c r="AI13" s="2" t="s">
        <v>4382</v>
      </c>
      <c r="AJ13" s="158">
        <f>SUM(DATA_Depts[[#This Row],[SFD]])-SUM(V13)</f>
        <v>0</v>
      </c>
      <c r="AK13" s="158">
        <f>SUM(DATA_Depts[[#This Row],[SPD]])-SUM(W13)</f>
        <v>0</v>
      </c>
      <c r="AL13" s="158">
        <f>SUM(DATA_Depts[[#This Row],[Parks]])-SUM(X13)</f>
        <v>0</v>
      </c>
      <c r="AM13" s="158">
        <f>SUM(DATA_Depts[[#This Row],[SPU]])-SUM(Y13)</f>
        <v>0</v>
      </c>
      <c r="AN13" s="158">
        <f>SUM(DATA_Depts[[#This Row],[SDOT]])-SUM(Z13)</f>
        <v>0</v>
      </c>
      <c r="AO13" s="158">
        <f>SUM(DATA_Depts[[#This Row],[SDCI]])-SUM(AA13)</f>
        <v>0</v>
      </c>
      <c r="AP13" s="158">
        <f>SUM(DATA_Depts[[#This Row],[Libraries]])-SUM(AB13)</f>
        <v>0</v>
      </c>
      <c r="AQ13" s="158">
        <f>SUM(DATA_Depts[[#This Row],[SeaIT]])-SUM(AC13)</f>
        <v>0</v>
      </c>
      <c r="AR13" s="158">
        <f>SUM(DATA_Depts[[#This Row],[Seattle Ctr]])-SUM(AD13)</f>
        <v>0</v>
      </c>
      <c r="AS13" s="158">
        <f>SUM(DATA_Depts[[#This Row],[SCL]])-SUM(AE13)</f>
        <v>0</v>
      </c>
    </row>
    <row r="14" spans="1:45">
      <c r="A14" s="151">
        <v>10</v>
      </c>
      <c r="B14" s="5">
        <v>13</v>
      </c>
      <c r="C14" s="4" t="str">
        <f>_xlfn.SINGLE(VLOOKUP(B14,DisplayOrder!A:B,2,FALSE))</f>
        <v>Hand Sanitizer (12oz or equiv)</v>
      </c>
      <c r="D14" s="5" t="str">
        <f>_xlfn.SINGLE(VLOOKUP(B14,DisplayOrder!A:C,3,FALSE))</f>
        <v>bottle</v>
      </c>
      <c r="E14" s="2" t="s">
        <v>4382</v>
      </c>
      <c r="F14" s="359">
        <v>267</v>
      </c>
      <c r="G14" s="360">
        <v>1010</v>
      </c>
      <c r="H14" s="171">
        <v>288</v>
      </c>
      <c r="I14" s="172">
        <v>0</v>
      </c>
      <c r="J14" s="172">
        <v>1288</v>
      </c>
      <c r="K14" s="172">
        <v>400</v>
      </c>
      <c r="L14" s="172">
        <v>293</v>
      </c>
      <c r="M14" s="172">
        <v>52</v>
      </c>
      <c r="N14" s="172">
        <v>190</v>
      </c>
      <c r="O14" s="179">
        <v>490.4</v>
      </c>
      <c r="Q14" s="151">
        <v>10</v>
      </c>
      <c r="R14" s="5">
        <v>13</v>
      </c>
      <c r="S14" s="4" t="s">
        <v>82</v>
      </c>
      <c r="T14" s="5" t="s">
        <v>83</v>
      </c>
      <c r="U14" s="2" t="s">
        <v>4382</v>
      </c>
      <c r="V14" s="359">
        <v>267</v>
      </c>
      <c r="W14" s="360">
        <v>1040</v>
      </c>
      <c r="X14" s="171">
        <v>950</v>
      </c>
      <c r="Y14" s="172">
        <v>0</v>
      </c>
      <c r="Z14" s="172">
        <v>1179</v>
      </c>
      <c r="AA14" s="172">
        <v>400</v>
      </c>
      <c r="AB14" s="172">
        <v>293</v>
      </c>
      <c r="AC14" s="172">
        <v>52</v>
      </c>
      <c r="AD14" s="172">
        <v>190</v>
      </c>
      <c r="AE14" s="179">
        <v>491.1</v>
      </c>
      <c r="AG14" s="4" t="s">
        <v>82</v>
      </c>
      <c r="AH14" s="5" t="s">
        <v>83</v>
      </c>
      <c r="AI14" s="2" t="s">
        <v>4382</v>
      </c>
      <c r="AJ14" s="158">
        <f>SUM(DATA_Depts[[#This Row],[SFD]])-SUM(V14)</f>
        <v>0</v>
      </c>
      <c r="AK14" s="158">
        <f>SUM(DATA_Depts[[#This Row],[SPD]])-SUM(W14)</f>
        <v>-30</v>
      </c>
      <c r="AL14" s="158">
        <f>SUM(DATA_Depts[[#This Row],[Parks]])-SUM(X14)</f>
        <v>-662</v>
      </c>
      <c r="AM14" s="158">
        <f>SUM(DATA_Depts[[#This Row],[SPU]])-SUM(Y14)</f>
        <v>0</v>
      </c>
      <c r="AN14" s="158">
        <f>SUM(DATA_Depts[[#This Row],[SDOT]])-SUM(Z14)</f>
        <v>109</v>
      </c>
      <c r="AO14" s="158">
        <f>SUM(DATA_Depts[[#This Row],[SDCI]])-SUM(AA14)</f>
        <v>0</v>
      </c>
      <c r="AP14" s="158">
        <f>SUM(DATA_Depts[[#This Row],[Libraries]])-SUM(AB14)</f>
        <v>0</v>
      </c>
      <c r="AQ14" s="158">
        <f>SUM(DATA_Depts[[#This Row],[SeaIT]])-SUM(AC14)</f>
        <v>0</v>
      </c>
      <c r="AR14" s="158">
        <f>SUM(DATA_Depts[[#This Row],[Seattle Ctr]])-SUM(AD14)</f>
        <v>0</v>
      </c>
      <c r="AS14" s="158">
        <f>SUM(DATA_Depts[[#This Row],[SCL]])-SUM(AE14)</f>
        <v>-0.70000000000004547</v>
      </c>
    </row>
    <row r="15" spans="1:45">
      <c r="A15" s="151">
        <v>11</v>
      </c>
      <c r="B15" s="5">
        <v>24</v>
      </c>
      <c r="C15" s="4" t="str">
        <f>_xlfn.SINGLE(VLOOKUP(B15,DisplayOrder!A:B,2,FALSE))</f>
        <v>Toilet Paper</v>
      </c>
      <c r="D15" s="5" t="str">
        <f>_xlfn.SINGLE(VLOOKUP(B15,DisplayOrder!A:C,3,FALSE))</f>
        <v>roll</v>
      </c>
      <c r="E15" s="2" t="s">
        <v>4382</v>
      </c>
      <c r="F15" s="359" t="s">
        <v>2678</v>
      </c>
      <c r="G15" s="360">
        <v>0</v>
      </c>
      <c r="H15" s="360">
        <v>500</v>
      </c>
      <c r="I15" s="359">
        <v>24576</v>
      </c>
      <c r="J15" s="359">
        <v>438</v>
      </c>
      <c r="K15" s="359">
        <v>100</v>
      </c>
      <c r="L15" s="359">
        <v>6552</v>
      </c>
      <c r="M15" s="359">
        <v>0</v>
      </c>
      <c r="N15" s="359">
        <v>210</v>
      </c>
      <c r="O15" s="361">
        <v>6605</v>
      </c>
      <c r="Q15" s="151">
        <v>11</v>
      </c>
      <c r="R15" s="5">
        <v>24</v>
      </c>
      <c r="S15" s="4" t="s">
        <v>97</v>
      </c>
      <c r="T15" s="5" t="s">
        <v>98</v>
      </c>
      <c r="U15" s="2" t="s">
        <v>4382</v>
      </c>
      <c r="V15" s="359" t="s">
        <v>2678</v>
      </c>
      <c r="W15" s="360">
        <v>0</v>
      </c>
      <c r="X15" s="360">
        <v>500</v>
      </c>
      <c r="Y15" s="359">
        <v>24576</v>
      </c>
      <c r="Z15" s="359">
        <v>438</v>
      </c>
      <c r="AA15" s="359">
        <v>100</v>
      </c>
      <c r="AB15" s="359">
        <v>6552</v>
      </c>
      <c r="AC15" s="359">
        <v>0</v>
      </c>
      <c r="AD15" s="359">
        <v>210</v>
      </c>
      <c r="AE15" s="361">
        <v>7087</v>
      </c>
      <c r="AG15" s="4" t="s">
        <v>97</v>
      </c>
      <c r="AH15" s="5" t="s">
        <v>98</v>
      </c>
      <c r="AI15" s="2" t="s">
        <v>4382</v>
      </c>
      <c r="AJ15" s="158">
        <f>SUM(DATA_Depts[[#This Row],[SFD]])-SUM(V15)</f>
        <v>0</v>
      </c>
      <c r="AK15" s="158">
        <f>SUM(DATA_Depts[[#This Row],[SPD]])-SUM(W15)</f>
        <v>0</v>
      </c>
      <c r="AL15" s="158">
        <f>SUM(DATA_Depts[[#This Row],[Parks]])-SUM(X15)</f>
        <v>0</v>
      </c>
      <c r="AM15" s="158">
        <f>SUM(DATA_Depts[[#This Row],[SPU]])-SUM(Y15)</f>
        <v>0</v>
      </c>
      <c r="AN15" s="158">
        <f>SUM(DATA_Depts[[#This Row],[SDOT]])-SUM(Z15)</f>
        <v>0</v>
      </c>
      <c r="AO15" s="158">
        <f>SUM(DATA_Depts[[#This Row],[SDCI]])-SUM(AA15)</f>
        <v>0</v>
      </c>
      <c r="AP15" s="158">
        <f>SUM(DATA_Depts[[#This Row],[Libraries]])-SUM(AB15)</f>
        <v>0</v>
      </c>
      <c r="AQ15" s="158">
        <f>SUM(DATA_Depts[[#This Row],[SeaIT]])-SUM(AC15)</f>
        <v>0</v>
      </c>
      <c r="AR15" s="158">
        <f>SUM(DATA_Depts[[#This Row],[Seattle Ctr]])-SUM(AD15)</f>
        <v>0</v>
      </c>
      <c r="AS15" s="158">
        <f>SUM(DATA_Depts[[#This Row],[SCL]])-SUM(AE15)</f>
        <v>-482</v>
      </c>
    </row>
    <row r="16" spans="1:45">
      <c r="A16" s="151">
        <v>12</v>
      </c>
      <c r="B16" s="5">
        <v>8</v>
      </c>
      <c r="C16" s="4" t="str">
        <f>_xlfn.SINGLE(VLOOKUP(B16,DisplayOrder!A:B,2,FALSE))</f>
        <v>Tyvek Suits w/hoods</v>
      </c>
      <c r="D16" s="5" t="str">
        <f>_xlfn.SINGLE(VLOOKUP(B16,DisplayOrder!A:C,3,FALSE))</f>
        <v>each</v>
      </c>
      <c r="E16" s="2" t="s">
        <v>4382</v>
      </c>
      <c r="F16" s="359" t="s">
        <v>2678</v>
      </c>
      <c r="G16" s="360">
        <v>0</v>
      </c>
      <c r="H16" s="171">
        <v>1950</v>
      </c>
      <c r="I16" s="172">
        <v>12800</v>
      </c>
      <c r="J16" s="172">
        <v>931</v>
      </c>
      <c r="K16" s="172">
        <v>400</v>
      </c>
      <c r="L16" s="172">
        <v>0</v>
      </c>
      <c r="M16" s="172">
        <v>0</v>
      </c>
      <c r="N16" s="172">
        <v>0</v>
      </c>
      <c r="O16" s="178">
        <v>166</v>
      </c>
      <c r="Q16" s="151">
        <v>12</v>
      </c>
      <c r="R16" s="5">
        <v>8</v>
      </c>
      <c r="S16" s="4" t="s">
        <v>75</v>
      </c>
      <c r="T16" s="5" t="s">
        <v>67</v>
      </c>
      <c r="U16" s="2" t="s">
        <v>4382</v>
      </c>
      <c r="V16" s="359" t="s">
        <v>2678</v>
      </c>
      <c r="W16" s="360">
        <v>0</v>
      </c>
      <c r="X16" s="171">
        <v>1950</v>
      </c>
      <c r="Y16" s="172">
        <v>12800</v>
      </c>
      <c r="Z16" s="172">
        <v>931</v>
      </c>
      <c r="AA16" s="172">
        <v>400</v>
      </c>
      <c r="AB16" s="172">
        <v>0</v>
      </c>
      <c r="AC16" s="172">
        <v>0</v>
      </c>
      <c r="AD16" s="172">
        <v>0</v>
      </c>
      <c r="AE16" s="178">
        <v>166</v>
      </c>
      <c r="AG16" s="4" t="s">
        <v>75</v>
      </c>
      <c r="AH16" s="5" t="s">
        <v>67</v>
      </c>
      <c r="AI16" s="2" t="s">
        <v>4382</v>
      </c>
      <c r="AJ16" s="158">
        <f>SUM(DATA_Depts[[#This Row],[SFD]])-SUM(V16)</f>
        <v>0</v>
      </c>
      <c r="AK16" s="158">
        <f>SUM(DATA_Depts[[#This Row],[SPD]])-SUM(W16)</f>
        <v>0</v>
      </c>
      <c r="AL16" s="158">
        <f>SUM(DATA_Depts[[#This Row],[Parks]])-SUM(X16)</f>
        <v>0</v>
      </c>
      <c r="AM16" s="158">
        <f>SUM(DATA_Depts[[#This Row],[SPU]])-SUM(Y16)</f>
        <v>0</v>
      </c>
      <c r="AN16" s="158">
        <f>SUM(DATA_Depts[[#This Row],[SDOT]])-SUM(Z16)</f>
        <v>0</v>
      </c>
      <c r="AO16" s="158">
        <f>SUM(DATA_Depts[[#This Row],[SDCI]])-SUM(AA16)</f>
        <v>0</v>
      </c>
      <c r="AP16" s="158">
        <f>SUM(DATA_Depts[[#This Row],[Libraries]])-SUM(AB16)</f>
        <v>0</v>
      </c>
      <c r="AQ16" s="158">
        <f>SUM(DATA_Depts[[#This Row],[SeaIT]])-SUM(AC16)</f>
        <v>0</v>
      </c>
      <c r="AR16" s="158">
        <f>SUM(DATA_Depts[[#This Row],[Seattle Ctr]])-SUM(AD16)</f>
        <v>0</v>
      </c>
      <c r="AS16" s="158">
        <f>SUM(DATA_Depts[[#This Row],[SCL]])-SUM(AE16)</f>
        <v>0</v>
      </c>
    </row>
    <row r="17" spans="1:45">
      <c r="A17" s="151">
        <v>13</v>
      </c>
      <c r="B17" s="5">
        <v>7</v>
      </c>
      <c r="C17" s="4" t="str">
        <f>_xlfn.SINGLE(VLOOKUP(B17,DisplayOrder!A:B,2,FALSE))</f>
        <v>Tyvek Suits</v>
      </c>
      <c r="D17" s="5" t="str">
        <f>_xlfn.SINGLE(VLOOKUP(B17,DisplayOrder!A:C,3,FALSE))</f>
        <v>each</v>
      </c>
      <c r="E17" s="2" t="s">
        <v>4382</v>
      </c>
      <c r="F17" s="359" t="s">
        <v>2678</v>
      </c>
      <c r="G17" s="360">
        <v>36</v>
      </c>
      <c r="H17" s="173">
        <v>300</v>
      </c>
      <c r="I17" s="172">
        <v>793</v>
      </c>
      <c r="J17" s="172">
        <v>141</v>
      </c>
      <c r="K17" s="172" t="s">
        <v>2678</v>
      </c>
      <c r="L17" s="172">
        <v>0</v>
      </c>
      <c r="M17" s="172">
        <v>0</v>
      </c>
      <c r="N17" s="172">
        <v>125</v>
      </c>
      <c r="O17" s="179" t="s">
        <v>2678</v>
      </c>
      <c r="Q17" s="151">
        <v>13</v>
      </c>
      <c r="R17" s="5">
        <v>7</v>
      </c>
      <c r="S17" s="4" t="s">
        <v>74</v>
      </c>
      <c r="T17" s="5" t="s">
        <v>67</v>
      </c>
      <c r="U17" s="2" t="s">
        <v>4382</v>
      </c>
      <c r="V17" s="359" t="s">
        <v>2678</v>
      </c>
      <c r="W17" s="360">
        <v>40</v>
      </c>
      <c r="X17" s="173">
        <v>300</v>
      </c>
      <c r="Y17" s="172">
        <v>793</v>
      </c>
      <c r="Z17" s="172">
        <v>141</v>
      </c>
      <c r="AA17" s="172" t="s">
        <v>2678</v>
      </c>
      <c r="AB17" s="172">
        <v>0</v>
      </c>
      <c r="AC17" s="172">
        <v>0</v>
      </c>
      <c r="AD17" s="172">
        <v>125</v>
      </c>
      <c r="AE17" s="179" t="s">
        <v>2678</v>
      </c>
      <c r="AG17" s="4" t="s">
        <v>74</v>
      </c>
      <c r="AH17" s="5" t="s">
        <v>67</v>
      </c>
      <c r="AI17" s="2" t="s">
        <v>4382</v>
      </c>
      <c r="AJ17" s="158">
        <f>SUM(DATA_Depts[[#This Row],[SFD]])-SUM(V17)</f>
        <v>0</v>
      </c>
      <c r="AK17" s="158">
        <f>SUM(DATA_Depts[[#This Row],[SPD]])-SUM(W17)</f>
        <v>-4</v>
      </c>
      <c r="AL17" s="158">
        <f>SUM(DATA_Depts[[#This Row],[Parks]])-SUM(X17)</f>
        <v>0</v>
      </c>
      <c r="AM17" s="158">
        <f>SUM(DATA_Depts[[#This Row],[SPU]])-SUM(Y17)</f>
        <v>0</v>
      </c>
      <c r="AN17" s="158">
        <f>SUM(DATA_Depts[[#This Row],[SDOT]])-SUM(Z17)</f>
        <v>0</v>
      </c>
      <c r="AO17" s="158">
        <f>SUM(DATA_Depts[[#This Row],[SDCI]])-SUM(AA17)</f>
        <v>0</v>
      </c>
      <c r="AP17" s="158">
        <f>SUM(DATA_Depts[[#This Row],[Libraries]])-SUM(AB17)</f>
        <v>0</v>
      </c>
      <c r="AQ17" s="158">
        <f>SUM(DATA_Depts[[#This Row],[SeaIT]])-SUM(AC17)</f>
        <v>0</v>
      </c>
      <c r="AR17" s="158">
        <f>SUM(DATA_Depts[[#This Row],[Seattle Ctr]])-SUM(AD17)</f>
        <v>0</v>
      </c>
      <c r="AS17" s="158">
        <f>SUM(DATA_Depts[[#This Row],[SCL]])-SUM(AE17)</f>
        <v>0</v>
      </c>
    </row>
    <row r="18" spans="1:45">
      <c r="A18" s="151">
        <v>14</v>
      </c>
      <c r="B18" s="5">
        <v>6</v>
      </c>
      <c r="C18" s="4" t="str">
        <f>_xlfn.SINGLE(VLOOKUP(B18,DisplayOrder!A:B,2,FALSE))</f>
        <v>Surgical Gowns</v>
      </c>
      <c r="D18" s="5" t="str">
        <f>_xlfn.SINGLE(VLOOKUP(B18,DisplayOrder!A:C,3,FALSE))</f>
        <v>each</v>
      </c>
      <c r="E18" s="2" t="s">
        <v>4382</v>
      </c>
      <c r="F18" s="359">
        <v>72892</v>
      </c>
      <c r="G18" s="360">
        <v>3920</v>
      </c>
      <c r="H18" s="171">
        <v>500</v>
      </c>
      <c r="I18" s="172" t="s">
        <v>2678</v>
      </c>
      <c r="J18" s="172">
        <v>0</v>
      </c>
      <c r="K18" s="172" t="s">
        <v>2678</v>
      </c>
      <c r="L18" s="172">
        <v>150</v>
      </c>
      <c r="M18" s="172">
        <v>0</v>
      </c>
      <c r="N18" s="172">
        <v>0</v>
      </c>
      <c r="O18" s="179" t="s">
        <v>2678</v>
      </c>
      <c r="Q18" s="151">
        <v>14</v>
      </c>
      <c r="R18" s="5">
        <v>6</v>
      </c>
      <c r="S18" s="4" t="s">
        <v>73</v>
      </c>
      <c r="T18" s="5" t="s">
        <v>67</v>
      </c>
      <c r="U18" s="2" t="s">
        <v>4382</v>
      </c>
      <c r="V18" s="359">
        <v>72892</v>
      </c>
      <c r="W18" s="360">
        <v>5860</v>
      </c>
      <c r="X18" s="171">
        <v>400</v>
      </c>
      <c r="Y18" s="172" t="s">
        <v>2678</v>
      </c>
      <c r="Z18" s="172">
        <v>0</v>
      </c>
      <c r="AA18" s="172" t="s">
        <v>2678</v>
      </c>
      <c r="AB18" s="172">
        <v>150</v>
      </c>
      <c r="AC18" s="172">
        <v>0</v>
      </c>
      <c r="AD18" s="172">
        <v>0</v>
      </c>
      <c r="AE18" s="179" t="s">
        <v>2678</v>
      </c>
      <c r="AG18" s="4" t="s">
        <v>73</v>
      </c>
      <c r="AH18" s="5" t="s">
        <v>67</v>
      </c>
      <c r="AI18" s="2" t="s">
        <v>4382</v>
      </c>
      <c r="AJ18" s="158">
        <f>SUM(DATA_Depts[[#This Row],[SFD]])-SUM(V18)</f>
        <v>0</v>
      </c>
      <c r="AK18" s="158">
        <f>SUM(DATA_Depts[[#This Row],[SPD]])-SUM(W18)</f>
        <v>-1940</v>
      </c>
      <c r="AL18" s="158">
        <f>SUM(DATA_Depts[[#This Row],[Parks]])-SUM(X18)</f>
        <v>100</v>
      </c>
      <c r="AM18" s="158">
        <f>SUM(DATA_Depts[[#This Row],[SPU]])-SUM(Y18)</f>
        <v>0</v>
      </c>
      <c r="AN18" s="158">
        <f>SUM(DATA_Depts[[#This Row],[SDOT]])-SUM(Z18)</f>
        <v>0</v>
      </c>
      <c r="AO18" s="158">
        <f>SUM(DATA_Depts[[#This Row],[SDCI]])-SUM(AA18)</f>
        <v>0</v>
      </c>
      <c r="AP18" s="158">
        <f>SUM(DATA_Depts[[#This Row],[Libraries]])-SUM(AB18)</f>
        <v>0</v>
      </c>
      <c r="AQ18" s="158">
        <f>SUM(DATA_Depts[[#This Row],[SeaIT]])-SUM(AC18)</f>
        <v>0</v>
      </c>
      <c r="AR18" s="158">
        <f>SUM(DATA_Depts[[#This Row],[Seattle Ctr]])-SUM(AD18)</f>
        <v>0</v>
      </c>
      <c r="AS18" s="158">
        <f>SUM(DATA_Depts[[#This Row],[SCL]])-SUM(AE18)</f>
        <v>0</v>
      </c>
    </row>
    <row r="19" spans="1:45">
      <c r="A19" s="151">
        <v>15</v>
      </c>
      <c r="B19" s="5">
        <v>10</v>
      </c>
      <c r="C19" s="4" t="str">
        <f>_xlfn.SINGLE(VLOOKUP(B19,DisplayOrder!A:B,2,FALSE))</f>
        <v>Goggles</v>
      </c>
      <c r="D19" s="5" t="str">
        <f>_xlfn.SINGLE(VLOOKUP(B19,DisplayOrder!A:C,3,FALSE))</f>
        <v>each</v>
      </c>
      <c r="E19" s="2" t="s">
        <v>4382</v>
      </c>
      <c r="F19" s="359">
        <v>9584</v>
      </c>
      <c r="G19" s="360">
        <v>1163</v>
      </c>
      <c r="H19" s="360">
        <v>10</v>
      </c>
      <c r="I19" s="359">
        <v>34</v>
      </c>
      <c r="J19" s="359" t="s">
        <v>2678</v>
      </c>
      <c r="K19" s="359" t="s">
        <v>2678</v>
      </c>
      <c r="L19" s="359" t="s">
        <v>2678</v>
      </c>
      <c r="M19" s="359">
        <v>40</v>
      </c>
      <c r="N19" s="359">
        <v>15</v>
      </c>
      <c r="O19" s="179" t="s">
        <v>2678</v>
      </c>
      <c r="Q19" s="151">
        <v>15</v>
      </c>
      <c r="R19" s="5">
        <v>10</v>
      </c>
      <c r="S19" s="4" t="s">
        <v>77</v>
      </c>
      <c r="T19" s="5" t="s">
        <v>67</v>
      </c>
      <c r="U19" s="2" t="s">
        <v>4382</v>
      </c>
      <c r="V19" s="359">
        <v>9584</v>
      </c>
      <c r="W19" s="360">
        <v>888</v>
      </c>
      <c r="X19" s="360">
        <v>250</v>
      </c>
      <c r="Y19" s="359">
        <v>34</v>
      </c>
      <c r="Z19" s="359" t="s">
        <v>2678</v>
      </c>
      <c r="AA19" s="359" t="s">
        <v>2678</v>
      </c>
      <c r="AB19" s="359" t="s">
        <v>2678</v>
      </c>
      <c r="AC19" s="359">
        <v>40</v>
      </c>
      <c r="AD19" s="359">
        <v>15</v>
      </c>
      <c r="AE19" s="179" t="s">
        <v>2678</v>
      </c>
      <c r="AG19" s="4" t="s">
        <v>77</v>
      </c>
      <c r="AH19" s="5" t="s">
        <v>67</v>
      </c>
      <c r="AI19" s="2" t="s">
        <v>4382</v>
      </c>
      <c r="AJ19" s="158">
        <f>SUM(DATA_Depts[[#This Row],[SFD]])-SUM(V19)</f>
        <v>0</v>
      </c>
      <c r="AK19" s="158">
        <f>SUM(DATA_Depts[[#This Row],[SPD]])-SUM(W19)</f>
        <v>275</v>
      </c>
      <c r="AL19" s="158">
        <f>SUM(DATA_Depts[[#This Row],[Parks]])-SUM(X19)</f>
        <v>-240</v>
      </c>
      <c r="AM19" s="158">
        <f>SUM(DATA_Depts[[#This Row],[SPU]])-SUM(Y19)</f>
        <v>0</v>
      </c>
      <c r="AN19" s="158">
        <f>SUM(DATA_Depts[[#This Row],[SDOT]])-SUM(Z19)</f>
        <v>0</v>
      </c>
      <c r="AO19" s="158">
        <f>SUM(DATA_Depts[[#This Row],[SDCI]])-SUM(AA19)</f>
        <v>0</v>
      </c>
      <c r="AP19" s="158">
        <f>SUM(DATA_Depts[[#This Row],[Libraries]])-SUM(AB19)</f>
        <v>0</v>
      </c>
      <c r="AQ19" s="158">
        <f>SUM(DATA_Depts[[#This Row],[SeaIT]])-SUM(AC19)</f>
        <v>0</v>
      </c>
      <c r="AR19" s="158">
        <f>SUM(DATA_Depts[[#This Row],[Seattle Ctr]])-SUM(AD19)</f>
        <v>0</v>
      </c>
      <c r="AS19" s="158">
        <f>SUM(DATA_Depts[[#This Row],[SCL]])-SUM(AE19)</f>
        <v>0</v>
      </c>
    </row>
    <row r="20" spans="1:45">
      <c r="A20" s="151">
        <v>16</v>
      </c>
      <c r="B20" s="5">
        <v>9</v>
      </c>
      <c r="C20" s="4" t="str">
        <f>_xlfn.SINGLE(VLOOKUP(B20,DisplayOrder!A:B,2,FALSE))</f>
        <v>Face Shields</v>
      </c>
      <c r="D20" s="5" t="str">
        <f>_xlfn.SINGLE(VLOOKUP(B20,DisplayOrder!A:C,3,FALSE))</f>
        <v>each</v>
      </c>
      <c r="E20" s="2" t="s">
        <v>4382</v>
      </c>
      <c r="F20" s="359" t="s">
        <v>2678</v>
      </c>
      <c r="G20" s="360" t="s">
        <v>2678</v>
      </c>
      <c r="H20" s="171">
        <v>150</v>
      </c>
      <c r="I20" s="172">
        <v>10</v>
      </c>
      <c r="J20" s="172">
        <v>60</v>
      </c>
      <c r="K20" s="172" t="s">
        <v>2678</v>
      </c>
      <c r="L20" s="172">
        <v>77</v>
      </c>
      <c r="M20" s="172">
        <v>5</v>
      </c>
      <c r="N20" s="172">
        <v>0</v>
      </c>
      <c r="O20" s="179" t="s">
        <v>2678</v>
      </c>
      <c r="Q20" s="151">
        <v>16</v>
      </c>
      <c r="R20" s="5">
        <v>9</v>
      </c>
      <c r="S20" s="4" t="s">
        <v>76</v>
      </c>
      <c r="T20" s="5" t="s">
        <v>67</v>
      </c>
      <c r="U20" s="2" t="s">
        <v>4382</v>
      </c>
      <c r="V20" s="359" t="s">
        <v>2678</v>
      </c>
      <c r="W20" s="360" t="s">
        <v>2678</v>
      </c>
      <c r="X20" s="171">
        <v>200</v>
      </c>
      <c r="Y20" s="172">
        <v>10</v>
      </c>
      <c r="Z20" s="172">
        <v>60</v>
      </c>
      <c r="AA20" s="172" t="s">
        <v>2678</v>
      </c>
      <c r="AB20" s="172">
        <v>77</v>
      </c>
      <c r="AC20" s="172">
        <v>5</v>
      </c>
      <c r="AD20" s="172">
        <v>0</v>
      </c>
      <c r="AE20" s="179" t="s">
        <v>2678</v>
      </c>
      <c r="AG20" s="4" t="s">
        <v>76</v>
      </c>
      <c r="AH20" s="5" t="s">
        <v>67</v>
      </c>
      <c r="AI20" s="2" t="s">
        <v>4382</v>
      </c>
      <c r="AJ20" s="158">
        <f>SUM(DATA_Depts[[#This Row],[SFD]])-SUM(V20)</f>
        <v>0</v>
      </c>
      <c r="AK20" s="158">
        <f>SUM(DATA_Depts[[#This Row],[SPD]])-SUM(W20)</f>
        <v>0</v>
      </c>
      <c r="AL20" s="158">
        <f>SUM(DATA_Depts[[#This Row],[Parks]])-SUM(X20)</f>
        <v>-50</v>
      </c>
      <c r="AM20" s="158">
        <f>SUM(DATA_Depts[[#This Row],[SPU]])-SUM(Y20)</f>
        <v>0</v>
      </c>
      <c r="AN20" s="158">
        <f>SUM(DATA_Depts[[#This Row],[SDOT]])-SUM(Z20)</f>
        <v>0</v>
      </c>
      <c r="AO20" s="158">
        <f>SUM(DATA_Depts[[#This Row],[SDCI]])-SUM(AA20)</f>
        <v>0</v>
      </c>
      <c r="AP20" s="158">
        <f>SUM(DATA_Depts[[#This Row],[Libraries]])-SUM(AB20)</f>
        <v>0</v>
      </c>
      <c r="AQ20" s="158">
        <f>SUM(DATA_Depts[[#This Row],[SeaIT]])-SUM(AC20)</f>
        <v>0</v>
      </c>
      <c r="AR20" s="158">
        <f>SUM(DATA_Depts[[#This Row],[Seattle Ctr]])-SUM(AD20)</f>
        <v>0</v>
      </c>
      <c r="AS20" s="158">
        <f>SUM(DATA_Depts[[#This Row],[SCL]])-SUM(AE20)</f>
        <v>0</v>
      </c>
    </row>
    <row r="21" spans="1:45">
      <c r="A21" s="151">
        <v>17</v>
      </c>
      <c r="B21" s="5">
        <v>15</v>
      </c>
      <c r="C21" s="4" t="str">
        <f>_xlfn.SINGLE(VLOOKUP(B21,DisplayOrder!A:B,2,FALSE))</f>
        <v>Isopropyl Alcohol (16oz or equiv)</v>
      </c>
      <c r="D21" s="5" t="str">
        <f>_xlfn.SINGLE(VLOOKUP(B21,DisplayOrder!A:C,3,FALSE))</f>
        <v>bottle</v>
      </c>
      <c r="E21" s="2" t="s">
        <v>4382</v>
      </c>
      <c r="F21" s="359">
        <v>5228</v>
      </c>
      <c r="G21" s="360">
        <v>0</v>
      </c>
      <c r="H21" s="171">
        <v>0</v>
      </c>
      <c r="I21" s="172" t="s">
        <v>2678</v>
      </c>
      <c r="J21" s="172" t="s">
        <v>2678</v>
      </c>
      <c r="K21" s="172" t="s">
        <v>2678</v>
      </c>
      <c r="L21" s="172" t="s">
        <v>2678</v>
      </c>
      <c r="M21" s="172" t="s">
        <v>2678</v>
      </c>
      <c r="N21" s="172">
        <v>0</v>
      </c>
      <c r="O21" s="179" t="s">
        <v>2678</v>
      </c>
      <c r="Q21" s="151">
        <v>17</v>
      </c>
      <c r="R21" s="5">
        <v>15</v>
      </c>
      <c r="S21" s="4" t="s">
        <v>86</v>
      </c>
      <c r="T21" s="5" t="s">
        <v>83</v>
      </c>
      <c r="U21" s="2" t="s">
        <v>4382</v>
      </c>
      <c r="V21" s="359">
        <v>5228</v>
      </c>
      <c r="W21" s="360">
        <v>0</v>
      </c>
      <c r="X21" s="171">
        <v>216</v>
      </c>
      <c r="Y21" s="172" t="s">
        <v>2678</v>
      </c>
      <c r="Z21" s="172" t="s">
        <v>2678</v>
      </c>
      <c r="AA21" s="172" t="s">
        <v>2678</v>
      </c>
      <c r="AB21" s="172" t="s">
        <v>2678</v>
      </c>
      <c r="AC21" s="172" t="s">
        <v>2678</v>
      </c>
      <c r="AD21" s="172">
        <v>0</v>
      </c>
      <c r="AE21" s="179" t="s">
        <v>2678</v>
      </c>
      <c r="AG21" s="4" t="s">
        <v>86</v>
      </c>
      <c r="AH21" s="5" t="s">
        <v>83</v>
      </c>
      <c r="AI21" s="2" t="s">
        <v>4382</v>
      </c>
      <c r="AJ21" s="158">
        <f>SUM(DATA_Depts[[#This Row],[SFD]])-SUM(V21)</f>
        <v>0</v>
      </c>
      <c r="AK21" s="158">
        <f>SUM(DATA_Depts[[#This Row],[SPD]])-SUM(W21)</f>
        <v>0</v>
      </c>
      <c r="AL21" s="158">
        <f>SUM(DATA_Depts[[#This Row],[Parks]])-SUM(X21)</f>
        <v>-216</v>
      </c>
      <c r="AM21" s="158">
        <f>SUM(DATA_Depts[[#This Row],[SPU]])-SUM(Y21)</f>
        <v>0</v>
      </c>
      <c r="AN21" s="158">
        <f>SUM(DATA_Depts[[#This Row],[SDOT]])-SUM(Z21)</f>
        <v>0</v>
      </c>
      <c r="AO21" s="158">
        <f>SUM(DATA_Depts[[#This Row],[SDCI]])-SUM(AA21)</f>
        <v>0</v>
      </c>
      <c r="AP21" s="158">
        <f>SUM(DATA_Depts[[#This Row],[Libraries]])-SUM(AB21)</f>
        <v>0</v>
      </c>
      <c r="AQ21" s="158">
        <f>SUM(DATA_Depts[[#This Row],[SeaIT]])-SUM(AC21)</f>
        <v>0</v>
      </c>
      <c r="AR21" s="158">
        <f>SUM(DATA_Depts[[#This Row],[Seattle Ctr]])-SUM(AD21)</f>
        <v>0</v>
      </c>
      <c r="AS21" s="158">
        <f>SUM(DATA_Depts[[#This Row],[SCL]])-SUM(AE21)</f>
        <v>0</v>
      </c>
    </row>
    <row r="22" spans="1:45">
      <c r="A22" s="151">
        <v>18</v>
      </c>
      <c r="B22" s="5">
        <v>12</v>
      </c>
      <c r="C22" s="4" t="str">
        <f>_xlfn.SINGLE(VLOOKUP(B22,DisplayOrder!A:B,2,FALSE))</f>
        <v>Antimicrobial (PAWS) Wipes</v>
      </c>
      <c r="D22" s="5" t="str">
        <f>_xlfn.SINGLE(VLOOKUP(B22,DisplayOrder!A:C,3,FALSE))</f>
        <v>packets</v>
      </c>
      <c r="E22" s="2" t="s">
        <v>4382</v>
      </c>
      <c r="F22" s="359" t="s">
        <v>2678</v>
      </c>
      <c r="G22" s="360">
        <v>94900</v>
      </c>
      <c r="H22" s="171">
        <v>550</v>
      </c>
      <c r="I22" s="172" t="s">
        <v>2678</v>
      </c>
      <c r="J22" s="172" t="s">
        <v>2678</v>
      </c>
      <c r="K22" s="172" t="s">
        <v>2678</v>
      </c>
      <c r="L22" s="172" t="s">
        <v>2678</v>
      </c>
      <c r="M22" s="172" t="s">
        <v>2678</v>
      </c>
      <c r="N22" s="172">
        <v>0</v>
      </c>
      <c r="O22" s="179">
        <v>226</v>
      </c>
      <c r="Q22" s="151">
        <v>18</v>
      </c>
      <c r="R22" s="5">
        <v>12</v>
      </c>
      <c r="S22" s="4" t="s">
        <v>80</v>
      </c>
      <c r="T22" s="5" t="s">
        <v>81</v>
      </c>
      <c r="U22" s="2" t="s">
        <v>4382</v>
      </c>
      <c r="V22" s="359" t="s">
        <v>2678</v>
      </c>
      <c r="W22" s="360">
        <v>69500</v>
      </c>
      <c r="X22" s="171">
        <v>350</v>
      </c>
      <c r="Y22" s="172" t="s">
        <v>2678</v>
      </c>
      <c r="Z22" s="172" t="s">
        <v>2678</v>
      </c>
      <c r="AA22" s="172" t="s">
        <v>2678</v>
      </c>
      <c r="AB22" s="172" t="s">
        <v>2678</v>
      </c>
      <c r="AC22" s="172" t="s">
        <v>2678</v>
      </c>
      <c r="AD22" s="172">
        <v>0</v>
      </c>
      <c r="AE22" s="179">
        <v>226</v>
      </c>
      <c r="AG22" s="4" t="s">
        <v>80</v>
      </c>
      <c r="AH22" s="5" t="s">
        <v>81</v>
      </c>
      <c r="AI22" s="2" t="s">
        <v>4382</v>
      </c>
      <c r="AJ22" s="158">
        <f>SUM(DATA_Depts[[#This Row],[SFD]])-SUM(V22)</f>
        <v>0</v>
      </c>
      <c r="AK22" s="158">
        <f>SUM(DATA_Depts[[#This Row],[SPD]])-SUM(W22)</f>
        <v>25400</v>
      </c>
      <c r="AL22" s="158">
        <f>SUM(DATA_Depts[[#This Row],[Parks]])-SUM(X22)</f>
        <v>200</v>
      </c>
      <c r="AM22" s="158">
        <f>SUM(DATA_Depts[[#This Row],[SPU]])-SUM(Y22)</f>
        <v>0</v>
      </c>
      <c r="AN22" s="158">
        <f>SUM(DATA_Depts[[#This Row],[SDOT]])-SUM(Z22)</f>
        <v>0</v>
      </c>
      <c r="AO22" s="158">
        <f>SUM(DATA_Depts[[#This Row],[SDCI]])-SUM(AA22)</f>
        <v>0</v>
      </c>
      <c r="AP22" s="158">
        <f>SUM(DATA_Depts[[#This Row],[Libraries]])-SUM(AB22)</f>
        <v>0</v>
      </c>
      <c r="AQ22" s="158">
        <f>SUM(DATA_Depts[[#This Row],[SeaIT]])-SUM(AC22)</f>
        <v>0</v>
      </c>
      <c r="AR22" s="158">
        <f>SUM(DATA_Depts[[#This Row],[Seattle Ctr]])-SUM(AD22)</f>
        <v>0</v>
      </c>
      <c r="AS22" s="158">
        <f>SUM(DATA_Depts[[#This Row],[SCL]])-SUM(AE22)</f>
        <v>0</v>
      </c>
    </row>
    <row r="23" spans="1:45">
      <c r="A23" s="151">
        <v>19</v>
      </c>
      <c r="B23" s="5">
        <v>17</v>
      </c>
      <c r="C23" s="4" t="str">
        <f>_xlfn.SINGLE(VLOOKUP(B23,DisplayOrder!A:B,2,FALSE))</f>
        <v>Thermometers</v>
      </c>
      <c r="D23" s="5" t="str">
        <f>_xlfn.SINGLE(VLOOKUP(B23,DisplayOrder!A:C,3,FALSE))</f>
        <v>each</v>
      </c>
      <c r="E23" s="2" t="s">
        <v>4382</v>
      </c>
      <c r="F23" s="359">
        <v>66</v>
      </c>
      <c r="G23" s="360">
        <v>0</v>
      </c>
      <c r="H23" s="171">
        <v>20</v>
      </c>
      <c r="I23" s="172" t="s">
        <v>2678</v>
      </c>
      <c r="J23" s="172">
        <v>162</v>
      </c>
      <c r="K23" s="173" t="s">
        <v>2678</v>
      </c>
      <c r="L23" s="172">
        <v>90</v>
      </c>
      <c r="M23" s="172">
        <v>40</v>
      </c>
      <c r="N23" s="172">
        <v>0</v>
      </c>
      <c r="O23" s="179">
        <v>242</v>
      </c>
      <c r="Q23" s="151">
        <v>19</v>
      </c>
      <c r="R23" s="5">
        <v>17</v>
      </c>
      <c r="S23" s="4" t="s">
        <v>89</v>
      </c>
      <c r="T23" s="5" t="s">
        <v>67</v>
      </c>
      <c r="U23" s="2" t="s">
        <v>4382</v>
      </c>
      <c r="V23" s="359">
        <v>66</v>
      </c>
      <c r="W23" s="360">
        <v>0</v>
      </c>
      <c r="X23" s="171">
        <v>20</v>
      </c>
      <c r="Y23" s="172" t="s">
        <v>2678</v>
      </c>
      <c r="Z23" s="172">
        <v>163</v>
      </c>
      <c r="AA23" s="173" t="s">
        <v>2678</v>
      </c>
      <c r="AB23" s="172">
        <v>90</v>
      </c>
      <c r="AC23" s="172">
        <v>40</v>
      </c>
      <c r="AD23" s="172">
        <v>0</v>
      </c>
      <c r="AE23" s="179">
        <v>242</v>
      </c>
      <c r="AG23" s="4" t="s">
        <v>89</v>
      </c>
      <c r="AH23" s="5" t="s">
        <v>67</v>
      </c>
      <c r="AI23" s="2" t="s">
        <v>4382</v>
      </c>
      <c r="AJ23" s="158">
        <f>SUM(DATA_Depts[[#This Row],[SFD]])-SUM(V23)</f>
        <v>0</v>
      </c>
      <c r="AK23" s="158">
        <f>SUM(DATA_Depts[[#This Row],[SPD]])-SUM(W23)</f>
        <v>0</v>
      </c>
      <c r="AL23" s="158">
        <f>SUM(DATA_Depts[[#This Row],[Parks]])-SUM(X23)</f>
        <v>0</v>
      </c>
      <c r="AM23" s="158">
        <f>SUM(DATA_Depts[[#This Row],[SPU]])-SUM(Y23)</f>
        <v>0</v>
      </c>
      <c r="AN23" s="158">
        <f>SUM(DATA_Depts[[#This Row],[SDOT]])-SUM(Z23)</f>
        <v>-1</v>
      </c>
      <c r="AO23" s="158">
        <f>SUM(DATA_Depts[[#This Row],[SDCI]])-SUM(AA23)</f>
        <v>0</v>
      </c>
      <c r="AP23" s="158">
        <f>SUM(DATA_Depts[[#This Row],[Libraries]])-SUM(AB23)</f>
        <v>0</v>
      </c>
      <c r="AQ23" s="158">
        <f>SUM(DATA_Depts[[#This Row],[SeaIT]])-SUM(AC23)</f>
        <v>0</v>
      </c>
      <c r="AR23" s="158">
        <f>SUM(DATA_Depts[[#This Row],[Seattle Ctr]])-SUM(AD23)</f>
        <v>0</v>
      </c>
      <c r="AS23" s="158">
        <f>SUM(DATA_Depts[[#This Row],[SCL]])-SUM(AE23)</f>
        <v>0</v>
      </c>
    </row>
    <row r="24" spans="1:45">
      <c r="A24" s="151">
        <v>20</v>
      </c>
      <c r="B24" s="5">
        <v>20</v>
      </c>
      <c r="C24" s="4" t="str">
        <f>_xlfn.SINGLE(VLOOKUP(B24,DisplayOrder!A:B,2,FALSE))</f>
        <v>Disinfecting Sprayers</v>
      </c>
      <c r="D24" s="5" t="str">
        <f>_xlfn.SINGLE(VLOOKUP(B24,DisplayOrder!A:C,3,FALSE))</f>
        <v>each</v>
      </c>
      <c r="E24" s="2" t="s">
        <v>4382</v>
      </c>
      <c r="F24" s="153">
        <v>0</v>
      </c>
      <c r="G24" s="153">
        <v>0</v>
      </c>
      <c r="H24" s="153">
        <v>0</v>
      </c>
      <c r="I24" s="153">
        <v>0</v>
      </c>
      <c r="J24" s="153">
        <v>0</v>
      </c>
      <c r="K24" s="153">
        <v>0</v>
      </c>
      <c r="L24" s="153">
        <v>0</v>
      </c>
      <c r="M24" s="153">
        <v>0</v>
      </c>
      <c r="N24" s="153">
        <v>0</v>
      </c>
      <c r="O24" s="153">
        <v>0</v>
      </c>
      <c r="Q24" s="151">
        <v>20</v>
      </c>
      <c r="R24" s="5">
        <v>20</v>
      </c>
      <c r="S24" s="4" t="s">
        <v>92</v>
      </c>
      <c r="T24" s="5" t="s">
        <v>67</v>
      </c>
      <c r="U24" s="2" t="s">
        <v>4382</v>
      </c>
      <c r="V24" s="153">
        <v>0</v>
      </c>
      <c r="W24" s="153">
        <v>0</v>
      </c>
      <c r="X24" s="153">
        <v>0</v>
      </c>
      <c r="Y24" s="153">
        <v>0</v>
      </c>
      <c r="Z24" s="153">
        <v>0</v>
      </c>
      <c r="AA24" s="153">
        <v>0</v>
      </c>
      <c r="AB24" s="153">
        <v>0</v>
      </c>
      <c r="AC24" s="153">
        <v>0</v>
      </c>
      <c r="AD24" s="153">
        <v>0</v>
      </c>
      <c r="AE24" s="153">
        <v>0</v>
      </c>
      <c r="AG24" s="4" t="s">
        <v>92</v>
      </c>
      <c r="AH24" s="5" t="s">
        <v>67</v>
      </c>
      <c r="AI24" s="2" t="s">
        <v>4382</v>
      </c>
      <c r="AJ24" s="158">
        <f>SUM(DATA_Depts[[#This Row],[SFD]])-SUM(V24)</f>
        <v>0</v>
      </c>
      <c r="AK24" s="158">
        <f>SUM(DATA_Depts[[#This Row],[SPD]])-SUM(W24)</f>
        <v>0</v>
      </c>
      <c r="AL24" s="158">
        <f>SUM(DATA_Depts[[#This Row],[Parks]])-SUM(X24)</f>
        <v>0</v>
      </c>
      <c r="AM24" s="158">
        <f>SUM(DATA_Depts[[#This Row],[SPU]])-SUM(Y24)</f>
        <v>0</v>
      </c>
      <c r="AN24" s="158">
        <f>SUM(DATA_Depts[[#This Row],[SDOT]])-SUM(Z24)</f>
        <v>0</v>
      </c>
      <c r="AO24" s="158">
        <f>SUM(DATA_Depts[[#This Row],[SDCI]])-SUM(AA24)</f>
        <v>0</v>
      </c>
      <c r="AP24" s="158">
        <f>SUM(DATA_Depts[[#This Row],[Libraries]])-SUM(AB24)</f>
        <v>0</v>
      </c>
      <c r="AQ24" s="158">
        <f>SUM(DATA_Depts[[#This Row],[SeaIT]])-SUM(AC24)</f>
        <v>0</v>
      </c>
      <c r="AR24" s="158">
        <f>SUM(DATA_Depts[[#This Row],[Seattle Ctr]])-SUM(AD24)</f>
        <v>0</v>
      </c>
      <c r="AS24" s="158">
        <f>SUM(DATA_Depts[[#This Row],[SCL]])-SUM(AE24)</f>
        <v>0</v>
      </c>
    </row>
    <row r="25" spans="1:45">
      <c r="A25" s="151">
        <v>21</v>
      </c>
      <c r="B25" s="5">
        <v>18</v>
      </c>
      <c r="C25" s="4" t="str">
        <f>_xlfn.SINGLE(VLOOKUP(B25,DisplayOrder!A:B,2,FALSE))</f>
        <v>Purell Stands/Dispensers</v>
      </c>
      <c r="D25" s="5" t="str">
        <f>_xlfn.SINGLE(VLOOKUP(B25,DisplayOrder!A:C,3,FALSE))</f>
        <v>each</v>
      </c>
      <c r="E25" s="2" t="s">
        <v>4382</v>
      </c>
      <c r="F25" s="153">
        <v>0</v>
      </c>
      <c r="G25" s="153">
        <v>0</v>
      </c>
      <c r="H25" s="153">
        <v>0</v>
      </c>
      <c r="I25" s="153">
        <v>0</v>
      </c>
      <c r="J25" s="153">
        <v>0</v>
      </c>
      <c r="K25" s="153">
        <v>0</v>
      </c>
      <c r="L25" s="153">
        <v>0</v>
      </c>
      <c r="M25" s="153">
        <v>0</v>
      </c>
      <c r="N25" s="153">
        <v>0</v>
      </c>
      <c r="O25" s="153">
        <v>0</v>
      </c>
      <c r="Q25" s="151">
        <v>21</v>
      </c>
      <c r="R25" s="5">
        <v>18</v>
      </c>
      <c r="S25" s="4" t="s">
        <v>90</v>
      </c>
      <c r="T25" s="5" t="s">
        <v>67</v>
      </c>
      <c r="U25" s="2" t="s">
        <v>4382</v>
      </c>
      <c r="V25" s="153">
        <v>0</v>
      </c>
      <c r="W25" s="153">
        <v>0</v>
      </c>
      <c r="X25" s="153">
        <v>0</v>
      </c>
      <c r="Y25" s="153">
        <v>0</v>
      </c>
      <c r="Z25" s="153">
        <v>0</v>
      </c>
      <c r="AA25" s="153">
        <v>0</v>
      </c>
      <c r="AB25" s="153">
        <v>0</v>
      </c>
      <c r="AC25" s="153">
        <v>0</v>
      </c>
      <c r="AD25" s="153">
        <v>0</v>
      </c>
      <c r="AE25" s="153">
        <v>0</v>
      </c>
      <c r="AG25" s="4" t="s">
        <v>90</v>
      </c>
      <c r="AH25" s="5" t="s">
        <v>67</v>
      </c>
      <c r="AI25" s="2" t="s">
        <v>4382</v>
      </c>
      <c r="AJ25" s="158">
        <f>SUM(DATA_Depts[[#This Row],[SFD]])-SUM(V25)</f>
        <v>0</v>
      </c>
      <c r="AK25" s="158">
        <f>SUM(DATA_Depts[[#This Row],[SPD]])-SUM(W25)</f>
        <v>0</v>
      </c>
      <c r="AL25" s="158">
        <f>SUM(DATA_Depts[[#This Row],[Parks]])-SUM(X25)</f>
        <v>0</v>
      </c>
      <c r="AM25" s="158">
        <f>SUM(DATA_Depts[[#This Row],[SPU]])-SUM(Y25)</f>
        <v>0</v>
      </c>
      <c r="AN25" s="158">
        <f>SUM(DATA_Depts[[#This Row],[SDOT]])-SUM(Z25)</f>
        <v>0</v>
      </c>
      <c r="AO25" s="158">
        <f>SUM(DATA_Depts[[#This Row],[SDCI]])-SUM(AA25)</f>
        <v>0</v>
      </c>
      <c r="AP25" s="158">
        <f>SUM(DATA_Depts[[#This Row],[Libraries]])-SUM(AB25)</f>
        <v>0</v>
      </c>
      <c r="AQ25" s="158">
        <f>SUM(DATA_Depts[[#This Row],[SeaIT]])-SUM(AC25)</f>
        <v>0</v>
      </c>
      <c r="AR25" s="158">
        <f>SUM(DATA_Depts[[#This Row],[Seattle Ctr]])-SUM(AD25)</f>
        <v>0</v>
      </c>
      <c r="AS25" s="158">
        <f>SUM(DATA_Depts[[#This Row],[SCL]])-SUM(AE25)</f>
        <v>0</v>
      </c>
    </row>
    <row r="26" spans="1:45">
      <c r="A26" s="151">
        <v>22</v>
      </c>
      <c r="B26" s="5">
        <v>3</v>
      </c>
      <c r="C26" s="4" t="str">
        <f>_xlfn.SINGLE(VLOOKUP(B26,DisplayOrder!A:B,2,FALSE))</f>
        <v>Masks (Cloth)</v>
      </c>
      <c r="D26" s="5" t="str">
        <f>_xlfn.SINGLE(VLOOKUP(B26,DisplayOrder!A:C,3,FALSE))</f>
        <v>each</v>
      </c>
      <c r="E26" s="2" t="s">
        <v>4382</v>
      </c>
      <c r="F26" s="153">
        <v>0</v>
      </c>
      <c r="G26" s="153">
        <v>0</v>
      </c>
      <c r="H26" s="153">
        <v>0</v>
      </c>
      <c r="I26" s="153">
        <v>0</v>
      </c>
      <c r="J26" s="153">
        <v>0</v>
      </c>
      <c r="K26" s="153">
        <v>0</v>
      </c>
      <c r="L26" s="153">
        <v>0</v>
      </c>
      <c r="M26" s="153">
        <v>0</v>
      </c>
      <c r="N26" s="153">
        <v>0</v>
      </c>
      <c r="O26" s="153">
        <v>0</v>
      </c>
      <c r="Q26" s="151">
        <v>22</v>
      </c>
      <c r="R26" s="5">
        <v>3</v>
      </c>
      <c r="S26" s="4" t="s">
        <v>69</v>
      </c>
      <c r="T26" s="5" t="s">
        <v>67</v>
      </c>
      <c r="U26" s="2" t="s">
        <v>4382</v>
      </c>
      <c r="V26" s="153">
        <v>0</v>
      </c>
      <c r="W26" s="153">
        <v>0</v>
      </c>
      <c r="X26" s="153">
        <v>0</v>
      </c>
      <c r="Y26" s="153">
        <v>0</v>
      </c>
      <c r="Z26" s="153">
        <v>0</v>
      </c>
      <c r="AA26" s="153">
        <v>0</v>
      </c>
      <c r="AB26" s="153">
        <v>0</v>
      </c>
      <c r="AC26" s="153">
        <v>0</v>
      </c>
      <c r="AD26" s="153">
        <v>0</v>
      </c>
      <c r="AE26" s="153">
        <v>0</v>
      </c>
      <c r="AG26" s="4" t="s">
        <v>69</v>
      </c>
      <c r="AH26" s="5" t="s">
        <v>67</v>
      </c>
      <c r="AI26" s="2" t="s">
        <v>4382</v>
      </c>
      <c r="AJ26" s="158">
        <f>SUM(DATA_Depts[[#This Row],[SFD]])-SUM(V26)</f>
        <v>0</v>
      </c>
      <c r="AK26" s="158">
        <f>SUM(DATA_Depts[[#This Row],[SPD]])-SUM(W26)</f>
        <v>0</v>
      </c>
      <c r="AL26" s="158">
        <f>SUM(DATA_Depts[[#This Row],[Parks]])-SUM(X26)</f>
        <v>0</v>
      </c>
      <c r="AM26" s="158">
        <f>SUM(DATA_Depts[[#This Row],[SPU]])-SUM(Y26)</f>
        <v>0</v>
      </c>
      <c r="AN26" s="158">
        <f>SUM(DATA_Depts[[#This Row],[SDOT]])-SUM(Z26)</f>
        <v>0</v>
      </c>
      <c r="AO26" s="158">
        <f>SUM(DATA_Depts[[#This Row],[SDCI]])-SUM(AA26)</f>
        <v>0</v>
      </c>
      <c r="AP26" s="158">
        <f>SUM(DATA_Depts[[#This Row],[Libraries]])-SUM(AB26)</f>
        <v>0</v>
      </c>
      <c r="AQ26" s="158">
        <f>SUM(DATA_Depts[[#This Row],[SeaIT]])-SUM(AC26)</f>
        <v>0</v>
      </c>
      <c r="AR26" s="158">
        <f>SUM(DATA_Depts[[#This Row],[Seattle Ctr]])-SUM(AD26)</f>
        <v>0</v>
      </c>
      <c r="AS26" s="158">
        <f>SUM(DATA_Depts[[#This Row],[SCL]])-SUM(AE26)</f>
        <v>0</v>
      </c>
    </row>
    <row r="27" spans="1:45">
      <c r="A27" s="151">
        <v>23</v>
      </c>
      <c r="B27" s="5">
        <v>16</v>
      </c>
      <c r="C27" s="4" t="str">
        <f>_xlfn.SINGLE(VLOOKUP(B27,DisplayOrder!A:B,2,FALSE))</f>
        <v>Disinfecting Solution for Sprayers</v>
      </c>
      <c r="D27" s="5" t="str">
        <f>_xlfn.SINGLE(VLOOKUP(B27,DisplayOrder!A:C,3,FALSE))</f>
        <v>gal</v>
      </c>
      <c r="E27" s="2" t="s">
        <v>4382</v>
      </c>
      <c r="F27" s="153">
        <v>0</v>
      </c>
      <c r="G27" s="153">
        <v>0</v>
      </c>
      <c r="H27" s="153">
        <v>0</v>
      </c>
      <c r="I27" s="153">
        <v>0</v>
      </c>
      <c r="J27" s="153">
        <v>0</v>
      </c>
      <c r="K27" s="153">
        <v>0</v>
      </c>
      <c r="L27" s="153">
        <v>0</v>
      </c>
      <c r="M27" s="153">
        <v>0</v>
      </c>
      <c r="N27" s="153">
        <v>0</v>
      </c>
      <c r="O27" s="153">
        <v>0</v>
      </c>
      <c r="Q27" s="151">
        <v>23</v>
      </c>
      <c r="R27" s="5">
        <v>16</v>
      </c>
      <c r="S27" s="4" t="s">
        <v>87</v>
      </c>
      <c r="T27" s="5" t="s">
        <v>88</v>
      </c>
      <c r="U27" s="2" t="s">
        <v>4382</v>
      </c>
      <c r="V27" s="153">
        <v>0</v>
      </c>
      <c r="W27" s="153">
        <v>0</v>
      </c>
      <c r="X27" s="153">
        <v>0</v>
      </c>
      <c r="Y27" s="153">
        <v>0</v>
      </c>
      <c r="Z27" s="153">
        <v>0</v>
      </c>
      <c r="AA27" s="153">
        <v>0</v>
      </c>
      <c r="AB27" s="153">
        <v>0</v>
      </c>
      <c r="AC27" s="153">
        <v>0</v>
      </c>
      <c r="AD27" s="153">
        <v>0</v>
      </c>
      <c r="AE27" s="153">
        <v>0</v>
      </c>
      <c r="AG27" s="4" t="s">
        <v>87</v>
      </c>
      <c r="AH27" s="5" t="s">
        <v>88</v>
      </c>
      <c r="AI27" s="2" t="s">
        <v>4382</v>
      </c>
      <c r="AJ27" s="158">
        <f>SUM(DATA_Depts[[#This Row],[SFD]])-SUM(V27)</f>
        <v>0</v>
      </c>
      <c r="AK27" s="158">
        <f>SUM(DATA_Depts[[#This Row],[SPD]])-SUM(W27)</f>
        <v>0</v>
      </c>
      <c r="AL27" s="158">
        <f>SUM(DATA_Depts[[#This Row],[Parks]])-SUM(X27)</f>
        <v>0</v>
      </c>
      <c r="AM27" s="158">
        <f>SUM(DATA_Depts[[#This Row],[SPU]])-SUM(Y27)</f>
        <v>0</v>
      </c>
      <c r="AN27" s="158">
        <f>SUM(DATA_Depts[[#This Row],[SDOT]])-SUM(Z27)</f>
        <v>0</v>
      </c>
      <c r="AO27" s="158">
        <f>SUM(DATA_Depts[[#This Row],[SDCI]])-SUM(AA27)</f>
        <v>0</v>
      </c>
      <c r="AP27" s="158">
        <f>SUM(DATA_Depts[[#This Row],[Libraries]])-SUM(AB27)</f>
        <v>0</v>
      </c>
      <c r="AQ27" s="158">
        <f>SUM(DATA_Depts[[#This Row],[SeaIT]])-SUM(AC27)</f>
        <v>0</v>
      </c>
      <c r="AR27" s="158">
        <f>SUM(DATA_Depts[[#This Row],[Seattle Ctr]])-SUM(AD27)</f>
        <v>0</v>
      </c>
      <c r="AS27" s="158">
        <f>SUM(DATA_Depts[[#This Row],[SCL]])-SUM(AE27)</f>
        <v>0</v>
      </c>
    </row>
    <row r="28" spans="1:45">
      <c r="A28" s="151">
        <v>24</v>
      </c>
      <c r="B28" s="5">
        <v>19</v>
      </c>
      <c r="C28" s="4" t="str">
        <f>_xlfn.SINGLE(VLOOKUP(B28,DisplayOrder!A:B,2,FALSE))</f>
        <v>Mask Holders for Dispensers</v>
      </c>
      <c r="D28" s="5" t="str">
        <f>_xlfn.SINGLE(VLOOKUP(B28,DisplayOrder!A:C,3,FALSE))</f>
        <v>each</v>
      </c>
      <c r="E28" s="2" t="s">
        <v>4382</v>
      </c>
      <c r="F28" s="153">
        <v>0</v>
      </c>
      <c r="G28" s="153">
        <v>0</v>
      </c>
      <c r="H28" s="153">
        <v>0</v>
      </c>
      <c r="I28" s="153">
        <v>0</v>
      </c>
      <c r="J28" s="153">
        <v>0</v>
      </c>
      <c r="K28" s="153">
        <v>0</v>
      </c>
      <c r="L28" s="153">
        <v>0</v>
      </c>
      <c r="M28" s="153">
        <v>0</v>
      </c>
      <c r="N28" s="153">
        <v>0</v>
      </c>
      <c r="O28" s="153">
        <v>0</v>
      </c>
      <c r="Q28" s="151">
        <v>24</v>
      </c>
      <c r="R28" s="5">
        <v>19</v>
      </c>
      <c r="S28" s="4" t="s">
        <v>91</v>
      </c>
      <c r="T28" s="5" t="s">
        <v>67</v>
      </c>
      <c r="U28" s="2" t="s">
        <v>4382</v>
      </c>
      <c r="V28" s="153">
        <v>0</v>
      </c>
      <c r="W28" s="153">
        <v>0</v>
      </c>
      <c r="X28" s="153">
        <v>0</v>
      </c>
      <c r="Y28" s="153">
        <v>0</v>
      </c>
      <c r="Z28" s="153">
        <v>0</v>
      </c>
      <c r="AA28" s="153">
        <v>0</v>
      </c>
      <c r="AB28" s="153">
        <v>0</v>
      </c>
      <c r="AC28" s="153">
        <v>0</v>
      </c>
      <c r="AD28" s="153">
        <v>0</v>
      </c>
      <c r="AE28" s="153">
        <v>0</v>
      </c>
      <c r="AG28" s="4" t="s">
        <v>91</v>
      </c>
      <c r="AH28" s="5" t="s">
        <v>67</v>
      </c>
      <c r="AI28" s="2" t="s">
        <v>4382</v>
      </c>
      <c r="AJ28" s="158">
        <f>SUM(DATA_Depts[[#This Row],[SFD]])-SUM(V28)</f>
        <v>0</v>
      </c>
      <c r="AK28" s="158">
        <f>SUM(DATA_Depts[[#This Row],[SPD]])-SUM(W28)</f>
        <v>0</v>
      </c>
      <c r="AL28" s="158">
        <f>SUM(DATA_Depts[[#This Row],[Parks]])-SUM(X28)</f>
        <v>0</v>
      </c>
      <c r="AM28" s="158">
        <f>SUM(DATA_Depts[[#This Row],[SPU]])-SUM(Y28)</f>
        <v>0</v>
      </c>
      <c r="AN28" s="158">
        <f>SUM(DATA_Depts[[#This Row],[SDOT]])-SUM(Z28)</f>
        <v>0</v>
      </c>
      <c r="AO28" s="158">
        <f>SUM(DATA_Depts[[#This Row],[SDCI]])-SUM(AA28)</f>
        <v>0</v>
      </c>
      <c r="AP28" s="158">
        <f>SUM(DATA_Depts[[#This Row],[Libraries]])-SUM(AB28)</f>
        <v>0</v>
      </c>
      <c r="AQ28" s="158">
        <f>SUM(DATA_Depts[[#This Row],[SeaIT]])-SUM(AC28)</f>
        <v>0</v>
      </c>
      <c r="AR28" s="158">
        <f>SUM(DATA_Depts[[#This Row],[Seattle Ctr]])-SUM(AD28)</f>
        <v>0</v>
      </c>
      <c r="AS28" s="158">
        <f>SUM(DATA_Depts[[#This Row],[SCL]])-SUM(AE28)</f>
        <v>0</v>
      </c>
    </row>
    <row r="29" spans="1:45">
      <c r="A29" s="151">
        <v>25</v>
      </c>
      <c r="B29" s="5">
        <v>25</v>
      </c>
      <c r="C29" s="4" t="str">
        <f>_xlfn.SINGLE(VLOOKUP(B29,DisplayOrder!A:B,2,FALSE))</f>
        <v>KN95 MASKS</v>
      </c>
      <c r="D29" s="5" t="str">
        <f>_xlfn.SINGLE(VLOOKUP(B29,DisplayOrder!A:C,3,FALSE))</f>
        <v>each</v>
      </c>
      <c r="E29" s="2" t="s">
        <v>4382</v>
      </c>
      <c r="F29" s="153">
        <v>0</v>
      </c>
      <c r="G29" s="153">
        <v>0</v>
      </c>
      <c r="H29" s="153">
        <v>0</v>
      </c>
      <c r="I29" s="153">
        <v>0</v>
      </c>
      <c r="J29" s="153">
        <v>0</v>
      </c>
      <c r="K29" s="153">
        <v>0</v>
      </c>
      <c r="L29" s="153">
        <v>0</v>
      </c>
      <c r="M29" s="153">
        <v>0</v>
      </c>
      <c r="N29" s="153">
        <v>0</v>
      </c>
      <c r="O29" s="153">
        <v>0</v>
      </c>
      <c r="Q29" s="151">
        <v>25</v>
      </c>
      <c r="R29" s="5">
        <v>25</v>
      </c>
      <c r="S29" s="4" t="s">
        <v>99</v>
      </c>
      <c r="T29" s="5" t="s">
        <v>67</v>
      </c>
      <c r="U29" s="2" t="s">
        <v>4382</v>
      </c>
      <c r="V29" s="153">
        <v>0</v>
      </c>
      <c r="W29" s="153">
        <v>0</v>
      </c>
      <c r="X29" s="153">
        <v>0</v>
      </c>
      <c r="Y29" s="153">
        <v>0</v>
      </c>
      <c r="Z29" s="153">
        <v>0</v>
      </c>
      <c r="AA29" s="153">
        <v>0</v>
      </c>
      <c r="AB29" s="153">
        <v>0</v>
      </c>
      <c r="AC29" s="153">
        <v>0</v>
      </c>
      <c r="AD29" s="153">
        <v>0</v>
      </c>
      <c r="AE29" s="153">
        <v>0</v>
      </c>
      <c r="AG29" s="4" t="s">
        <v>99</v>
      </c>
      <c r="AH29" s="5" t="s">
        <v>67</v>
      </c>
      <c r="AI29" s="2" t="s">
        <v>4382</v>
      </c>
      <c r="AJ29" s="158">
        <f>SUM(DATA_Depts[[#This Row],[SFD]])-SUM(V29)</f>
        <v>0</v>
      </c>
      <c r="AK29" s="158">
        <f>SUM(DATA_Depts[[#This Row],[SPD]])-SUM(W29)</f>
        <v>0</v>
      </c>
      <c r="AL29" s="158">
        <f>SUM(DATA_Depts[[#This Row],[Parks]])-SUM(X29)</f>
        <v>0</v>
      </c>
      <c r="AM29" s="158">
        <f>SUM(DATA_Depts[[#This Row],[SPU]])-SUM(Y29)</f>
        <v>0</v>
      </c>
      <c r="AN29" s="158">
        <f>SUM(DATA_Depts[[#This Row],[SDOT]])-SUM(Z29)</f>
        <v>0</v>
      </c>
      <c r="AO29" s="158">
        <f>SUM(DATA_Depts[[#This Row],[SDCI]])-SUM(AA29)</f>
        <v>0</v>
      </c>
      <c r="AP29" s="158">
        <f>SUM(DATA_Depts[[#This Row],[Libraries]])-SUM(AB29)</f>
        <v>0</v>
      </c>
      <c r="AQ29" s="158">
        <f>SUM(DATA_Depts[[#This Row],[SeaIT]])-SUM(AC29)</f>
        <v>0</v>
      </c>
      <c r="AR29" s="158">
        <f>SUM(DATA_Depts[[#This Row],[Seattle Ctr]])-SUM(AD29)</f>
        <v>0</v>
      </c>
      <c r="AS29" s="158">
        <f>SUM(DATA_Depts[[#This Row],[SCL]])-SUM(AE29)</f>
        <v>0</v>
      </c>
    </row>
    <row r="30" spans="1:45">
      <c r="A30" s="151">
        <v>26</v>
      </c>
      <c r="B30" s="5">
        <v>26</v>
      </c>
      <c r="C30" s="4" t="str">
        <f>_xlfn.SINGLE(VLOOKUP(B30,DisplayOrder!A:B,2,FALSE))</f>
        <v>Sprayer, Milwaukee 2820</v>
      </c>
      <c r="D30" s="5" t="str">
        <f>_xlfn.SINGLE(VLOOKUP(B30,DisplayOrder!A:C,3,FALSE))</f>
        <v>each</v>
      </c>
      <c r="E30" s="2" t="s">
        <v>4382</v>
      </c>
      <c r="F30" s="153">
        <v>0</v>
      </c>
      <c r="G30" s="153">
        <v>0</v>
      </c>
      <c r="H30" s="153">
        <v>0</v>
      </c>
      <c r="I30" s="153">
        <v>0</v>
      </c>
      <c r="J30" s="153">
        <v>0</v>
      </c>
      <c r="K30" s="153">
        <v>0</v>
      </c>
      <c r="L30" s="153">
        <v>0</v>
      </c>
      <c r="M30" s="153">
        <v>0</v>
      </c>
      <c r="N30" s="153">
        <v>0</v>
      </c>
      <c r="O30" s="153">
        <v>0</v>
      </c>
      <c r="Q30" s="151">
        <v>26</v>
      </c>
      <c r="R30" s="5">
        <v>26</v>
      </c>
      <c r="S30" s="4" t="s">
        <v>100</v>
      </c>
      <c r="T30" s="5" t="s">
        <v>67</v>
      </c>
      <c r="U30" s="2" t="s">
        <v>4382</v>
      </c>
      <c r="V30" s="153">
        <v>0</v>
      </c>
      <c r="W30" s="153">
        <v>0</v>
      </c>
      <c r="X30" s="153">
        <v>0</v>
      </c>
      <c r="Y30" s="153">
        <v>0</v>
      </c>
      <c r="Z30" s="153">
        <v>0</v>
      </c>
      <c r="AA30" s="153">
        <v>0</v>
      </c>
      <c r="AB30" s="153">
        <v>0</v>
      </c>
      <c r="AC30" s="153">
        <v>0</v>
      </c>
      <c r="AD30" s="153">
        <v>0</v>
      </c>
      <c r="AE30" s="153">
        <v>0</v>
      </c>
      <c r="AG30" s="4" t="s">
        <v>100</v>
      </c>
      <c r="AH30" s="5" t="s">
        <v>67</v>
      </c>
      <c r="AI30" s="2" t="s">
        <v>4382</v>
      </c>
      <c r="AJ30" s="158">
        <f>SUM(DATA_Depts[[#This Row],[SFD]])-SUM(V30)</f>
        <v>0</v>
      </c>
      <c r="AK30" s="158">
        <f>SUM(DATA_Depts[[#This Row],[SPD]])-SUM(W30)</f>
        <v>0</v>
      </c>
      <c r="AL30" s="158">
        <f>SUM(DATA_Depts[[#This Row],[Parks]])-SUM(X30)</f>
        <v>0</v>
      </c>
      <c r="AM30" s="158">
        <f>SUM(DATA_Depts[[#This Row],[SPU]])-SUM(Y30)</f>
        <v>0</v>
      </c>
      <c r="AN30" s="158">
        <f>SUM(DATA_Depts[[#This Row],[SDOT]])-SUM(Z30)</f>
        <v>0</v>
      </c>
      <c r="AO30" s="158">
        <f>SUM(DATA_Depts[[#This Row],[SDCI]])-SUM(AA30)</f>
        <v>0</v>
      </c>
      <c r="AP30" s="158">
        <f>SUM(DATA_Depts[[#This Row],[Libraries]])-SUM(AB30)</f>
        <v>0</v>
      </c>
      <c r="AQ30" s="158">
        <f>SUM(DATA_Depts[[#This Row],[SeaIT]])-SUM(AC30)</f>
        <v>0</v>
      </c>
      <c r="AR30" s="158">
        <f>SUM(DATA_Depts[[#This Row],[Seattle Ctr]])-SUM(AD30)</f>
        <v>0</v>
      </c>
      <c r="AS30" s="158">
        <f>SUM(DATA_Depts[[#This Row],[SCL]])-SUM(AE30)</f>
        <v>0</v>
      </c>
    </row>
    <row r="31" spans="1:45">
      <c r="A31" s="151">
        <v>27</v>
      </c>
      <c r="B31" s="5">
        <v>27</v>
      </c>
      <c r="C31" s="4" t="str">
        <f>_xlfn.SINGLE(VLOOKUP(B31,DisplayOrder!A:B,2,FALSE))</f>
        <v>Milwaukee XC50 Battery</v>
      </c>
      <c r="D31" s="5" t="str">
        <f>_xlfn.SINGLE(VLOOKUP(B31,DisplayOrder!A:C,3,FALSE))</f>
        <v>each</v>
      </c>
      <c r="E31" s="2" t="s">
        <v>4382</v>
      </c>
      <c r="F31" s="153">
        <v>0</v>
      </c>
      <c r="G31" s="153">
        <v>0</v>
      </c>
      <c r="H31" s="153">
        <v>0</v>
      </c>
      <c r="I31" s="153">
        <v>0</v>
      </c>
      <c r="J31" s="153">
        <v>0</v>
      </c>
      <c r="K31" s="153">
        <v>0</v>
      </c>
      <c r="L31" s="153">
        <v>0</v>
      </c>
      <c r="M31" s="153">
        <v>0</v>
      </c>
      <c r="N31" s="153">
        <v>0</v>
      </c>
      <c r="O31" s="153">
        <v>0</v>
      </c>
      <c r="Q31" s="151">
        <v>27</v>
      </c>
      <c r="R31" s="5">
        <v>27</v>
      </c>
      <c r="S31" s="4" t="s">
        <v>101</v>
      </c>
      <c r="T31" s="5" t="s">
        <v>67</v>
      </c>
      <c r="U31" s="2" t="s">
        <v>4382</v>
      </c>
      <c r="V31" s="153">
        <v>0</v>
      </c>
      <c r="W31" s="153">
        <v>0</v>
      </c>
      <c r="X31" s="153">
        <v>0</v>
      </c>
      <c r="Y31" s="153">
        <v>0</v>
      </c>
      <c r="Z31" s="153">
        <v>0</v>
      </c>
      <c r="AA31" s="153">
        <v>0</v>
      </c>
      <c r="AB31" s="153">
        <v>0</v>
      </c>
      <c r="AC31" s="153">
        <v>0</v>
      </c>
      <c r="AD31" s="153">
        <v>0</v>
      </c>
      <c r="AE31" s="153">
        <v>0</v>
      </c>
      <c r="AG31" s="4" t="s">
        <v>101</v>
      </c>
      <c r="AH31" s="5" t="s">
        <v>67</v>
      </c>
      <c r="AI31" s="2" t="s">
        <v>4382</v>
      </c>
      <c r="AJ31" s="158">
        <f>SUM(DATA_Depts[[#This Row],[SFD]])-SUM(V31)</f>
        <v>0</v>
      </c>
      <c r="AK31" s="158">
        <f>SUM(DATA_Depts[[#This Row],[SPD]])-SUM(W31)</f>
        <v>0</v>
      </c>
      <c r="AL31" s="158">
        <f>SUM(DATA_Depts[[#This Row],[Parks]])-SUM(X31)</f>
        <v>0</v>
      </c>
      <c r="AM31" s="158">
        <f>SUM(DATA_Depts[[#This Row],[SPU]])-SUM(Y31)</f>
        <v>0</v>
      </c>
      <c r="AN31" s="158">
        <f>SUM(DATA_Depts[[#This Row],[SDOT]])-SUM(Z31)</f>
        <v>0</v>
      </c>
      <c r="AO31" s="158">
        <f>SUM(DATA_Depts[[#This Row],[SDCI]])-SUM(AA31)</f>
        <v>0</v>
      </c>
      <c r="AP31" s="158">
        <f>SUM(DATA_Depts[[#This Row],[Libraries]])-SUM(AB31)</f>
        <v>0</v>
      </c>
      <c r="AQ31" s="158">
        <f>SUM(DATA_Depts[[#This Row],[SeaIT]])-SUM(AC31)</f>
        <v>0</v>
      </c>
      <c r="AR31" s="158">
        <f>SUM(DATA_Depts[[#This Row],[Seattle Ctr]])-SUM(AD31)</f>
        <v>0</v>
      </c>
      <c r="AS31" s="158">
        <f>SUM(DATA_Depts[[#This Row],[SCL]])-SUM(AE31)</f>
        <v>0</v>
      </c>
    </row>
    <row r="32" spans="1:45">
      <c r="A32" s="151">
        <v>28</v>
      </c>
      <c r="B32" s="5">
        <v>28</v>
      </c>
      <c r="C32" s="4" t="str">
        <f>_xlfn.SINGLE(VLOOKUP(B32,DisplayOrder!A:B,2,FALSE))</f>
        <v>Reserved-28</v>
      </c>
      <c r="D32" s="5" t="str">
        <f>_xlfn.SINGLE(VLOOKUP(B32,DisplayOrder!A:C,3,FALSE))</f>
        <v>each</v>
      </c>
      <c r="E32" s="2" t="s">
        <v>4382</v>
      </c>
      <c r="F32" s="153">
        <v>0</v>
      </c>
      <c r="G32" s="153">
        <v>0</v>
      </c>
      <c r="H32" s="153">
        <v>0</v>
      </c>
      <c r="I32" s="153">
        <v>0</v>
      </c>
      <c r="J32" s="153">
        <v>0</v>
      </c>
      <c r="K32" s="153">
        <v>0</v>
      </c>
      <c r="L32" s="153">
        <v>0</v>
      </c>
      <c r="M32" s="153">
        <v>0</v>
      </c>
      <c r="N32" s="153">
        <v>0</v>
      </c>
      <c r="O32" s="153">
        <v>0</v>
      </c>
      <c r="Q32" s="151">
        <v>28</v>
      </c>
      <c r="R32" s="5">
        <v>28</v>
      </c>
      <c r="S32" s="4" t="s">
        <v>102</v>
      </c>
      <c r="T32" s="5" t="s">
        <v>67</v>
      </c>
      <c r="U32" s="2" t="s">
        <v>4382</v>
      </c>
      <c r="V32" s="153">
        <v>0</v>
      </c>
      <c r="W32" s="153">
        <v>0</v>
      </c>
      <c r="X32" s="153">
        <v>0</v>
      </c>
      <c r="Y32" s="153">
        <v>0</v>
      </c>
      <c r="Z32" s="153">
        <v>0</v>
      </c>
      <c r="AA32" s="153">
        <v>0</v>
      </c>
      <c r="AB32" s="153">
        <v>0</v>
      </c>
      <c r="AC32" s="153">
        <v>0</v>
      </c>
      <c r="AD32" s="153">
        <v>0</v>
      </c>
      <c r="AE32" s="153">
        <v>0</v>
      </c>
      <c r="AG32" s="4" t="s">
        <v>102</v>
      </c>
      <c r="AH32" s="5" t="s">
        <v>67</v>
      </c>
      <c r="AI32" s="2" t="s">
        <v>4382</v>
      </c>
      <c r="AJ32" s="158">
        <f>SUM(DATA_Depts[[#This Row],[SFD]])-SUM(V32)</f>
        <v>0</v>
      </c>
      <c r="AK32" s="158">
        <f>SUM(DATA_Depts[[#This Row],[SPD]])-SUM(W32)</f>
        <v>0</v>
      </c>
      <c r="AL32" s="158">
        <f>SUM(DATA_Depts[[#This Row],[Parks]])-SUM(X32)</f>
        <v>0</v>
      </c>
      <c r="AM32" s="158">
        <f>SUM(DATA_Depts[[#This Row],[SPU]])-SUM(Y32)</f>
        <v>0</v>
      </c>
      <c r="AN32" s="158">
        <f>SUM(DATA_Depts[[#This Row],[SDOT]])-SUM(Z32)</f>
        <v>0</v>
      </c>
      <c r="AO32" s="158">
        <f>SUM(DATA_Depts[[#This Row],[SDCI]])-SUM(AA32)</f>
        <v>0</v>
      </c>
      <c r="AP32" s="158">
        <f>SUM(DATA_Depts[[#This Row],[Libraries]])-SUM(AB32)</f>
        <v>0</v>
      </c>
      <c r="AQ32" s="158">
        <f>SUM(DATA_Depts[[#This Row],[SeaIT]])-SUM(AC32)</f>
        <v>0</v>
      </c>
      <c r="AR32" s="158">
        <f>SUM(DATA_Depts[[#This Row],[Seattle Ctr]])-SUM(AD32)</f>
        <v>0</v>
      </c>
      <c r="AS32" s="158">
        <f>SUM(DATA_Depts[[#This Row],[SCL]])-SUM(AE32)</f>
        <v>0</v>
      </c>
    </row>
    <row r="33" spans="1:45">
      <c r="A33" s="151">
        <v>29</v>
      </c>
      <c r="B33" s="5">
        <v>29</v>
      </c>
      <c r="C33" s="4" t="str">
        <f>_xlfn.SINGLE(VLOOKUP(B33,DisplayOrder!A:B,2,FALSE))</f>
        <v>Reserved-29</v>
      </c>
      <c r="D33" s="5" t="str">
        <f>_xlfn.SINGLE(VLOOKUP(B33,DisplayOrder!A:C,3,FALSE))</f>
        <v>each</v>
      </c>
      <c r="E33" s="2" t="s">
        <v>4382</v>
      </c>
      <c r="F33" s="153">
        <v>0</v>
      </c>
      <c r="G33" s="153">
        <v>0</v>
      </c>
      <c r="H33" s="153">
        <v>0</v>
      </c>
      <c r="I33" s="153">
        <v>0</v>
      </c>
      <c r="J33" s="153">
        <v>0</v>
      </c>
      <c r="K33" s="153">
        <v>0</v>
      </c>
      <c r="L33" s="153">
        <v>0</v>
      </c>
      <c r="M33" s="153">
        <v>0</v>
      </c>
      <c r="N33" s="153">
        <v>0</v>
      </c>
      <c r="O33" s="153">
        <v>0</v>
      </c>
      <c r="Q33" s="151">
        <v>29</v>
      </c>
      <c r="R33" s="5">
        <v>29</v>
      </c>
      <c r="S33" s="4" t="s">
        <v>103</v>
      </c>
      <c r="T33" s="5" t="s">
        <v>67</v>
      </c>
      <c r="U33" s="2" t="s">
        <v>4382</v>
      </c>
      <c r="V33" s="153">
        <v>0</v>
      </c>
      <c r="W33" s="153">
        <v>0</v>
      </c>
      <c r="X33" s="153">
        <v>0</v>
      </c>
      <c r="Y33" s="153">
        <v>0</v>
      </c>
      <c r="Z33" s="153">
        <v>0</v>
      </c>
      <c r="AA33" s="153">
        <v>0</v>
      </c>
      <c r="AB33" s="153">
        <v>0</v>
      </c>
      <c r="AC33" s="153">
        <v>0</v>
      </c>
      <c r="AD33" s="153">
        <v>0</v>
      </c>
      <c r="AE33" s="153">
        <v>0</v>
      </c>
      <c r="AG33" s="4" t="s">
        <v>103</v>
      </c>
      <c r="AH33" s="5" t="s">
        <v>67</v>
      </c>
      <c r="AI33" s="2" t="s">
        <v>4382</v>
      </c>
      <c r="AJ33" s="158">
        <f>SUM(DATA_Depts[[#This Row],[SFD]])-SUM(V33)</f>
        <v>0</v>
      </c>
      <c r="AK33" s="158">
        <f>SUM(DATA_Depts[[#This Row],[SPD]])-SUM(W33)</f>
        <v>0</v>
      </c>
      <c r="AL33" s="158">
        <f>SUM(DATA_Depts[[#This Row],[Parks]])-SUM(X33)</f>
        <v>0</v>
      </c>
      <c r="AM33" s="158">
        <f>SUM(DATA_Depts[[#This Row],[SPU]])-SUM(Y33)</f>
        <v>0</v>
      </c>
      <c r="AN33" s="158">
        <f>SUM(DATA_Depts[[#This Row],[SDOT]])-SUM(Z33)</f>
        <v>0</v>
      </c>
      <c r="AO33" s="158">
        <f>SUM(DATA_Depts[[#This Row],[SDCI]])-SUM(AA33)</f>
        <v>0</v>
      </c>
      <c r="AP33" s="158">
        <f>SUM(DATA_Depts[[#This Row],[Libraries]])-SUM(AB33)</f>
        <v>0</v>
      </c>
      <c r="AQ33" s="158">
        <f>SUM(DATA_Depts[[#This Row],[SeaIT]])-SUM(AC33)</f>
        <v>0</v>
      </c>
      <c r="AR33" s="158">
        <f>SUM(DATA_Depts[[#This Row],[Seattle Ctr]])-SUM(AD33)</f>
        <v>0</v>
      </c>
      <c r="AS33" s="158">
        <f>SUM(DATA_Depts[[#This Row],[SCL]])-SUM(AE33)</f>
        <v>0</v>
      </c>
    </row>
    <row r="34" spans="1:45">
      <c r="A34" s="151">
        <v>30</v>
      </c>
      <c r="B34" s="5">
        <v>30</v>
      </c>
      <c r="C34" s="4" t="str">
        <f>_xlfn.SINGLE(VLOOKUP(B34,DisplayOrder!A:B,2,FALSE))</f>
        <v>Reserved-30</v>
      </c>
      <c r="D34" s="5" t="str">
        <f>_xlfn.SINGLE(VLOOKUP(B34,DisplayOrder!A:C,3,FALSE))</f>
        <v>each</v>
      </c>
      <c r="E34" s="2" t="s">
        <v>4382</v>
      </c>
      <c r="F34" s="153">
        <v>0</v>
      </c>
      <c r="G34" s="153">
        <v>0</v>
      </c>
      <c r="H34" s="153">
        <v>0</v>
      </c>
      <c r="I34" s="153">
        <v>0</v>
      </c>
      <c r="J34" s="153">
        <v>0</v>
      </c>
      <c r="K34" s="153">
        <v>0</v>
      </c>
      <c r="L34" s="153">
        <v>0</v>
      </c>
      <c r="M34" s="153">
        <v>0</v>
      </c>
      <c r="N34" s="153">
        <v>0</v>
      </c>
      <c r="O34" s="153">
        <v>0</v>
      </c>
      <c r="Q34" s="151">
        <v>30</v>
      </c>
      <c r="R34" s="5">
        <v>30</v>
      </c>
      <c r="S34" s="4" t="s">
        <v>104</v>
      </c>
      <c r="T34" s="5" t="s">
        <v>67</v>
      </c>
      <c r="U34" s="2" t="s">
        <v>4382</v>
      </c>
      <c r="V34" s="153">
        <v>0</v>
      </c>
      <c r="W34" s="153">
        <v>0</v>
      </c>
      <c r="X34" s="153">
        <v>0</v>
      </c>
      <c r="Y34" s="153">
        <v>0</v>
      </c>
      <c r="Z34" s="153">
        <v>0</v>
      </c>
      <c r="AA34" s="153">
        <v>0</v>
      </c>
      <c r="AB34" s="153">
        <v>0</v>
      </c>
      <c r="AC34" s="153">
        <v>0</v>
      </c>
      <c r="AD34" s="153">
        <v>0</v>
      </c>
      <c r="AE34" s="153">
        <v>0</v>
      </c>
      <c r="AG34" s="4" t="s">
        <v>104</v>
      </c>
      <c r="AH34" s="5" t="s">
        <v>67</v>
      </c>
      <c r="AI34" s="2" t="s">
        <v>4382</v>
      </c>
      <c r="AJ34" s="158">
        <f>SUM(DATA_Depts[[#This Row],[SFD]])-SUM(V34)</f>
        <v>0</v>
      </c>
      <c r="AK34" s="158">
        <f>SUM(DATA_Depts[[#This Row],[SPD]])-SUM(W34)</f>
        <v>0</v>
      </c>
      <c r="AL34" s="158">
        <f>SUM(DATA_Depts[[#This Row],[Parks]])-SUM(X34)</f>
        <v>0</v>
      </c>
      <c r="AM34" s="158">
        <f>SUM(DATA_Depts[[#This Row],[SPU]])-SUM(Y34)</f>
        <v>0</v>
      </c>
      <c r="AN34" s="158">
        <f>SUM(DATA_Depts[[#This Row],[SDOT]])-SUM(Z34)</f>
        <v>0</v>
      </c>
      <c r="AO34" s="158">
        <f>SUM(DATA_Depts[[#This Row],[SDCI]])-SUM(AA34)</f>
        <v>0</v>
      </c>
      <c r="AP34" s="158">
        <f>SUM(DATA_Depts[[#This Row],[Libraries]])-SUM(AB34)</f>
        <v>0</v>
      </c>
      <c r="AQ34" s="158">
        <f>SUM(DATA_Depts[[#This Row],[SeaIT]])-SUM(AC34)</f>
        <v>0</v>
      </c>
      <c r="AR34" s="158">
        <f>SUM(DATA_Depts[[#This Row],[Seattle Ctr]])-SUM(AD34)</f>
        <v>0</v>
      </c>
      <c r="AS34" s="158">
        <f>SUM(DATA_Depts[[#This Row],[SCL]])-SUM(AE34)</f>
        <v>0</v>
      </c>
    </row>
    <row r="35" spans="1:45">
      <c r="A35" s="151">
        <v>31</v>
      </c>
      <c r="B35" s="5">
        <v>31</v>
      </c>
      <c r="C35" s="4" t="str">
        <f>_xlfn.SINGLE(VLOOKUP(B35,DisplayOrder!A:B,2,FALSE))</f>
        <v>Reserved-31</v>
      </c>
      <c r="D35" s="5" t="str">
        <f>_xlfn.SINGLE(VLOOKUP(B35,DisplayOrder!A:C,3,FALSE))</f>
        <v>each</v>
      </c>
      <c r="E35" s="2" t="s">
        <v>4382</v>
      </c>
      <c r="F35" s="153">
        <v>0</v>
      </c>
      <c r="G35" s="153">
        <v>0</v>
      </c>
      <c r="H35" s="153">
        <v>0</v>
      </c>
      <c r="I35" s="153">
        <v>0</v>
      </c>
      <c r="J35" s="153">
        <v>0</v>
      </c>
      <c r="K35" s="153">
        <v>0</v>
      </c>
      <c r="L35" s="153">
        <v>0</v>
      </c>
      <c r="M35" s="153">
        <v>0</v>
      </c>
      <c r="N35" s="153">
        <v>0</v>
      </c>
      <c r="O35" s="153">
        <v>0</v>
      </c>
      <c r="Q35" s="151">
        <v>31</v>
      </c>
      <c r="R35" s="5">
        <v>31</v>
      </c>
      <c r="S35" s="4" t="s">
        <v>105</v>
      </c>
      <c r="T35" s="5" t="s">
        <v>67</v>
      </c>
      <c r="U35" s="2" t="s">
        <v>4382</v>
      </c>
      <c r="V35" s="153">
        <v>0</v>
      </c>
      <c r="W35" s="153">
        <v>0</v>
      </c>
      <c r="X35" s="153">
        <v>0</v>
      </c>
      <c r="Y35" s="153">
        <v>0</v>
      </c>
      <c r="Z35" s="153">
        <v>0</v>
      </c>
      <c r="AA35" s="153">
        <v>0</v>
      </c>
      <c r="AB35" s="153">
        <v>0</v>
      </c>
      <c r="AC35" s="153">
        <v>0</v>
      </c>
      <c r="AD35" s="153">
        <v>0</v>
      </c>
      <c r="AE35" s="153">
        <v>0</v>
      </c>
      <c r="AG35" s="4" t="s">
        <v>105</v>
      </c>
      <c r="AH35" s="5" t="s">
        <v>67</v>
      </c>
      <c r="AI35" s="2" t="s">
        <v>4382</v>
      </c>
      <c r="AJ35" s="158">
        <f>SUM(DATA_Depts[[#This Row],[SFD]])-SUM(V35)</f>
        <v>0</v>
      </c>
      <c r="AK35" s="158">
        <f>SUM(DATA_Depts[[#This Row],[SPD]])-SUM(W35)</f>
        <v>0</v>
      </c>
      <c r="AL35" s="158">
        <f>SUM(DATA_Depts[[#This Row],[Parks]])-SUM(X35)</f>
        <v>0</v>
      </c>
      <c r="AM35" s="158">
        <f>SUM(DATA_Depts[[#This Row],[SPU]])-SUM(Y35)</f>
        <v>0</v>
      </c>
      <c r="AN35" s="158">
        <f>SUM(DATA_Depts[[#This Row],[SDOT]])-SUM(Z35)</f>
        <v>0</v>
      </c>
      <c r="AO35" s="158">
        <f>SUM(DATA_Depts[[#This Row],[SDCI]])-SUM(AA35)</f>
        <v>0</v>
      </c>
      <c r="AP35" s="158">
        <f>SUM(DATA_Depts[[#This Row],[Libraries]])-SUM(AB35)</f>
        <v>0</v>
      </c>
      <c r="AQ35" s="158">
        <f>SUM(DATA_Depts[[#This Row],[SeaIT]])-SUM(AC35)</f>
        <v>0</v>
      </c>
      <c r="AR35" s="158">
        <f>SUM(DATA_Depts[[#This Row],[Seattle Ctr]])-SUM(AD35)</f>
        <v>0</v>
      </c>
      <c r="AS35" s="158">
        <f>SUM(DATA_Depts[[#This Row],[SCL]])-SUM(AE35)</f>
        <v>0</v>
      </c>
    </row>
    <row r="36" spans="1:45">
      <c r="A36" s="151">
        <v>32</v>
      </c>
      <c r="B36" s="5">
        <v>32</v>
      </c>
      <c r="C36" s="4" t="str">
        <f>_xlfn.SINGLE(VLOOKUP(B36,DisplayOrder!A:B,2,FALSE))</f>
        <v>Reserved-32</v>
      </c>
      <c r="D36" s="5" t="str">
        <f>_xlfn.SINGLE(VLOOKUP(B36,DisplayOrder!A:C,3,FALSE))</f>
        <v>each</v>
      </c>
      <c r="E36" s="2" t="s">
        <v>4382</v>
      </c>
      <c r="F36" s="153">
        <v>0</v>
      </c>
      <c r="G36" s="153">
        <v>0</v>
      </c>
      <c r="H36" s="153">
        <v>0</v>
      </c>
      <c r="I36" s="153">
        <v>0</v>
      </c>
      <c r="J36" s="153">
        <v>0</v>
      </c>
      <c r="K36" s="153">
        <v>0</v>
      </c>
      <c r="L36" s="153">
        <v>0</v>
      </c>
      <c r="M36" s="153">
        <v>0</v>
      </c>
      <c r="N36" s="153">
        <v>0</v>
      </c>
      <c r="O36" s="153">
        <v>0</v>
      </c>
      <c r="Q36" s="151">
        <v>32</v>
      </c>
      <c r="R36" s="5">
        <v>32</v>
      </c>
      <c r="S36" s="4" t="s">
        <v>106</v>
      </c>
      <c r="T36" s="5" t="s">
        <v>67</v>
      </c>
      <c r="U36" s="2" t="s">
        <v>4382</v>
      </c>
      <c r="V36" s="153">
        <v>0</v>
      </c>
      <c r="W36" s="153">
        <v>0</v>
      </c>
      <c r="X36" s="153">
        <v>0</v>
      </c>
      <c r="Y36" s="153">
        <v>0</v>
      </c>
      <c r="Z36" s="153">
        <v>0</v>
      </c>
      <c r="AA36" s="153">
        <v>0</v>
      </c>
      <c r="AB36" s="153">
        <v>0</v>
      </c>
      <c r="AC36" s="153">
        <v>0</v>
      </c>
      <c r="AD36" s="153">
        <v>0</v>
      </c>
      <c r="AE36" s="153">
        <v>0</v>
      </c>
      <c r="AG36" s="4" t="s">
        <v>106</v>
      </c>
      <c r="AH36" s="5" t="s">
        <v>67</v>
      </c>
      <c r="AI36" s="2" t="s">
        <v>4382</v>
      </c>
      <c r="AJ36" s="158">
        <f>SUM(DATA_Depts[[#This Row],[SFD]])-SUM(V36)</f>
        <v>0</v>
      </c>
      <c r="AK36" s="158">
        <f>SUM(DATA_Depts[[#This Row],[SPD]])-SUM(W36)</f>
        <v>0</v>
      </c>
      <c r="AL36" s="158">
        <f>SUM(DATA_Depts[[#This Row],[Parks]])-SUM(X36)</f>
        <v>0</v>
      </c>
      <c r="AM36" s="158">
        <f>SUM(DATA_Depts[[#This Row],[SPU]])-SUM(Y36)</f>
        <v>0</v>
      </c>
      <c r="AN36" s="158">
        <f>SUM(DATA_Depts[[#This Row],[SDOT]])-SUM(Z36)</f>
        <v>0</v>
      </c>
      <c r="AO36" s="158">
        <f>SUM(DATA_Depts[[#This Row],[SDCI]])-SUM(AA36)</f>
        <v>0</v>
      </c>
      <c r="AP36" s="158">
        <f>SUM(DATA_Depts[[#This Row],[Libraries]])-SUM(AB36)</f>
        <v>0</v>
      </c>
      <c r="AQ36" s="158">
        <f>SUM(DATA_Depts[[#This Row],[SeaIT]])-SUM(AC36)</f>
        <v>0</v>
      </c>
      <c r="AR36" s="158">
        <f>SUM(DATA_Depts[[#This Row],[Seattle Ctr]])-SUM(AD36)</f>
        <v>0</v>
      </c>
      <c r="AS36" s="158">
        <f>SUM(DATA_Depts[[#This Row],[SCL]])-SUM(AE36)</f>
        <v>0</v>
      </c>
    </row>
    <row r="37" spans="1:45">
      <c r="A37" s="151">
        <v>33</v>
      </c>
      <c r="B37" s="5">
        <v>33</v>
      </c>
      <c r="C37" s="4" t="str">
        <f>_xlfn.SINGLE(VLOOKUP(B37,DisplayOrder!A:B,2,FALSE))</f>
        <v>Reserved-33</v>
      </c>
      <c r="D37" s="5" t="str">
        <f>_xlfn.SINGLE(VLOOKUP(B37,DisplayOrder!A:C,3,FALSE))</f>
        <v>each</v>
      </c>
      <c r="E37" s="2" t="s">
        <v>4382</v>
      </c>
      <c r="F37" s="153">
        <v>0</v>
      </c>
      <c r="G37" s="153">
        <v>0</v>
      </c>
      <c r="H37" s="153">
        <v>0</v>
      </c>
      <c r="I37" s="153">
        <v>0</v>
      </c>
      <c r="J37" s="153">
        <v>0</v>
      </c>
      <c r="K37" s="153">
        <v>0</v>
      </c>
      <c r="L37" s="153">
        <v>0</v>
      </c>
      <c r="M37" s="153">
        <v>0</v>
      </c>
      <c r="N37" s="153">
        <v>0</v>
      </c>
      <c r="O37" s="153">
        <v>0</v>
      </c>
      <c r="Q37" s="151">
        <v>33</v>
      </c>
      <c r="R37" s="5">
        <v>33</v>
      </c>
      <c r="S37" s="4" t="s">
        <v>107</v>
      </c>
      <c r="T37" s="5" t="s">
        <v>67</v>
      </c>
      <c r="U37" s="2" t="s">
        <v>4382</v>
      </c>
      <c r="V37" s="153">
        <v>0</v>
      </c>
      <c r="W37" s="153">
        <v>0</v>
      </c>
      <c r="X37" s="153">
        <v>0</v>
      </c>
      <c r="Y37" s="153">
        <v>0</v>
      </c>
      <c r="Z37" s="153">
        <v>0</v>
      </c>
      <c r="AA37" s="153">
        <v>0</v>
      </c>
      <c r="AB37" s="153">
        <v>0</v>
      </c>
      <c r="AC37" s="153">
        <v>0</v>
      </c>
      <c r="AD37" s="153">
        <v>0</v>
      </c>
      <c r="AE37" s="153">
        <v>0</v>
      </c>
      <c r="AG37" s="4" t="s">
        <v>107</v>
      </c>
      <c r="AH37" s="5" t="s">
        <v>67</v>
      </c>
      <c r="AI37" s="2" t="s">
        <v>4382</v>
      </c>
      <c r="AJ37" s="158">
        <f>SUM(DATA_Depts[[#This Row],[SFD]])-SUM(V37)</f>
        <v>0</v>
      </c>
      <c r="AK37" s="158">
        <f>SUM(DATA_Depts[[#This Row],[SPD]])-SUM(W37)</f>
        <v>0</v>
      </c>
      <c r="AL37" s="158">
        <f>SUM(DATA_Depts[[#This Row],[Parks]])-SUM(X37)</f>
        <v>0</v>
      </c>
      <c r="AM37" s="158">
        <f>SUM(DATA_Depts[[#This Row],[SPU]])-SUM(Y37)</f>
        <v>0</v>
      </c>
      <c r="AN37" s="158">
        <f>SUM(DATA_Depts[[#This Row],[SDOT]])-SUM(Z37)</f>
        <v>0</v>
      </c>
      <c r="AO37" s="158">
        <f>SUM(DATA_Depts[[#This Row],[SDCI]])-SUM(AA37)</f>
        <v>0</v>
      </c>
      <c r="AP37" s="158">
        <f>SUM(DATA_Depts[[#This Row],[Libraries]])-SUM(AB37)</f>
        <v>0</v>
      </c>
      <c r="AQ37" s="158">
        <f>SUM(DATA_Depts[[#This Row],[SeaIT]])-SUM(AC37)</f>
        <v>0</v>
      </c>
      <c r="AR37" s="158">
        <f>SUM(DATA_Depts[[#This Row],[Seattle Ctr]])-SUM(AD37)</f>
        <v>0</v>
      </c>
      <c r="AS37" s="158">
        <f>SUM(DATA_Depts[[#This Row],[SCL]])-SUM(AE37)</f>
        <v>0</v>
      </c>
    </row>
    <row r="38" spans="1:45">
      <c r="A38" s="151">
        <v>34</v>
      </c>
      <c r="B38" s="5">
        <v>34</v>
      </c>
      <c r="C38" s="4" t="str">
        <f>_xlfn.SINGLE(VLOOKUP(B38,DisplayOrder!A:B,2,FALSE))</f>
        <v>Reserved-34</v>
      </c>
      <c r="D38" s="5" t="str">
        <f>_xlfn.SINGLE(VLOOKUP(B38,DisplayOrder!A:C,3,FALSE))</f>
        <v>each</v>
      </c>
      <c r="E38" s="2" t="s">
        <v>4382</v>
      </c>
      <c r="F38" s="153">
        <v>0</v>
      </c>
      <c r="G38" s="153">
        <v>0</v>
      </c>
      <c r="H38" s="153">
        <v>0</v>
      </c>
      <c r="I38" s="153">
        <v>0</v>
      </c>
      <c r="J38" s="153">
        <v>0</v>
      </c>
      <c r="K38" s="153">
        <v>0</v>
      </c>
      <c r="L38" s="153">
        <v>0</v>
      </c>
      <c r="M38" s="153">
        <v>0</v>
      </c>
      <c r="N38" s="153">
        <v>0</v>
      </c>
      <c r="O38" s="153">
        <v>0</v>
      </c>
      <c r="Q38" s="151">
        <v>34</v>
      </c>
      <c r="R38" s="5">
        <v>34</v>
      </c>
      <c r="S38" s="4" t="s">
        <v>108</v>
      </c>
      <c r="T38" s="5" t="s">
        <v>67</v>
      </c>
      <c r="U38" s="2" t="s">
        <v>4382</v>
      </c>
      <c r="V38" s="153">
        <v>0</v>
      </c>
      <c r="W38" s="153">
        <v>0</v>
      </c>
      <c r="X38" s="153">
        <v>0</v>
      </c>
      <c r="Y38" s="153">
        <v>0</v>
      </c>
      <c r="Z38" s="153">
        <v>0</v>
      </c>
      <c r="AA38" s="153">
        <v>0</v>
      </c>
      <c r="AB38" s="153">
        <v>0</v>
      </c>
      <c r="AC38" s="153">
        <v>0</v>
      </c>
      <c r="AD38" s="153">
        <v>0</v>
      </c>
      <c r="AE38" s="153">
        <v>0</v>
      </c>
      <c r="AG38" s="4" t="s">
        <v>108</v>
      </c>
      <c r="AH38" s="5" t="s">
        <v>67</v>
      </c>
      <c r="AI38" s="2" t="s">
        <v>4382</v>
      </c>
      <c r="AJ38" s="158">
        <f>SUM(DATA_Depts[[#This Row],[SFD]])-SUM(V38)</f>
        <v>0</v>
      </c>
      <c r="AK38" s="158">
        <f>SUM(DATA_Depts[[#This Row],[SPD]])-SUM(W38)</f>
        <v>0</v>
      </c>
      <c r="AL38" s="158">
        <f>SUM(DATA_Depts[[#This Row],[Parks]])-SUM(X38)</f>
        <v>0</v>
      </c>
      <c r="AM38" s="158">
        <f>SUM(DATA_Depts[[#This Row],[SPU]])-SUM(Y38)</f>
        <v>0</v>
      </c>
      <c r="AN38" s="158">
        <f>SUM(DATA_Depts[[#This Row],[SDOT]])-SUM(Z38)</f>
        <v>0</v>
      </c>
      <c r="AO38" s="158">
        <f>SUM(DATA_Depts[[#This Row],[SDCI]])-SUM(AA38)</f>
        <v>0</v>
      </c>
      <c r="AP38" s="158">
        <f>SUM(DATA_Depts[[#This Row],[Libraries]])-SUM(AB38)</f>
        <v>0</v>
      </c>
      <c r="AQ38" s="158">
        <f>SUM(DATA_Depts[[#This Row],[SeaIT]])-SUM(AC38)</f>
        <v>0</v>
      </c>
      <c r="AR38" s="158">
        <f>SUM(DATA_Depts[[#This Row],[Seattle Ctr]])-SUM(AD38)</f>
        <v>0</v>
      </c>
      <c r="AS38" s="158">
        <f>SUM(DATA_Depts[[#This Row],[SCL]])-SUM(AE38)</f>
        <v>0</v>
      </c>
    </row>
    <row r="39" spans="1:45">
      <c r="A39" s="151">
        <v>35</v>
      </c>
      <c r="B39" s="5">
        <v>35</v>
      </c>
      <c r="C39" s="4" t="str">
        <f>_xlfn.SINGLE(VLOOKUP(B39,DisplayOrder!A:B,2,FALSE))</f>
        <v>Reserved-35</v>
      </c>
      <c r="D39" s="5" t="str">
        <f>_xlfn.SINGLE(VLOOKUP(B39,DisplayOrder!A:C,3,FALSE))</f>
        <v>each</v>
      </c>
      <c r="E39" s="2" t="s">
        <v>4382</v>
      </c>
      <c r="F39" s="153">
        <v>0</v>
      </c>
      <c r="G39" s="153">
        <v>0</v>
      </c>
      <c r="H39" s="153">
        <v>0</v>
      </c>
      <c r="I39" s="153">
        <v>0</v>
      </c>
      <c r="J39" s="153">
        <v>0</v>
      </c>
      <c r="K39" s="153">
        <v>0</v>
      </c>
      <c r="L39" s="153">
        <v>0</v>
      </c>
      <c r="M39" s="153">
        <v>0</v>
      </c>
      <c r="N39" s="153">
        <v>0</v>
      </c>
      <c r="O39" s="153">
        <v>0</v>
      </c>
      <c r="Q39" s="151">
        <v>35</v>
      </c>
      <c r="R39" s="5">
        <v>35</v>
      </c>
      <c r="S39" s="4" t="s">
        <v>109</v>
      </c>
      <c r="T39" s="5" t="s">
        <v>67</v>
      </c>
      <c r="U39" s="2" t="s">
        <v>4382</v>
      </c>
      <c r="V39" s="153">
        <v>0</v>
      </c>
      <c r="W39" s="153">
        <v>0</v>
      </c>
      <c r="X39" s="153">
        <v>0</v>
      </c>
      <c r="Y39" s="153">
        <v>0</v>
      </c>
      <c r="Z39" s="153">
        <v>0</v>
      </c>
      <c r="AA39" s="153">
        <v>0</v>
      </c>
      <c r="AB39" s="153">
        <v>0</v>
      </c>
      <c r="AC39" s="153">
        <v>0</v>
      </c>
      <c r="AD39" s="153">
        <v>0</v>
      </c>
      <c r="AE39" s="153">
        <v>0</v>
      </c>
      <c r="AG39" s="4" t="s">
        <v>109</v>
      </c>
      <c r="AH39" s="5" t="s">
        <v>67</v>
      </c>
      <c r="AI39" s="2" t="s">
        <v>4382</v>
      </c>
      <c r="AJ39" s="158">
        <f>SUM(DATA_Depts[[#This Row],[SFD]])-SUM(V39)</f>
        <v>0</v>
      </c>
      <c r="AK39" s="158">
        <f>SUM(DATA_Depts[[#This Row],[SPD]])-SUM(W39)</f>
        <v>0</v>
      </c>
      <c r="AL39" s="158">
        <f>SUM(DATA_Depts[[#This Row],[Parks]])-SUM(X39)</f>
        <v>0</v>
      </c>
      <c r="AM39" s="158">
        <f>SUM(DATA_Depts[[#This Row],[SPU]])-SUM(Y39)</f>
        <v>0</v>
      </c>
      <c r="AN39" s="158">
        <f>SUM(DATA_Depts[[#This Row],[SDOT]])-SUM(Z39)</f>
        <v>0</v>
      </c>
      <c r="AO39" s="158">
        <f>SUM(DATA_Depts[[#This Row],[SDCI]])-SUM(AA39)</f>
        <v>0</v>
      </c>
      <c r="AP39" s="158">
        <f>SUM(DATA_Depts[[#This Row],[Libraries]])-SUM(AB39)</f>
        <v>0</v>
      </c>
      <c r="AQ39" s="158">
        <f>SUM(DATA_Depts[[#This Row],[SeaIT]])-SUM(AC39)</f>
        <v>0</v>
      </c>
      <c r="AR39" s="158">
        <f>SUM(DATA_Depts[[#This Row],[Seattle Ctr]])-SUM(AD39)</f>
        <v>0</v>
      </c>
      <c r="AS39" s="158">
        <f>SUM(DATA_Depts[[#This Row],[SCL]])-SUM(AE39)</f>
        <v>0</v>
      </c>
    </row>
    <row r="40" spans="1:45">
      <c r="A40" s="151">
        <v>36</v>
      </c>
      <c r="B40" s="5">
        <v>36</v>
      </c>
      <c r="C40" s="4" t="str">
        <f>_xlfn.SINGLE(VLOOKUP(B40,DisplayOrder!A:B,2,FALSE))</f>
        <v>Reserved-36</v>
      </c>
      <c r="D40" s="5" t="str">
        <f>_xlfn.SINGLE(VLOOKUP(B40,DisplayOrder!A:C,3,FALSE))</f>
        <v>each</v>
      </c>
      <c r="E40" s="2" t="s">
        <v>4382</v>
      </c>
      <c r="F40" s="153">
        <v>0</v>
      </c>
      <c r="G40" s="153">
        <v>0</v>
      </c>
      <c r="H40" s="153">
        <v>0</v>
      </c>
      <c r="I40" s="153">
        <v>0</v>
      </c>
      <c r="J40" s="153">
        <v>0</v>
      </c>
      <c r="K40" s="153">
        <v>0</v>
      </c>
      <c r="L40" s="153">
        <v>0</v>
      </c>
      <c r="M40" s="153">
        <v>0</v>
      </c>
      <c r="N40" s="153">
        <v>0</v>
      </c>
      <c r="O40" s="153">
        <v>0</v>
      </c>
      <c r="Q40" s="151">
        <v>36</v>
      </c>
      <c r="R40" s="5">
        <v>36</v>
      </c>
      <c r="S40" s="4" t="s">
        <v>110</v>
      </c>
      <c r="T40" s="5" t="s">
        <v>67</v>
      </c>
      <c r="U40" s="2" t="s">
        <v>4382</v>
      </c>
      <c r="V40" s="153">
        <v>0</v>
      </c>
      <c r="W40" s="153">
        <v>0</v>
      </c>
      <c r="X40" s="153">
        <v>0</v>
      </c>
      <c r="Y40" s="153">
        <v>0</v>
      </c>
      <c r="Z40" s="153">
        <v>0</v>
      </c>
      <c r="AA40" s="153">
        <v>0</v>
      </c>
      <c r="AB40" s="153">
        <v>0</v>
      </c>
      <c r="AC40" s="153">
        <v>0</v>
      </c>
      <c r="AD40" s="153">
        <v>0</v>
      </c>
      <c r="AE40" s="153">
        <v>0</v>
      </c>
      <c r="AG40" s="4" t="s">
        <v>110</v>
      </c>
      <c r="AH40" s="5" t="s">
        <v>67</v>
      </c>
      <c r="AI40" s="2" t="s">
        <v>4382</v>
      </c>
      <c r="AJ40" s="158">
        <f>SUM(DATA_Depts[[#This Row],[SFD]])-SUM(V40)</f>
        <v>0</v>
      </c>
      <c r="AK40" s="158">
        <f>SUM(DATA_Depts[[#This Row],[SPD]])-SUM(W40)</f>
        <v>0</v>
      </c>
      <c r="AL40" s="158">
        <f>SUM(DATA_Depts[[#This Row],[Parks]])-SUM(X40)</f>
        <v>0</v>
      </c>
      <c r="AM40" s="158">
        <f>SUM(DATA_Depts[[#This Row],[SPU]])-SUM(Y40)</f>
        <v>0</v>
      </c>
      <c r="AN40" s="158">
        <f>SUM(DATA_Depts[[#This Row],[SDOT]])-SUM(Z40)</f>
        <v>0</v>
      </c>
      <c r="AO40" s="158">
        <f>SUM(DATA_Depts[[#This Row],[SDCI]])-SUM(AA40)</f>
        <v>0</v>
      </c>
      <c r="AP40" s="158">
        <f>SUM(DATA_Depts[[#This Row],[Libraries]])-SUM(AB40)</f>
        <v>0</v>
      </c>
      <c r="AQ40" s="158">
        <f>SUM(DATA_Depts[[#This Row],[SeaIT]])-SUM(AC40)</f>
        <v>0</v>
      </c>
      <c r="AR40" s="158">
        <f>SUM(DATA_Depts[[#This Row],[Seattle Ctr]])-SUM(AD40)</f>
        <v>0</v>
      </c>
      <c r="AS40" s="158">
        <f>SUM(DATA_Depts[[#This Row],[SCL]])-SUM(AE40)</f>
        <v>0</v>
      </c>
    </row>
    <row r="41" spans="1:45">
      <c r="A41" s="151">
        <v>37</v>
      </c>
      <c r="B41" s="5">
        <v>37</v>
      </c>
      <c r="C41" s="4" t="str">
        <f>_xlfn.SINGLE(VLOOKUP(B41,DisplayOrder!A:B,2,FALSE))</f>
        <v>Reserved-37</v>
      </c>
      <c r="D41" s="5" t="str">
        <f>_xlfn.SINGLE(VLOOKUP(B41,DisplayOrder!A:C,3,FALSE))</f>
        <v>each</v>
      </c>
      <c r="E41" s="2" t="s">
        <v>4382</v>
      </c>
      <c r="F41" s="153">
        <v>0</v>
      </c>
      <c r="G41" s="153">
        <v>0</v>
      </c>
      <c r="H41" s="153">
        <v>0</v>
      </c>
      <c r="I41" s="153">
        <v>0</v>
      </c>
      <c r="J41" s="153">
        <v>0</v>
      </c>
      <c r="K41" s="153">
        <v>0</v>
      </c>
      <c r="L41" s="153">
        <v>0</v>
      </c>
      <c r="M41" s="153">
        <v>0</v>
      </c>
      <c r="N41" s="153">
        <v>0</v>
      </c>
      <c r="O41" s="153">
        <v>0</v>
      </c>
      <c r="Q41" s="151">
        <v>37</v>
      </c>
      <c r="R41" s="5">
        <v>37</v>
      </c>
      <c r="S41" s="4" t="s">
        <v>111</v>
      </c>
      <c r="T41" s="5" t="s">
        <v>67</v>
      </c>
      <c r="U41" s="2" t="s">
        <v>4382</v>
      </c>
      <c r="V41" s="153">
        <v>0</v>
      </c>
      <c r="W41" s="153">
        <v>0</v>
      </c>
      <c r="X41" s="153">
        <v>0</v>
      </c>
      <c r="Y41" s="153">
        <v>0</v>
      </c>
      <c r="Z41" s="153">
        <v>0</v>
      </c>
      <c r="AA41" s="153">
        <v>0</v>
      </c>
      <c r="AB41" s="153">
        <v>0</v>
      </c>
      <c r="AC41" s="153">
        <v>0</v>
      </c>
      <c r="AD41" s="153">
        <v>0</v>
      </c>
      <c r="AE41" s="153">
        <v>0</v>
      </c>
      <c r="AG41" s="4" t="s">
        <v>111</v>
      </c>
      <c r="AH41" s="5" t="s">
        <v>67</v>
      </c>
      <c r="AI41" s="2" t="s">
        <v>4382</v>
      </c>
      <c r="AJ41" s="158">
        <f>SUM(DATA_Depts[[#This Row],[SFD]])-SUM(V41)</f>
        <v>0</v>
      </c>
      <c r="AK41" s="158">
        <f>SUM(DATA_Depts[[#This Row],[SPD]])-SUM(W41)</f>
        <v>0</v>
      </c>
      <c r="AL41" s="158">
        <f>SUM(DATA_Depts[[#This Row],[Parks]])-SUM(X41)</f>
        <v>0</v>
      </c>
      <c r="AM41" s="158">
        <f>SUM(DATA_Depts[[#This Row],[SPU]])-SUM(Y41)</f>
        <v>0</v>
      </c>
      <c r="AN41" s="158">
        <f>SUM(DATA_Depts[[#This Row],[SDOT]])-SUM(Z41)</f>
        <v>0</v>
      </c>
      <c r="AO41" s="158">
        <f>SUM(DATA_Depts[[#This Row],[SDCI]])-SUM(AA41)</f>
        <v>0</v>
      </c>
      <c r="AP41" s="158">
        <f>SUM(DATA_Depts[[#This Row],[Libraries]])-SUM(AB41)</f>
        <v>0</v>
      </c>
      <c r="AQ41" s="158">
        <f>SUM(DATA_Depts[[#This Row],[SeaIT]])-SUM(AC41)</f>
        <v>0</v>
      </c>
      <c r="AR41" s="158">
        <f>SUM(DATA_Depts[[#This Row],[Seattle Ctr]])-SUM(AD41)</f>
        <v>0</v>
      </c>
      <c r="AS41" s="158">
        <f>SUM(DATA_Depts[[#This Row],[SCL]])-SUM(AE41)</f>
        <v>0</v>
      </c>
    </row>
    <row r="42" spans="1:45">
      <c r="A42" s="151">
        <v>38</v>
      </c>
      <c r="B42" s="5">
        <v>38</v>
      </c>
      <c r="C42" s="4" t="str">
        <f>_xlfn.SINGLE(VLOOKUP(B42,DisplayOrder!A:B,2,FALSE))</f>
        <v>Reserved-38</v>
      </c>
      <c r="D42" s="5" t="str">
        <f>_xlfn.SINGLE(VLOOKUP(B42,DisplayOrder!A:C,3,FALSE))</f>
        <v>each</v>
      </c>
      <c r="E42" s="2" t="s">
        <v>4382</v>
      </c>
      <c r="F42" s="153">
        <v>0</v>
      </c>
      <c r="G42" s="153">
        <v>0</v>
      </c>
      <c r="H42" s="153">
        <v>0</v>
      </c>
      <c r="I42" s="153">
        <v>0</v>
      </c>
      <c r="J42" s="153">
        <v>0</v>
      </c>
      <c r="K42" s="153">
        <v>0</v>
      </c>
      <c r="L42" s="153">
        <v>0</v>
      </c>
      <c r="M42" s="153">
        <v>0</v>
      </c>
      <c r="N42" s="153">
        <v>0</v>
      </c>
      <c r="O42" s="153">
        <v>0</v>
      </c>
      <c r="Q42" s="151">
        <v>38</v>
      </c>
      <c r="R42" s="5">
        <v>38</v>
      </c>
      <c r="S42" s="4" t="s">
        <v>112</v>
      </c>
      <c r="T42" s="5" t="s">
        <v>67</v>
      </c>
      <c r="U42" s="2" t="s">
        <v>4382</v>
      </c>
      <c r="V42" s="153">
        <v>0</v>
      </c>
      <c r="W42" s="153">
        <v>0</v>
      </c>
      <c r="X42" s="153">
        <v>0</v>
      </c>
      <c r="Y42" s="153">
        <v>0</v>
      </c>
      <c r="Z42" s="153">
        <v>0</v>
      </c>
      <c r="AA42" s="153">
        <v>0</v>
      </c>
      <c r="AB42" s="153">
        <v>0</v>
      </c>
      <c r="AC42" s="153">
        <v>0</v>
      </c>
      <c r="AD42" s="153">
        <v>0</v>
      </c>
      <c r="AE42" s="153">
        <v>0</v>
      </c>
      <c r="AG42" s="4" t="s">
        <v>112</v>
      </c>
      <c r="AH42" s="5" t="s">
        <v>67</v>
      </c>
      <c r="AI42" s="2" t="s">
        <v>4382</v>
      </c>
      <c r="AJ42" s="158">
        <f>SUM(DATA_Depts[[#This Row],[SFD]])-SUM(V42)</f>
        <v>0</v>
      </c>
      <c r="AK42" s="158">
        <f>SUM(DATA_Depts[[#This Row],[SPD]])-SUM(W42)</f>
        <v>0</v>
      </c>
      <c r="AL42" s="158">
        <f>SUM(DATA_Depts[[#This Row],[Parks]])-SUM(X42)</f>
        <v>0</v>
      </c>
      <c r="AM42" s="158">
        <f>SUM(DATA_Depts[[#This Row],[SPU]])-SUM(Y42)</f>
        <v>0</v>
      </c>
      <c r="AN42" s="158">
        <f>SUM(DATA_Depts[[#This Row],[SDOT]])-SUM(Z42)</f>
        <v>0</v>
      </c>
      <c r="AO42" s="158">
        <f>SUM(DATA_Depts[[#This Row],[SDCI]])-SUM(AA42)</f>
        <v>0</v>
      </c>
      <c r="AP42" s="158">
        <f>SUM(DATA_Depts[[#This Row],[Libraries]])-SUM(AB42)</f>
        <v>0</v>
      </c>
      <c r="AQ42" s="158">
        <f>SUM(DATA_Depts[[#This Row],[SeaIT]])-SUM(AC42)</f>
        <v>0</v>
      </c>
      <c r="AR42" s="158">
        <f>SUM(DATA_Depts[[#This Row],[Seattle Ctr]])-SUM(AD42)</f>
        <v>0</v>
      </c>
      <c r="AS42" s="158">
        <f>SUM(DATA_Depts[[#This Row],[SCL]])-SUM(AE42)</f>
        <v>0</v>
      </c>
    </row>
    <row r="43" spans="1:45">
      <c r="A43" s="151">
        <v>39</v>
      </c>
      <c r="B43" s="5">
        <v>39</v>
      </c>
      <c r="C43" s="4" t="str">
        <f>_xlfn.SINGLE(VLOOKUP(B43,DisplayOrder!A:B,2,FALSE))</f>
        <v>Reserved-39</v>
      </c>
      <c r="D43" s="5" t="str">
        <f>_xlfn.SINGLE(VLOOKUP(B43,DisplayOrder!A:C,3,FALSE))</f>
        <v>each</v>
      </c>
      <c r="E43" s="2" t="s">
        <v>4382</v>
      </c>
      <c r="F43" s="153">
        <v>0</v>
      </c>
      <c r="G43" s="153">
        <v>0</v>
      </c>
      <c r="H43" s="153">
        <v>0</v>
      </c>
      <c r="I43" s="153">
        <v>0</v>
      </c>
      <c r="J43" s="153">
        <v>0</v>
      </c>
      <c r="K43" s="153">
        <v>0</v>
      </c>
      <c r="L43" s="153">
        <v>0</v>
      </c>
      <c r="M43" s="153">
        <v>0</v>
      </c>
      <c r="N43" s="153">
        <v>0</v>
      </c>
      <c r="O43" s="153">
        <v>0</v>
      </c>
      <c r="Q43" s="151">
        <v>39</v>
      </c>
      <c r="R43" s="5">
        <v>39</v>
      </c>
      <c r="S43" s="4" t="s">
        <v>113</v>
      </c>
      <c r="T43" s="5" t="s">
        <v>67</v>
      </c>
      <c r="U43" s="2" t="s">
        <v>4382</v>
      </c>
      <c r="V43" s="153">
        <v>0</v>
      </c>
      <c r="W43" s="153">
        <v>0</v>
      </c>
      <c r="X43" s="153">
        <v>0</v>
      </c>
      <c r="Y43" s="153">
        <v>0</v>
      </c>
      <c r="Z43" s="153">
        <v>0</v>
      </c>
      <c r="AA43" s="153">
        <v>0</v>
      </c>
      <c r="AB43" s="153">
        <v>0</v>
      </c>
      <c r="AC43" s="153">
        <v>0</v>
      </c>
      <c r="AD43" s="153">
        <v>0</v>
      </c>
      <c r="AE43" s="153">
        <v>0</v>
      </c>
      <c r="AG43" s="4" t="s">
        <v>113</v>
      </c>
      <c r="AH43" s="5" t="s">
        <v>67</v>
      </c>
      <c r="AI43" s="2" t="s">
        <v>4382</v>
      </c>
      <c r="AJ43" s="158">
        <f>SUM(DATA_Depts[[#This Row],[SFD]])-SUM(V43)</f>
        <v>0</v>
      </c>
      <c r="AK43" s="158">
        <f>SUM(DATA_Depts[[#This Row],[SPD]])-SUM(W43)</f>
        <v>0</v>
      </c>
      <c r="AL43" s="158">
        <f>SUM(DATA_Depts[[#This Row],[Parks]])-SUM(X43)</f>
        <v>0</v>
      </c>
      <c r="AM43" s="158">
        <f>SUM(DATA_Depts[[#This Row],[SPU]])-SUM(Y43)</f>
        <v>0</v>
      </c>
      <c r="AN43" s="158">
        <f>SUM(DATA_Depts[[#This Row],[SDOT]])-SUM(Z43)</f>
        <v>0</v>
      </c>
      <c r="AO43" s="158">
        <f>SUM(DATA_Depts[[#This Row],[SDCI]])-SUM(AA43)</f>
        <v>0</v>
      </c>
      <c r="AP43" s="158">
        <f>SUM(DATA_Depts[[#This Row],[Libraries]])-SUM(AB43)</f>
        <v>0</v>
      </c>
      <c r="AQ43" s="158">
        <f>SUM(DATA_Depts[[#This Row],[SeaIT]])-SUM(AC43)</f>
        <v>0</v>
      </c>
      <c r="AR43" s="158">
        <f>SUM(DATA_Depts[[#This Row],[Seattle Ctr]])-SUM(AD43)</f>
        <v>0</v>
      </c>
      <c r="AS43" s="158">
        <f>SUM(DATA_Depts[[#This Row],[SCL]])-SUM(AE43)</f>
        <v>0</v>
      </c>
    </row>
    <row r="44" spans="1:45">
      <c r="A44" s="151">
        <v>40</v>
      </c>
      <c r="B44" s="5">
        <v>40</v>
      </c>
      <c r="C44" s="4" t="str">
        <f>_xlfn.SINGLE(VLOOKUP(B44,DisplayOrder!A:B,2,FALSE))</f>
        <v>Reserved-40</v>
      </c>
      <c r="D44" s="5" t="str">
        <f>_xlfn.SINGLE(VLOOKUP(B44,DisplayOrder!A:C,3,FALSE))</f>
        <v>each</v>
      </c>
      <c r="E44" s="2" t="s">
        <v>4382</v>
      </c>
      <c r="F44" s="153">
        <v>0</v>
      </c>
      <c r="G44" s="153">
        <v>0</v>
      </c>
      <c r="H44" s="153">
        <v>0</v>
      </c>
      <c r="I44" s="153">
        <v>0</v>
      </c>
      <c r="J44" s="153">
        <v>0</v>
      </c>
      <c r="K44" s="153">
        <v>0</v>
      </c>
      <c r="L44" s="153">
        <v>0</v>
      </c>
      <c r="M44" s="153">
        <v>0</v>
      </c>
      <c r="N44" s="153">
        <v>0</v>
      </c>
      <c r="O44" s="153">
        <v>0</v>
      </c>
      <c r="Q44" s="151">
        <v>40</v>
      </c>
      <c r="R44" s="5">
        <v>40</v>
      </c>
      <c r="S44" s="4" t="s">
        <v>114</v>
      </c>
      <c r="T44" s="5" t="s">
        <v>67</v>
      </c>
      <c r="U44" s="2" t="s">
        <v>4382</v>
      </c>
      <c r="V44" s="153">
        <v>0</v>
      </c>
      <c r="W44" s="153">
        <v>0</v>
      </c>
      <c r="X44" s="153">
        <v>0</v>
      </c>
      <c r="Y44" s="153">
        <v>0</v>
      </c>
      <c r="Z44" s="153">
        <v>0</v>
      </c>
      <c r="AA44" s="153">
        <v>0</v>
      </c>
      <c r="AB44" s="153">
        <v>0</v>
      </c>
      <c r="AC44" s="153">
        <v>0</v>
      </c>
      <c r="AD44" s="153">
        <v>0</v>
      </c>
      <c r="AE44" s="153">
        <v>0</v>
      </c>
      <c r="AG44" s="4" t="s">
        <v>114</v>
      </c>
      <c r="AH44" s="5" t="s">
        <v>67</v>
      </c>
      <c r="AI44" s="2" t="s">
        <v>4382</v>
      </c>
      <c r="AJ44" s="158">
        <f>SUM(DATA_Depts[[#This Row],[SFD]])-SUM(V44)</f>
        <v>0</v>
      </c>
      <c r="AK44" s="158">
        <f>SUM(DATA_Depts[[#This Row],[SPD]])-SUM(W44)</f>
        <v>0</v>
      </c>
      <c r="AL44" s="158">
        <f>SUM(DATA_Depts[[#This Row],[Parks]])-SUM(X44)</f>
        <v>0</v>
      </c>
      <c r="AM44" s="158">
        <f>SUM(DATA_Depts[[#This Row],[SPU]])-SUM(Y44)</f>
        <v>0</v>
      </c>
      <c r="AN44" s="158">
        <f>SUM(DATA_Depts[[#This Row],[SDOT]])-SUM(Z44)</f>
        <v>0</v>
      </c>
      <c r="AO44" s="158">
        <f>SUM(DATA_Depts[[#This Row],[SDCI]])-SUM(AA44)</f>
        <v>0</v>
      </c>
      <c r="AP44" s="158">
        <f>SUM(DATA_Depts[[#This Row],[Libraries]])-SUM(AB44)</f>
        <v>0</v>
      </c>
      <c r="AQ44" s="158">
        <f>SUM(DATA_Depts[[#This Row],[SeaIT]])-SUM(AC44)</f>
        <v>0</v>
      </c>
      <c r="AR44" s="158">
        <f>SUM(DATA_Depts[[#This Row],[Seattle Ctr]])-SUM(AD44)</f>
        <v>0</v>
      </c>
      <c r="AS44" s="158">
        <f>SUM(DATA_Depts[[#This Row],[SCL]])-SUM(AE44)</f>
        <v>0</v>
      </c>
    </row>
    <row r="45" spans="1:45">
      <c r="A45" s="151">
        <v>41</v>
      </c>
      <c r="B45" s="5">
        <v>41</v>
      </c>
      <c r="C45" s="4" t="str">
        <f>_xlfn.SINGLE(VLOOKUP(B45,DisplayOrder!A:B,2,FALSE))</f>
        <v>Reserved-41</v>
      </c>
      <c r="D45" s="5" t="str">
        <f>_xlfn.SINGLE(VLOOKUP(B45,DisplayOrder!A:C,3,FALSE))</f>
        <v>each</v>
      </c>
      <c r="E45" s="2" t="s">
        <v>4382</v>
      </c>
      <c r="F45" s="153">
        <v>0</v>
      </c>
      <c r="G45" s="153">
        <v>0</v>
      </c>
      <c r="H45" s="153">
        <v>0</v>
      </c>
      <c r="I45" s="153">
        <v>0</v>
      </c>
      <c r="J45" s="153">
        <v>0</v>
      </c>
      <c r="K45" s="153">
        <v>0</v>
      </c>
      <c r="L45" s="153">
        <v>0</v>
      </c>
      <c r="M45" s="153">
        <v>0</v>
      </c>
      <c r="N45" s="153">
        <v>0</v>
      </c>
      <c r="O45" s="153">
        <v>0</v>
      </c>
      <c r="Q45" s="151">
        <v>41</v>
      </c>
      <c r="R45" s="5">
        <v>41</v>
      </c>
      <c r="S45" s="4" t="s">
        <v>115</v>
      </c>
      <c r="T45" s="5" t="s">
        <v>67</v>
      </c>
      <c r="U45" s="2" t="s">
        <v>4382</v>
      </c>
      <c r="V45" s="153">
        <v>0</v>
      </c>
      <c r="W45" s="153">
        <v>0</v>
      </c>
      <c r="X45" s="153">
        <v>0</v>
      </c>
      <c r="Y45" s="153">
        <v>0</v>
      </c>
      <c r="Z45" s="153">
        <v>0</v>
      </c>
      <c r="AA45" s="153">
        <v>0</v>
      </c>
      <c r="AB45" s="153">
        <v>0</v>
      </c>
      <c r="AC45" s="153">
        <v>0</v>
      </c>
      <c r="AD45" s="153">
        <v>0</v>
      </c>
      <c r="AE45" s="153">
        <v>0</v>
      </c>
      <c r="AG45" s="4" t="s">
        <v>115</v>
      </c>
      <c r="AH45" s="5" t="s">
        <v>67</v>
      </c>
      <c r="AI45" s="2" t="s">
        <v>4382</v>
      </c>
      <c r="AJ45" s="158">
        <f>SUM(DATA_Depts[[#This Row],[SFD]])-SUM(V45)</f>
        <v>0</v>
      </c>
      <c r="AK45" s="158">
        <f>SUM(DATA_Depts[[#This Row],[SPD]])-SUM(W45)</f>
        <v>0</v>
      </c>
      <c r="AL45" s="158">
        <f>SUM(DATA_Depts[[#This Row],[Parks]])-SUM(X45)</f>
        <v>0</v>
      </c>
      <c r="AM45" s="158">
        <f>SUM(DATA_Depts[[#This Row],[SPU]])-SUM(Y45)</f>
        <v>0</v>
      </c>
      <c r="AN45" s="158">
        <f>SUM(DATA_Depts[[#This Row],[SDOT]])-SUM(Z45)</f>
        <v>0</v>
      </c>
      <c r="AO45" s="158">
        <f>SUM(DATA_Depts[[#This Row],[SDCI]])-SUM(AA45)</f>
        <v>0</v>
      </c>
      <c r="AP45" s="158">
        <f>SUM(DATA_Depts[[#This Row],[Libraries]])-SUM(AB45)</f>
        <v>0</v>
      </c>
      <c r="AQ45" s="158">
        <f>SUM(DATA_Depts[[#This Row],[SeaIT]])-SUM(AC45)</f>
        <v>0</v>
      </c>
      <c r="AR45" s="158">
        <f>SUM(DATA_Depts[[#This Row],[Seattle Ctr]])-SUM(AD45)</f>
        <v>0</v>
      </c>
      <c r="AS45" s="158">
        <f>SUM(DATA_Depts[[#This Row],[SCL]])-SUM(AE45)</f>
        <v>0</v>
      </c>
    </row>
    <row r="46" spans="1:45">
      <c r="A46" s="151">
        <v>42</v>
      </c>
      <c r="B46" s="5">
        <v>42</v>
      </c>
      <c r="C46" s="4" t="str">
        <f>_xlfn.SINGLE(VLOOKUP(B46,DisplayOrder!A:B,2,FALSE))</f>
        <v>Reserved-42</v>
      </c>
      <c r="D46" s="5" t="str">
        <f>_xlfn.SINGLE(VLOOKUP(B46,DisplayOrder!A:C,3,FALSE))</f>
        <v>each</v>
      </c>
      <c r="E46" s="2" t="s">
        <v>4382</v>
      </c>
      <c r="F46" s="153">
        <v>0</v>
      </c>
      <c r="G46" s="153">
        <v>0</v>
      </c>
      <c r="H46" s="153">
        <v>0</v>
      </c>
      <c r="I46" s="153">
        <v>0</v>
      </c>
      <c r="J46" s="153">
        <v>0</v>
      </c>
      <c r="K46" s="153">
        <v>0</v>
      </c>
      <c r="L46" s="153">
        <v>0</v>
      </c>
      <c r="M46" s="153">
        <v>0</v>
      </c>
      <c r="N46" s="153">
        <v>0</v>
      </c>
      <c r="O46" s="153">
        <v>0</v>
      </c>
      <c r="Q46" s="151">
        <v>42</v>
      </c>
      <c r="R46" s="5">
        <v>42</v>
      </c>
      <c r="S46" s="4" t="s">
        <v>116</v>
      </c>
      <c r="T46" s="5" t="s">
        <v>67</v>
      </c>
      <c r="U46" s="2" t="s">
        <v>4382</v>
      </c>
      <c r="V46" s="153">
        <v>0</v>
      </c>
      <c r="W46" s="153">
        <v>0</v>
      </c>
      <c r="X46" s="153">
        <v>0</v>
      </c>
      <c r="Y46" s="153">
        <v>0</v>
      </c>
      <c r="Z46" s="153">
        <v>0</v>
      </c>
      <c r="AA46" s="153">
        <v>0</v>
      </c>
      <c r="AB46" s="153">
        <v>0</v>
      </c>
      <c r="AC46" s="153">
        <v>0</v>
      </c>
      <c r="AD46" s="153">
        <v>0</v>
      </c>
      <c r="AE46" s="153">
        <v>0</v>
      </c>
      <c r="AG46" s="4" t="s">
        <v>116</v>
      </c>
      <c r="AH46" s="5" t="s">
        <v>67</v>
      </c>
      <c r="AI46" s="2" t="s">
        <v>4382</v>
      </c>
      <c r="AJ46" s="158">
        <f>SUM(DATA_Depts[[#This Row],[SFD]])-SUM(V46)</f>
        <v>0</v>
      </c>
      <c r="AK46" s="158">
        <f>SUM(DATA_Depts[[#This Row],[SPD]])-SUM(W46)</f>
        <v>0</v>
      </c>
      <c r="AL46" s="158">
        <f>SUM(DATA_Depts[[#This Row],[Parks]])-SUM(X46)</f>
        <v>0</v>
      </c>
      <c r="AM46" s="158">
        <f>SUM(DATA_Depts[[#This Row],[SPU]])-SUM(Y46)</f>
        <v>0</v>
      </c>
      <c r="AN46" s="158">
        <f>SUM(DATA_Depts[[#This Row],[SDOT]])-SUM(Z46)</f>
        <v>0</v>
      </c>
      <c r="AO46" s="158">
        <f>SUM(DATA_Depts[[#This Row],[SDCI]])-SUM(AA46)</f>
        <v>0</v>
      </c>
      <c r="AP46" s="158">
        <f>SUM(DATA_Depts[[#This Row],[Libraries]])-SUM(AB46)</f>
        <v>0</v>
      </c>
      <c r="AQ46" s="158">
        <f>SUM(DATA_Depts[[#This Row],[SeaIT]])-SUM(AC46)</f>
        <v>0</v>
      </c>
      <c r="AR46" s="158">
        <f>SUM(DATA_Depts[[#This Row],[Seattle Ctr]])-SUM(AD46)</f>
        <v>0</v>
      </c>
      <c r="AS46" s="158">
        <f>SUM(DATA_Depts[[#This Row],[SCL]])-SUM(AE46)</f>
        <v>0</v>
      </c>
    </row>
    <row r="47" spans="1:45">
      <c r="A47" s="151">
        <v>43</v>
      </c>
      <c r="B47" s="5">
        <v>43</v>
      </c>
      <c r="C47" s="4" t="str">
        <f>_xlfn.SINGLE(VLOOKUP(B47,DisplayOrder!A:B,2,FALSE))</f>
        <v>Reserved-43</v>
      </c>
      <c r="D47" s="5" t="str">
        <f>_xlfn.SINGLE(VLOOKUP(B47,DisplayOrder!A:C,3,FALSE))</f>
        <v>each</v>
      </c>
      <c r="E47" s="2" t="s">
        <v>4382</v>
      </c>
      <c r="F47" s="153">
        <v>0</v>
      </c>
      <c r="G47" s="153">
        <v>0</v>
      </c>
      <c r="H47" s="153">
        <v>0</v>
      </c>
      <c r="I47" s="153">
        <v>0</v>
      </c>
      <c r="J47" s="153">
        <v>0</v>
      </c>
      <c r="K47" s="153">
        <v>0</v>
      </c>
      <c r="L47" s="153">
        <v>0</v>
      </c>
      <c r="M47" s="153">
        <v>0</v>
      </c>
      <c r="N47" s="153">
        <v>0</v>
      </c>
      <c r="O47" s="153">
        <v>0</v>
      </c>
      <c r="Q47" s="151">
        <v>43</v>
      </c>
      <c r="R47" s="5">
        <v>43</v>
      </c>
      <c r="S47" s="4" t="s">
        <v>117</v>
      </c>
      <c r="T47" s="5" t="s">
        <v>67</v>
      </c>
      <c r="U47" s="2" t="s">
        <v>4382</v>
      </c>
      <c r="V47" s="153">
        <v>0</v>
      </c>
      <c r="W47" s="153">
        <v>0</v>
      </c>
      <c r="X47" s="153">
        <v>0</v>
      </c>
      <c r="Y47" s="153">
        <v>0</v>
      </c>
      <c r="Z47" s="153">
        <v>0</v>
      </c>
      <c r="AA47" s="153">
        <v>0</v>
      </c>
      <c r="AB47" s="153">
        <v>0</v>
      </c>
      <c r="AC47" s="153">
        <v>0</v>
      </c>
      <c r="AD47" s="153">
        <v>0</v>
      </c>
      <c r="AE47" s="153">
        <v>0</v>
      </c>
      <c r="AG47" s="4" t="s">
        <v>117</v>
      </c>
      <c r="AH47" s="5" t="s">
        <v>67</v>
      </c>
      <c r="AI47" s="2" t="s">
        <v>4382</v>
      </c>
      <c r="AJ47" s="158">
        <f>SUM(DATA_Depts[[#This Row],[SFD]])-SUM(V47)</f>
        <v>0</v>
      </c>
      <c r="AK47" s="158">
        <f>SUM(DATA_Depts[[#This Row],[SPD]])-SUM(W47)</f>
        <v>0</v>
      </c>
      <c r="AL47" s="158">
        <f>SUM(DATA_Depts[[#This Row],[Parks]])-SUM(X47)</f>
        <v>0</v>
      </c>
      <c r="AM47" s="158">
        <f>SUM(DATA_Depts[[#This Row],[SPU]])-SUM(Y47)</f>
        <v>0</v>
      </c>
      <c r="AN47" s="158">
        <f>SUM(DATA_Depts[[#This Row],[SDOT]])-SUM(Z47)</f>
        <v>0</v>
      </c>
      <c r="AO47" s="158">
        <f>SUM(DATA_Depts[[#This Row],[SDCI]])-SUM(AA47)</f>
        <v>0</v>
      </c>
      <c r="AP47" s="158">
        <f>SUM(DATA_Depts[[#This Row],[Libraries]])-SUM(AB47)</f>
        <v>0</v>
      </c>
      <c r="AQ47" s="158">
        <f>SUM(DATA_Depts[[#This Row],[SeaIT]])-SUM(AC47)</f>
        <v>0</v>
      </c>
      <c r="AR47" s="158">
        <f>SUM(DATA_Depts[[#This Row],[Seattle Ctr]])-SUM(AD47)</f>
        <v>0</v>
      </c>
      <c r="AS47" s="158">
        <f>SUM(DATA_Depts[[#This Row],[SCL]])-SUM(AE47)</f>
        <v>0</v>
      </c>
    </row>
    <row r="48" spans="1:45">
      <c r="A48" s="151">
        <v>44</v>
      </c>
      <c r="B48" s="5">
        <v>44</v>
      </c>
      <c r="C48" s="4" t="str">
        <f>_xlfn.SINGLE(VLOOKUP(B48,DisplayOrder!A:B,2,FALSE))</f>
        <v>Reserved-44</v>
      </c>
      <c r="D48" s="5" t="str">
        <f>_xlfn.SINGLE(VLOOKUP(B48,DisplayOrder!A:C,3,FALSE))</f>
        <v>each</v>
      </c>
      <c r="E48" s="2" t="s">
        <v>4382</v>
      </c>
      <c r="F48" s="153">
        <v>0</v>
      </c>
      <c r="G48" s="153">
        <v>0</v>
      </c>
      <c r="H48" s="153">
        <v>0</v>
      </c>
      <c r="I48" s="153">
        <v>0</v>
      </c>
      <c r="J48" s="153">
        <v>0</v>
      </c>
      <c r="K48" s="153">
        <v>0</v>
      </c>
      <c r="L48" s="153">
        <v>0</v>
      </c>
      <c r="M48" s="153">
        <v>0</v>
      </c>
      <c r="N48" s="153">
        <v>0</v>
      </c>
      <c r="O48" s="153">
        <v>0</v>
      </c>
      <c r="Q48" s="151">
        <v>44</v>
      </c>
      <c r="R48" s="5">
        <v>44</v>
      </c>
      <c r="S48" s="4" t="s">
        <v>118</v>
      </c>
      <c r="T48" s="5" t="s">
        <v>67</v>
      </c>
      <c r="U48" s="2" t="s">
        <v>4382</v>
      </c>
      <c r="V48" s="153">
        <v>0</v>
      </c>
      <c r="W48" s="153">
        <v>0</v>
      </c>
      <c r="X48" s="153">
        <v>0</v>
      </c>
      <c r="Y48" s="153">
        <v>0</v>
      </c>
      <c r="Z48" s="153">
        <v>0</v>
      </c>
      <c r="AA48" s="153">
        <v>0</v>
      </c>
      <c r="AB48" s="153">
        <v>0</v>
      </c>
      <c r="AC48" s="153">
        <v>0</v>
      </c>
      <c r="AD48" s="153">
        <v>0</v>
      </c>
      <c r="AE48" s="153">
        <v>0</v>
      </c>
      <c r="AG48" s="4" t="s">
        <v>118</v>
      </c>
      <c r="AH48" s="5" t="s">
        <v>67</v>
      </c>
      <c r="AI48" s="2" t="s">
        <v>4382</v>
      </c>
      <c r="AJ48" s="158">
        <f>SUM(DATA_Depts[[#This Row],[SFD]])-SUM(V48)</f>
        <v>0</v>
      </c>
      <c r="AK48" s="158">
        <f>SUM(DATA_Depts[[#This Row],[SPD]])-SUM(W48)</f>
        <v>0</v>
      </c>
      <c r="AL48" s="158">
        <f>SUM(DATA_Depts[[#This Row],[Parks]])-SUM(X48)</f>
        <v>0</v>
      </c>
      <c r="AM48" s="158">
        <f>SUM(DATA_Depts[[#This Row],[SPU]])-SUM(Y48)</f>
        <v>0</v>
      </c>
      <c r="AN48" s="158">
        <f>SUM(DATA_Depts[[#This Row],[SDOT]])-SUM(Z48)</f>
        <v>0</v>
      </c>
      <c r="AO48" s="158">
        <f>SUM(DATA_Depts[[#This Row],[SDCI]])-SUM(AA48)</f>
        <v>0</v>
      </c>
      <c r="AP48" s="158">
        <f>SUM(DATA_Depts[[#This Row],[Libraries]])-SUM(AB48)</f>
        <v>0</v>
      </c>
      <c r="AQ48" s="158">
        <f>SUM(DATA_Depts[[#This Row],[SeaIT]])-SUM(AC48)</f>
        <v>0</v>
      </c>
      <c r="AR48" s="158">
        <f>SUM(DATA_Depts[[#This Row],[Seattle Ctr]])-SUM(AD48)</f>
        <v>0</v>
      </c>
      <c r="AS48" s="158">
        <f>SUM(DATA_Depts[[#This Row],[SCL]])-SUM(AE48)</f>
        <v>0</v>
      </c>
    </row>
    <row r="49" spans="1:45">
      <c r="A49" s="151">
        <v>45</v>
      </c>
      <c r="B49" s="5">
        <v>45</v>
      </c>
      <c r="C49" s="4" t="str">
        <f>_xlfn.SINGLE(VLOOKUP(B49,DisplayOrder!A:B,2,FALSE))</f>
        <v>Reserved-45</v>
      </c>
      <c r="D49" s="5" t="str">
        <f>_xlfn.SINGLE(VLOOKUP(B49,DisplayOrder!A:C,3,FALSE))</f>
        <v>each</v>
      </c>
      <c r="E49" s="2" t="s">
        <v>4382</v>
      </c>
      <c r="F49" s="153">
        <v>0</v>
      </c>
      <c r="G49" s="153">
        <v>0</v>
      </c>
      <c r="H49" s="153">
        <v>0</v>
      </c>
      <c r="I49" s="153">
        <v>0</v>
      </c>
      <c r="J49" s="153">
        <v>0</v>
      </c>
      <c r="K49" s="153">
        <v>0</v>
      </c>
      <c r="L49" s="153">
        <v>0</v>
      </c>
      <c r="M49" s="153">
        <v>0</v>
      </c>
      <c r="N49" s="153">
        <v>0</v>
      </c>
      <c r="O49" s="153">
        <v>0</v>
      </c>
      <c r="Q49" s="151">
        <v>45</v>
      </c>
      <c r="R49" s="5">
        <v>45</v>
      </c>
      <c r="S49" s="4" t="s">
        <v>119</v>
      </c>
      <c r="T49" s="5" t="s">
        <v>67</v>
      </c>
      <c r="U49" s="2" t="s">
        <v>4382</v>
      </c>
      <c r="V49" s="153">
        <v>0</v>
      </c>
      <c r="W49" s="153">
        <v>0</v>
      </c>
      <c r="X49" s="153">
        <v>0</v>
      </c>
      <c r="Y49" s="153">
        <v>0</v>
      </c>
      <c r="Z49" s="153">
        <v>0</v>
      </c>
      <c r="AA49" s="153">
        <v>0</v>
      </c>
      <c r="AB49" s="153">
        <v>0</v>
      </c>
      <c r="AC49" s="153">
        <v>0</v>
      </c>
      <c r="AD49" s="153">
        <v>0</v>
      </c>
      <c r="AE49" s="153">
        <v>0</v>
      </c>
      <c r="AG49" s="4" t="s">
        <v>119</v>
      </c>
      <c r="AH49" s="5" t="s">
        <v>67</v>
      </c>
      <c r="AI49" s="2" t="s">
        <v>4382</v>
      </c>
      <c r="AJ49" s="158">
        <f>SUM(DATA_Depts[[#This Row],[SFD]])-SUM(V49)</f>
        <v>0</v>
      </c>
      <c r="AK49" s="158">
        <f>SUM(DATA_Depts[[#This Row],[SPD]])-SUM(W49)</f>
        <v>0</v>
      </c>
      <c r="AL49" s="158">
        <f>SUM(DATA_Depts[[#This Row],[Parks]])-SUM(X49)</f>
        <v>0</v>
      </c>
      <c r="AM49" s="158">
        <f>SUM(DATA_Depts[[#This Row],[SPU]])-SUM(Y49)</f>
        <v>0</v>
      </c>
      <c r="AN49" s="158">
        <f>SUM(DATA_Depts[[#This Row],[SDOT]])-SUM(Z49)</f>
        <v>0</v>
      </c>
      <c r="AO49" s="158">
        <f>SUM(DATA_Depts[[#This Row],[SDCI]])-SUM(AA49)</f>
        <v>0</v>
      </c>
      <c r="AP49" s="158">
        <f>SUM(DATA_Depts[[#This Row],[Libraries]])-SUM(AB49)</f>
        <v>0</v>
      </c>
      <c r="AQ49" s="158">
        <f>SUM(DATA_Depts[[#This Row],[SeaIT]])-SUM(AC49)</f>
        <v>0</v>
      </c>
      <c r="AR49" s="158">
        <f>SUM(DATA_Depts[[#This Row],[Seattle Ctr]])-SUM(AD49)</f>
        <v>0</v>
      </c>
      <c r="AS49" s="158">
        <f>SUM(DATA_Depts[[#This Row],[SCL]])-SUM(AE49)</f>
        <v>0</v>
      </c>
    </row>
    <row r="50" spans="1:45">
      <c r="A50" s="151">
        <v>46</v>
      </c>
      <c r="B50" s="5">
        <v>46</v>
      </c>
      <c r="C50" s="4" t="str">
        <f>_xlfn.SINGLE(VLOOKUP(B50,DisplayOrder!A:B,2,FALSE))</f>
        <v>Reserved-46</v>
      </c>
      <c r="D50" s="5" t="str">
        <f>_xlfn.SINGLE(VLOOKUP(B50,DisplayOrder!A:C,3,FALSE))</f>
        <v>each</v>
      </c>
      <c r="E50" s="2" t="s">
        <v>4382</v>
      </c>
      <c r="F50" s="153">
        <v>0</v>
      </c>
      <c r="G50" s="153">
        <v>0</v>
      </c>
      <c r="H50" s="153">
        <v>0</v>
      </c>
      <c r="I50" s="153">
        <v>0</v>
      </c>
      <c r="J50" s="153">
        <v>0</v>
      </c>
      <c r="K50" s="153">
        <v>0</v>
      </c>
      <c r="L50" s="153">
        <v>0</v>
      </c>
      <c r="M50" s="153">
        <v>0</v>
      </c>
      <c r="N50" s="153">
        <v>0</v>
      </c>
      <c r="O50" s="153">
        <v>0</v>
      </c>
      <c r="Q50" s="151">
        <v>46</v>
      </c>
      <c r="R50" s="5">
        <v>46</v>
      </c>
      <c r="S50" s="4" t="s">
        <v>120</v>
      </c>
      <c r="T50" s="5" t="s">
        <v>67</v>
      </c>
      <c r="U50" s="2" t="s">
        <v>4382</v>
      </c>
      <c r="V50" s="153">
        <v>0</v>
      </c>
      <c r="W50" s="153">
        <v>0</v>
      </c>
      <c r="X50" s="153">
        <v>0</v>
      </c>
      <c r="Y50" s="153">
        <v>0</v>
      </c>
      <c r="Z50" s="153">
        <v>0</v>
      </c>
      <c r="AA50" s="153">
        <v>0</v>
      </c>
      <c r="AB50" s="153">
        <v>0</v>
      </c>
      <c r="AC50" s="153">
        <v>0</v>
      </c>
      <c r="AD50" s="153">
        <v>0</v>
      </c>
      <c r="AE50" s="153">
        <v>0</v>
      </c>
      <c r="AG50" s="4" t="s">
        <v>120</v>
      </c>
      <c r="AH50" s="5" t="s">
        <v>67</v>
      </c>
      <c r="AI50" s="2" t="s">
        <v>4382</v>
      </c>
      <c r="AJ50" s="158">
        <f>SUM(DATA_Depts[[#This Row],[SFD]])-SUM(V50)</f>
        <v>0</v>
      </c>
      <c r="AK50" s="158">
        <f>SUM(DATA_Depts[[#This Row],[SPD]])-SUM(W50)</f>
        <v>0</v>
      </c>
      <c r="AL50" s="158">
        <f>SUM(DATA_Depts[[#This Row],[Parks]])-SUM(X50)</f>
        <v>0</v>
      </c>
      <c r="AM50" s="158">
        <f>SUM(DATA_Depts[[#This Row],[SPU]])-SUM(Y50)</f>
        <v>0</v>
      </c>
      <c r="AN50" s="158">
        <f>SUM(DATA_Depts[[#This Row],[SDOT]])-SUM(Z50)</f>
        <v>0</v>
      </c>
      <c r="AO50" s="158">
        <f>SUM(DATA_Depts[[#This Row],[SDCI]])-SUM(AA50)</f>
        <v>0</v>
      </c>
      <c r="AP50" s="158">
        <f>SUM(DATA_Depts[[#This Row],[Libraries]])-SUM(AB50)</f>
        <v>0</v>
      </c>
      <c r="AQ50" s="158">
        <f>SUM(DATA_Depts[[#This Row],[SeaIT]])-SUM(AC50)</f>
        <v>0</v>
      </c>
      <c r="AR50" s="158">
        <f>SUM(DATA_Depts[[#This Row],[Seattle Ctr]])-SUM(AD50)</f>
        <v>0</v>
      </c>
      <c r="AS50" s="158">
        <f>SUM(DATA_Depts[[#This Row],[SCL]])-SUM(AE50)</f>
        <v>0</v>
      </c>
    </row>
    <row r="51" spans="1:45">
      <c r="A51" s="151">
        <v>47</v>
      </c>
      <c r="B51" s="5">
        <v>47</v>
      </c>
      <c r="C51" s="4" t="str">
        <f>_xlfn.SINGLE(VLOOKUP(B51,DisplayOrder!A:B,2,FALSE))</f>
        <v>Reserved-47</v>
      </c>
      <c r="D51" s="5" t="str">
        <f>_xlfn.SINGLE(VLOOKUP(B51,DisplayOrder!A:C,3,FALSE))</f>
        <v>each</v>
      </c>
      <c r="E51" s="2" t="s">
        <v>4382</v>
      </c>
      <c r="F51" s="153">
        <v>0</v>
      </c>
      <c r="G51" s="153">
        <v>0</v>
      </c>
      <c r="H51" s="153">
        <v>0</v>
      </c>
      <c r="I51" s="153">
        <v>0</v>
      </c>
      <c r="J51" s="153">
        <v>0</v>
      </c>
      <c r="K51" s="153">
        <v>0</v>
      </c>
      <c r="L51" s="153">
        <v>0</v>
      </c>
      <c r="M51" s="153">
        <v>0</v>
      </c>
      <c r="N51" s="153">
        <v>0</v>
      </c>
      <c r="O51" s="153">
        <v>0</v>
      </c>
      <c r="Q51" s="151">
        <v>47</v>
      </c>
      <c r="R51" s="5">
        <v>47</v>
      </c>
      <c r="S51" s="4" t="s">
        <v>121</v>
      </c>
      <c r="T51" s="5" t="s">
        <v>67</v>
      </c>
      <c r="U51" s="2" t="s">
        <v>4382</v>
      </c>
      <c r="V51" s="153">
        <v>0</v>
      </c>
      <c r="W51" s="153">
        <v>0</v>
      </c>
      <c r="X51" s="153">
        <v>0</v>
      </c>
      <c r="Y51" s="153">
        <v>0</v>
      </c>
      <c r="Z51" s="153">
        <v>0</v>
      </c>
      <c r="AA51" s="153">
        <v>0</v>
      </c>
      <c r="AB51" s="153">
        <v>0</v>
      </c>
      <c r="AC51" s="153">
        <v>0</v>
      </c>
      <c r="AD51" s="153">
        <v>0</v>
      </c>
      <c r="AE51" s="153">
        <v>0</v>
      </c>
      <c r="AG51" s="4" t="s">
        <v>121</v>
      </c>
      <c r="AH51" s="5" t="s">
        <v>67</v>
      </c>
      <c r="AI51" s="2" t="s">
        <v>4382</v>
      </c>
      <c r="AJ51" s="158">
        <f>SUM(DATA_Depts[[#This Row],[SFD]])-SUM(V51)</f>
        <v>0</v>
      </c>
      <c r="AK51" s="158">
        <f>SUM(DATA_Depts[[#This Row],[SPD]])-SUM(W51)</f>
        <v>0</v>
      </c>
      <c r="AL51" s="158">
        <f>SUM(DATA_Depts[[#This Row],[Parks]])-SUM(X51)</f>
        <v>0</v>
      </c>
      <c r="AM51" s="158">
        <f>SUM(DATA_Depts[[#This Row],[SPU]])-SUM(Y51)</f>
        <v>0</v>
      </c>
      <c r="AN51" s="158">
        <f>SUM(DATA_Depts[[#This Row],[SDOT]])-SUM(Z51)</f>
        <v>0</v>
      </c>
      <c r="AO51" s="158">
        <f>SUM(DATA_Depts[[#This Row],[SDCI]])-SUM(AA51)</f>
        <v>0</v>
      </c>
      <c r="AP51" s="158">
        <f>SUM(DATA_Depts[[#This Row],[Libraries]])-SUM(AB51)</f>
        <v>0</v>
      </c>
      <c r="AQ51" s="158">
        <f>SUM(DATA_Depts[[#This Row],[SeaIT]])-SUM(AC51)</f>
        <v>0</v>
      </c>
      <c r="AR51" s="158">
        <f>SUM(DATA_Depts[[#This Row],[Seattle Ctr]])-SUM(AD51)</f>
        <v>0</v>
      </c>
      <c r="AS51" s="158">
        <f>SUM(DATA_Depts[[#This Row],[SCL]])-SUM(AE51)</f>
        <v>0</v>
      </c>
    </row>
    <row r="52" spans="1:45">
      <c r="A52" s="151">
        <v>48</v>
      </c>
      <c r="B52" s="5">
        <v>48</v>
      </c>
      <c r="C52" s="4" t="str">
        <f>_xlfn.SINGLE(VLOOKUP(B52,DisplayOrder!A:B,2,FALSE))</f>
        <v>Reserved-48</v>
      </c>
      <c r="D52" s="5" t="str">
        <f>_xlfn.SINGLE(VLOOKUP(B52,DisplayOrder!A:C,3,FALSE))</f>
        <v>each</v>
      </c>
      <c r="E52" s="2" t="s">
        <v>4382</v>
      </c>
      <c r="F52" s="153">
        <v>0</v>
      </c>
      <c r="G52" s="153">
        <v>0</v>
      </c>
      <c r="H52" s="153">
        <v>0</v>
      </c>
      <c r="I52" s="153">
        <v>0</v>
      </c>
      <c r="J52" s="153">
        <v>0</v>
      </c>
      <c r="K52" s="153">
        <v>0</v>
      </c>
      <c r="L52" s="153">
        <v>0</v>
      </c>
      <c r="M52" s="153">
        <v>0</v>
      </c>
      <c r="N52" s="153">
        <v>0</v>
      </c>
      <c r="O52" s="153">
        <v>0</v>
      </c>
      <c r="Q52" s="151">
        <v>48</v>
      </c>
      <c r="R52" s="5">
        <v>48</v>
      </c>
      <c r="S52" s="4" t="s">
        <v>122</v>
      </c>
      <c r="T52" s="5" t="s">
        <v>67</v>
      </c>
      <c r="U52" s="2" t="s">
        <v>4382</v>
      </c>
      <c r="V52" s="153">
        <v>0</v>
      </c>
      <c r="W52" s="153">
        <v>0</v>
      </c>
      <c r="X52" s="153">
        <v>0</v>
      </c>
      <c r="Y52" s="153">
        <v>0</v>
      </c>
      <c r="Z52" s="153">
        <v>0</v>
      </c>
      <c r="AA52" s="153">
        <v>0</v>
      </c>
      <c r="AB52" s="153">
        <v>0</v>
      </c>
      <c r="AC52" s="153">
        <v>0</v>
      </c>
      <c r="AD52" s="153">
        <v>0</v>
      </c>
      <c r="AE52" s="153">
        <v>0</v>
      </c>
      <c r="AG52" s="4" t="s">
        <v>122</v>
      </c>
      <c r="AH52" s="5" t="s">
        <v>67</v>
      </c>
      <c r="AI52" s="2" t="s">
        <v>4382</v>
      </c>
      <c r="AJ52" s="158">
        <f>SUM(DATA_Depts[[#This Row],[SFD]])-SUM(V52)</f>
        <v>0</v>
      </c>
      <c r="AK52" s="158">
        <f>SUM(DATA_Depts[[#This Row],[SPD]])-SUM(W52)</f>
        <v>0</v>
      </c>
      <c r="AL52" s="158">
        <f>SUM(DATA_Depts[[#This Row],[Parks]])-SUM(X52)</f>
        <v>0</v>
      </c>
      <c r="AM52" s="158">
        <f>SUM(DATA_Depts[[#This Row],[SPU]])-SUM(Y52)</f>
        <v>0</v>
      </c>
      <c r="AN52" s="158">
        <f>SUM(DATA_Depts[[#This Row],[SDOT]])-SUM(Z52)</f>
        <v>0</v>
      </c>
      <c r="AO52" s="158">
        <f>SUM(DATA_Depts[[#This Row],[SDCI]])-SUM(AA52)</f>
        <v>0</v>
      </c>
      <c r="AP52" s="158">
        <f>SUM(DATA_Depts[[#This Row],[Libraries]])-SUM(AB52)</f>
        <v>0</v>
      </c>
      <c r="AQ52" s="158">
        <f>SUM(DATA_Depts[[#This Row],[SeaIT]])-SUM(AC52)</f>
        <v>0</v>
      </c>
      <c r="AR52" s="158">
        <f>SUM(DATA_Depts[[#This Row],[Seattle Ctr]])-SUM(AD52)</f>
        <v>0</v>
      </c>
      <c r="AS52" s="158">
        <f>SUM(DATA_Depts[[#This Row],[SCL]])-SUM(AE52)</f>
        <v>0</v>
      </c>
    </row>
    <row r="53" spans="1:45">
      <c r="A53" s="151">
        <v>49</v>
      </c>
      <c r="B53" s="5">
        <v>49</v>
      </c>
      <c r="C53" s="4" t="str">
        <f>_xlfn.SINGLE(VLOOKUP(B53,DisplayOrder!A:B,2,FALSE))</f>
        <v>Reserved-49</v>
      </c>
      <c r="D53" s="5" t="str">
        <f>_xlfn.SINGLE(VLOOKUP(B53,DisplayOrder!A:C,3,FALSE))</f>
        <v>each</v>
      </c>
      <c r="E53" s="2" t="s">
        <v>4382</v>
      </c>
      <c r="F53" s="153">
        <v>0</v>
      </c>
      <c r="G53" s="153">
        <v>0</v>
      </c>
      <c r="H53" s="153">
        <v>0</v>
      </c>
      <c r="I53" s="153">
        <v>0</v>
      </c>
      <c r="J53" s="153">
        <v>0</v>
      </c>
      <c r="K53" s="153">
        <v>0</v>
      </c>
      <c r="L53" s="153">
        <v>0</v>
      </c>
      <c r="M53" s="153">
        <v>0</v>
      </c>
      <c r="N53" s="153">
        <v>0</v>
      </c>
      <c r="O53" s="153">
        <v>0</v>
      </c>
      <c r="Q53" s="151">
        <v>49</v>
      </c>
      <c r="R53" s="5">
        <v>49</v>
      </c>
      <c r="S53" s="4" t="s">
        <v>123</v>
      </c>
      <c r="T53" s="5" t="s">
        <v>67</v>
      </c>
      <c r="U53" s="2" t="s">
        <v>4382</v>
      </c>
      <c r="V53" s="153">
        <v>0</v>
      </c>
      <c r="W53" s="153">
        <v>0</v>
      </c>
      <c r="X53" s="153">
        <v>0</v>
      </c>
      <c r="Y53" s="153">
        <v>0</v>
      </c>
      <c r="Z53" s="153">
        <v>0</v>
      </c>
      <c r="AA53" s="153">
        <v>0</v>
      </c>
      <c r="AB53" s="153">
        <v>0</v>
      </c>
      <c r="AC53" s="153">
        <v>0</v>
      </c>
      <c r="AD53" s="153">
        <v>0</v>
      </c>
      <c r="AE53" s="153">
        <v>0</v>
      </c>
      <c r="AG53" s="4" t="s">
        <v>123</v>
      </c>
      <c r="AH53" s="5" t="s">
        <v>67</v>
      </c>
      <c r="AI53" s="2" t="s">
        <v>4382</v>
      </c>
      <c r="AJ53" s="158">
        <f>SUM(DATA_Depts[[#This Row],[SFD]])-SUM(V53)</f>
        <v>0</v>
      </c>
      <c r="AK53" s="158">
        <f>SUM(DATA_Depts[[#This Row],[SPD]])-SUM(W53)</f>
        <v>0</v>
      </c>
      <c r="AL53" s="158">
        <f>SUM(DATA_Depts[[#This Row],[Parks]])-SUM(X53)</f>
        <v>0</v>
      </c>
      <c r="AM53" s="158">
        <f>SUM(DATA_Depts[[#This Row],[SPU]])-SUM(Y53)</f>
        <v>0</v>
      </c>
      <c r="AN53" s="158">
        <f>SUM(DATA_Depts[[#This Row],[SDOT]])-SUM(Z53)</f>
        <v>0</v>
      </c>
      <c r="AO53" s="158">
        <f>SUM(DATA_Depts[[#This Row],[SDCI]])-SUM(AA53)</f>
        <v>0</v>
      </c>
      <c r="AP53" s="158">
        <f>SUM(DATA_Depts[[#This Row],[Libraries]])-SUM(AB53)</f>
        <v>0</v>
      </c>
      <c r="AQ53" s="158">
        <f>SUM(DATA_Depts[[#This Row],[SeaIT]])-SUM(AC53)</f>
        <v>0</v>
      </c>
      <c r="AR53" s="158">
        <f>SUM(DATA_Depts[[#This Row],[Seattle Ctr]])-SUM(AD53)</f>
        <v>0</v>
      </c>
      <c r="AS53" s="158">
        <f>SUM(DATA_Depts[[#This Row],[SCL]])-SUM(AE53)</f>
        <v>0</v>
      </c>
    </row>
    <row r="54" spans="1:45">
      <c r="A54" s="151">
        <v>50</v>
      </c>
      <c r="B54" s="5">
        <v>50</v>
      </c>
      <c r="C54" s="4" t="str">
        <f>_xlfn.SINGLE(VLOOKUP(B54,DisplayOrder!A:B,2,FALSE))</f>
        <v>Reserved-50</v>
      </c>
      <c r="D54" s="5" t="str">
        <f>_xlfn.SINGLE(VLOOKUP(B54,DisplayOrder!A:C,3,FALSE))</f>
        <v>each</v>
      </c>
      <c r="E54" s="2" t="s">
        <v>4382</v>
      </c>
      <c r="F54" s="153">
        <v>0</v>
      </c>
      <c r="G54" s="153">
        <v>0</v>
      </c>
      <c r="H54" s="153">
        <v>0</v>
      </c>
      <c r="I54" s="153">
        <v>0</v>
      </c>
      <c r="J54" s="153">
        <v>0</v>
      </c>
      <c r="K54" s="153">
        <v>0</v>
      </c>
      <c r="L54" s="153">
        <v>0</v>
      </c>
      <c r="M54" s="153">
        <v>0</v>
      </c>
      <c r="N54" s="153">
        <v>0</v>
      </c>
      <c r="O54" s="153">
        <v>0</v>
      </c>
      <c r="Q54" s="151">
        <v>50</v>
      </c>
      <c r="R54" s="5">
        <v>50</v>
      </c>
      <c r="S54" s="4" t="s">
        <v>124</v>
      </c>
      <c r="T54" s="5" t="s">
        <v>67</v>
      </c>
      <c r="U54" s="2" t="s">
        <v>4382</v>
      </c>
      <c r="V54" s="153">
        <v>0</v>
      </c>
      <c r="W54" s="153">
        <v>0</v>
      </c>
      <c r="X54" s="153">
        <v>0</v>
      </c>
      <c r="Y54" s="153">
        <v>0</v>
      </c>
      <c r="Z54" s="153">
        <v>0</v>
      </c>
      <c r="AA54" s="153">
        <v>0</v>
      </c>
      <c r="AB54" s="153">
        <v>0</v>
      </c>
      <c r="AC54" s="153">
        <v>0</v>
      </c>
      <c r="AD54" s="153">
        <v>0</v>
      </c>
      <c r="AE54" s="153">
        <v>0</v>
      </c>
      <c r="AG54" s="4" t="s">
        <v>124</v>
      </c>
      <c r="AH54" s="5" t="s">
        <v>67</v>
      </c>
      <c r="AI54" s="2" t="s">
        <v>4382</v>
      </c>
      <c r="AJ54" s="158">
        <f>SUM(DATA_Depts[[#This Row],[SFD]])-SUM(V54)</f>
        <v>0</v>
      </c>
      <c r="AK54" s="158">
        <f>SUM(DATA_Depts[[#This Row],[SPD]])-SUM(W54)</f>
        <v>0</v>
      </c>
      <c r="AL54" s="158">
        <f>SUM(DATA_Depts[[#This Row],[Parks]])-SUM(X54)</f>
        <v>0</v>
      </c>
      <c r="AM54" s="158">
        <f>SUM(DATA_Depts[[#This Row],[SPU]])-SUM(Y54)</f>
        <v>0</v>
      </c>
      <c r="AN54" s="158">
        <f>SUM(DATA_Depts[[#This Row],[SDOT]])-SUM(Z54)</f>
        <v>0</v>
      </c>
      <c r="AO54" s="158">
        <f>SUM(DATA_Depts[[#This Row],[SDCI]])-SUM(AA54)</f>
        <v>0</v>
      </c>
      <c r="AP54" s="158">
        <f>SUM(DATA_Depts[[#This Row],[Libraries]])-SUM(AB54)</f>
        <v>0</v>
      </c>
      <c r="AQ54" s="158">
        <f>SUM(DATA_Depts[[#This Row],[SeaIT]])-SUM(AC54)</f>
        <v>0</v>
      </c>
      <c r="AR54" s="158">
        <f>SUM(DATA_Depts[[#This Row],[Seattle Ctr]])-SUM(AD54)</f>
        <v>0</v>
      </c>
      <c r="AS54" s="158">
        <f>SUM(DATA_Depts[[#This Row],[SCL]])-SUM(AE54)</f>
        <v>0</v>
      </c>
    </row>
    <row r="55" spans="1:45">
      <c r="A55" s="151">
        <v>51</v>
      </c>
      <c r="B55" s="5">
        <v>51</v>
      </c>
      <c r="C55" s="4" t="str">
        <f>_xlfn.SINGLE(VLOOKUP(B55,DisplayOrder!A:B,2,FALSE))</f>
        <v>Reserved-51</v>
      </c>
      <c r="D55" s="5" t="str">
        <f>_xlfn.SINGLE(VLOOKUP(B55,DisplayOrder!A:C,3,FALSE))</f>
        <v>each</v>
      </c>
      <c r="E55" s="2" t="s">
        <v>4382</v>
      </c>
      <c r="F55" s="153">
        <v>0</v>
      </c>
      <c r="G55" s="153">
        <v>0</v>
      </c>
      <c r="H55" s="153">
        <v>0</v>
      </c>
      <c r="I55" s="153">
        <v>0</v>
      </c>
      <c r="J55" s="153">
        <v>0</v>
      </c>
      <c r="K55" s="153">
        <v>0</v>
      </c>
      <c r="L55" s="153">
        <v>0</v>
      </c>
      <c r="M55" s="153">
        <v>0</v>
      </c>
      <c r="N55" s="153">
        <v>0</v>
      </c>
      <c r="O55" s="153">
        <v>0</v>
      </c>
      <c r="Q55" s="151">
        <v>51</v>
      </c>
      <c r="R55" s="5">
        <v>51</v>
      </c>
      <c r="S55" s="4" t="s">
        <v>125</v>
      </c>
      <c r="T55" s="5" t="s">
        <v>67</v>
      </c>
      <c r="U55" s="2" t="s">
        <v>4382</v>
      </c>
      <c r="V55" s="153">
        <v>0</v>
      </c>
      <c r="W55" s="153">
        <v>0</v>
      </c>
      <c r="X55" s="153">
        <v>0</v>
      </c>
      <c r="Y55" s="153">
        <v>0</v>
      </c>
      <c r="Z55" s="153">
        <v>0</v>
      </c>
      <c r="AA55" s="153">
        <v>0</v>
      </c>
      <c r="AB55" s="153">
        <v>0</v>
      </c>
      <c r="AC55" s="153">
        <v>0</v>
      </c>
      <c r="AD55" s="153">
        <v>0</v>
      </c>
      <c r="AE55" s="153">
        <v>0</v>
      </c>
      <c r="AG55" s="4" t="s">
        <v>125</v>
      </c>
      <c r="AH55" s="5" t="s">
        <v>67</v>
      </c>
      <c r="AI55" s="2" t="s">
        <v>4382</v>
      </c>
      <c r="AJ55" s="158">
        <f>SUM(DATA_Depts[[#This Row],[SFD]])-SUM(V55)</f>
        <v>0</v>
      </c>
      <c r="AK55" s="158">
        <f>SUM(DATA_Depts[[#This Row],[SPD]])-SUM(W55)</f>
        <v>0</v>
      </c>
      <c r="AL55" s="158">
        <f>SUM(DATA_Depts[[#This Row],[Parks]])-SUM(X55)</f>
        <v>0</v>
      </c>
      <c r="AM55" s="158">
        <f>SUM(DATA_Depts[[#This Row],[SPU]])-SUM(Y55)</f>
        <v>0</v>
      </c>
      <c r="AN55" s="158">
        <f>SUM(DATA_Depts[[#This Row],[SDOT]])-SUM(Z55)</f>
        <v>0</v>
      </c>
      <c r="AO55" s="158">
        <f>SUM(DATA_Depts[[#This Row],[SDCI]])-SUM(AA55)</f>
        <v>0</v>
      </c>
      <c r="AP55" s="158">
        <f>SUM(DATA_Depts[[#This Row],[Libraries]])-SUM(AB55)</f>
        <v>0</v>
      </c>
      <c r="AQ55" s="158">
        <f>SUM(DATA_Depts[[#This Row],[SeaIT]])-SUM(AC55)</f>
        <v>0</v>
      </c>
      <c r="AR55" s="158">
        <f>SUM(DATA_Depts[[#This Row],[Seattle Ctr]])-SUM(AD55)</f>
        <v>0</v>
      </c>
      <c r="AS55" s="158">
        <f>SUM(DATA_Depts[[#This Row],[SCL]])-SUM(AE55)</f>
        <v>0</v>
      </c>
    </row>
    <row r="56" spans="1:45">
      <c r="A56" s="151">
        <v>52</v>
      </c>
      <c r="B56" s="5">
        <v>52</v>
      </c>
      <c r="C56" s="4" t="str">
        <f>_xlfn.SINGLE(VLOOKUP(B56,DisplayOrder!A:B,2,FALSE))</f>
        <v>Reserved-52</v>
      </c>
      <c r="D56" s="5" t="str">
        <f>_xlfn.SINGLE(VLOOKUP(B56,DisplayOrder!A:C,3,FALSE))</f>
        <v>each</v>
      </c>
      <c r="E56" s="2" t="s">
        <v>4382</v>
      </c>
      <c r="F56" s="153">
        <v>0</v>
      </c>
      <c r="G56" s="153">
        <v>0</v>
      </c>
      <c r="H56" s="153">
        <v>0</v>
      </c>
      <c r="I56" s="153">
        <v>0</v>
      </c>
      <c r="J56" s="153">
        <v>0</v>
      </c>
      <c r="K56" s="153">
        <v>0</v>
      </c>
      <c r="L56" s="153">
        <v>0</v>
      </c>
      <c r="M56" s="153">
        <v>0</v>
      </c>
      <c r="N56" s="153">
        <v>0</v>
      </c>
      <c r="O56" s="153">
        <v>0</v>
      </c>
      <c r="Q56" s="151">
        <v>52</v>
      </c>
      <c r="R56" s="5">
        <v>52</v>
      </c>
      <c r="S56" s="4" t="s">
        <v>126</v>
      </c>
      <c r="T56" s="5" t="s">
        <v>67</v>
      </c>
      <c r="U56" s="2" t="s">
        <v>4382</v>
      </c>
      <c r="V56" s="153">
        <v>0</v>
      </c>
      <c r="W56" s="153">
        <v>0</v>
      </c>
      <c r="X56" s="153">
        <v>0</v>
      </c>
      <c r="Y56" s="153">
        <v>0</v>
      </c>
      <c r="Z56" s="153">
        <v>0</v>
      </c>
      <c r="AA56" s="153">
        <v>0</v>
      </c>
      <c r="AB56" s="153">
        <v>0</v>
      </c>
      <c r="AC56" s="153">
        <v>0</v>
      </c>
      <c r="AD56" s="153">
        <v>0</v>
      </c>
      <c r="AE56" s="153">
        <v>0</v>
      </c>
      <c r="AG56" s="4" t="s">
        <v>126</v>
      </c>
      <c r="AH56" s="5" t="s">
        <v>67</v>
      </c>
      <c r="AI56" s="2" t="s">
        <v>4382</v>
      </c>
      <c r="AJ56" s="158">
        <f>SUM(DATA_Depts[[#This Row],[SFD]])-SUM(V56)</f>
        <v>0</v>
      </c>
      <c r="AK56" s="158">
        <f>SUM(DATA_Depts[[#This Row],[SPD]])-SUM(W56)</f>
        <v>0</v>
      </c>
      <c r="AL56" s="158">
        <f>SUM(DATA_Depts[[#This Row],[Parks]])-SUM(X56)</f>
        <v>0</v>
      </c>
      <c r="AM56" s="158">
        <f>SUM(DATA_Depts[[#This Row],[SPU]])-SUM(Y56)</f>
        <v>0</v>
      </c>
      <c r="AN56" s="158">
        <f>SUM(DATA_Depts[[#This Row],[SDOT]])-SUM(Z56)</f>
        <v>0</v>
      </c>
      <c r="AO56" s="158">
        <f>SUM(DATA_Depts[[#This Row],[SDCI]])-SUM(AA56)</f>
        <v>0</v>
      </c>
      <c r="AP56" s="158">
        <f>SUM(DATA_Depts[[#This Row],[Libraries]])-SUM(AB56)</f>
        <v>0</v>
      </c>
      <c r="AQ56" s="158">
        <f>SUM(DATA_Depts[[#This Row],[SeaIT]])-SUM(AC56)</f>
        <v>0</v>
      </c>
      <c r="AR56" s="158">
        <f>SUM(DATA_Depts[[#This Row],[Seattle Ctr]])-SUM(AD56)</f>
        <v>0</v>
      </c>
      <c r="AS56" s="158">
        <f>SUM(DATA_Depts[[#This Row],[SCL]])-SUM(AE56)</f>
        <v>0</v>
      </c>
    </row>
    <row r="57" spans="1:45">
      <c r="A57" s="151">
        <v>53</v>
      </c>
      <c r="B57" s="5">
        <v>53</v>
      </c>
      <c r="C57" s="4" t="str">
        <f>_xlfn.SINGLE(VLOOKUP(B57,DisplayOrder!A:B,2,FALSE))</f>
        <v>Reserved-53</v>
      </c>
      <c r="D57" s="5" t="str">
        <f>_xlfn.SINGLE(VLOOKUP(B57,DisplayOrder!A:C,3,FALSE))</f>
        <v>each</v>
      </c>
      <c r="E57" s="2" t="s">
        <v>4382</v>
      </c>
      <c r="F57" s="153">
        <v>0</v>
      </c>
      <c r="G57" s="153">
        <v>0</v>
      </c>
      <c r="H57" s="153">
        <v>0</v>
      </c>
      <c r="I57" s="153">
        <v>0</v>
      </c>
      <c r="J57" s="153">
        <v>0</v>
      </c>
      <c r="K57" s="153">
        <v>0</v>
      </c>
      <c r="L57" s="153">
        <v>0</v>
      </c>
      <c r="M57" s="153">
        <v>0</v>
      </c>
      <c r="N57" s="153">
        <v>0</v>
      </c>
      <c r="O57" s="153">
        <v>0</v>
      </c>
      <c r="Q57" s="151">
        <v>53</v>
      </c>
      <c r="R57" s="5">
        <v>53</v>
      </c>
      <c r="S57" s="4" t="s">
        <v>127</v>
      </c>
      <c r="T57" s="5" t="s">
        <v>67</v>
      </c>
      <c r="U57" s="2" t="s">
        <v>4382</v>
      </c>
      <c r="V57" s="153">
        <v>0</v>
      </c>
      <c r="W57" s="153">
        <v>0</v>
      </c>
      <c r="X57" s="153">
        <v>0</v>
      </c>
      <c r="Y57" s="153">
        <v>0</v>
      </c>
      <c r="Z57" s="153">
        <v>0</v>
      </c>
      <c r="AA57" s="153">
        <v>0</v>
      </c>
      <c r="AB57" s="153">
        <v>0</v>
      </c>
      <c r="AC57" s="153">
        <v>0</v>
      </c>
      <c r="AD57" s="153">
        <v>0</v>
      </c>
      <c r="AE57" s="153">
        <v>0</v>
      </c>
      <c r="AG57" s="4" t="s">
        <v>127</v>
      </c>
      <c r="AH57" s="5" t="s">
        <v>67</v>
      </c>
      <c r="AI57" s="2" t="s">
        <v>4382</v>
      </c>
      <c r="AJ57" s="158">
        <f>SUM(DATA_Depts[[#This Row],[SFD]])-SUM(V57)</f>
        <v>0</v>
      </c>
      <c r="AK57" s="158">
        <f>SUM(DATA_Depts[[#This Row],[SPD]])-SUM(W57)</f>
        <v>0</v>
      </c>
      <c r="AL57" s="158">
        <f>SUM(DATA_Depts[[#This Row],[Parks]])-SUM(X57)</f>
        <v>0</v>
      </c>
      <c r="AM57" s="158">
        <f>SUM(DATA_Depts[[#This Row],[SPU]])-SUM(Y57)</f>
        <v>0</v>
      </c>
      <c r="AN57" s="158">
        <f>SUM(DATA_Depts[[#This Row],[SDOT]])-SUM(Z57)</f>
        <v>0</v>
      </c>
      <c r="AO57" s="158">
        <f>SUM(DATA_Depts[[#This Row],[SDCI]])-SUM(AA57)</f>
        <v>0</v>
      </c>
      <c r="AP57" s="158">
        <f>SUM(DATA_Depts[[#This Row],[Libraries]])-SUM(AB57)</f>
        <v>0</v>
      </c>
      <c r="AQ57" s="158">
        <f>SUM(DATA_Depts[[#This Row],[SeaIT]])-SUM(AC57)</f>
        <v>0</v>
      </c>
      <c r="AR57" s="158">
        <f>SUM(DATA_Depts[[#This Row],[Seattle Ctr]])-SUM(AD57)</f>
        <v>0</v>
      </c>
      <c r="AS57" s="158">
        <f>SUM(DATA_Depts[[#This Row],[SCL]])-SUM(AE57)</f>
        <v>0</v>
      </c>
    </row>
    <row r="58" spans="1:45">
      <c r="A58" s="151">
        <v>54</v>
      </c>
      <c r="B58" s="5">
        <v>54</v>
      </c>
      <c r="C58" s="4" t="str">
        <f>_xlfn.SINGLE(VLOOKUP(B58,DisplayOrder!A:B,2,FALSE))</f>
        <v>Reserved-54</v>
      </c>
      <c r="D58" s="5" t="str">
        <f>_xlfn.SINGLE(VLOOKUP(B58,DisplayOrder!A:C,3,FALSE))</f>
        <v>each</v>
      </c>
      <c r="E58" s="2" t="s">
        <v>4382</v>
      </c>
      <c r="F58" s="153">
        <v>0</v>
      </c>
      <c r="G58" s="153">
        <v>0</v>
      </c>
      <c r="H58" s="153">
        <v>0</v>
      </c>
      <c r="I58" s="153">
        <v>0</v>
      </c>
      <c r="J58" s="153">
        <v>0</v>
      </c>
      <c r="K58" s="153">
        <v>0</v>
      </c>
      <c r="L58" s="153">
        <v>0</v>
      </c>
      <c r="M58" s="153">
        <v>0</v>
      </c>
      <c r="N58" s="153">
        <v>0</v>
      </c>
      <c r="O58" s="153">
        <v>0</v>
      </c>
      <c r="Q58" s="151">
        <v>54</v>
      </c>
      <c r="R58" s="5">
        <v>54</v>
      </c>
      <c r="S58" s="4" t="s">
        <v>128</v>
      </c>
      <c r="T58" s="5" t="s">
        <v>67</v>
      </c>
      <c r="U58" s="2" t="s">
        <v>4382</v>
      </c>
      <c r="V58" s="153">
        <v>0</v>
      </c>
      <c r="W58" s="153">
        <v>0</v>
      </c>
      <c r="X58" s="153">
        <v>0</v>
      </c>
      <c r="Y58" s="153">
        <v>0</v>
      </c>
      <c r="Z58" s="153">
        <v>0</v>
      </c>
      <c r="AA58" s="153">
        <v>0</v>
      </c>
      <c r="AB58" s="153">
        <v>0</v>
      </c>
      <c r="AC58" s="153">
        <v>0</v>
      </c>
      <c r="AD58" s="153">
        <v>0</v>
      </c>
      <c r="AE58" s="153">
        <v>0</v>
      </c>
      <c r="AG58" s="4" t="s">
        <v>128</v>
      </c>
      <c r="AH58" s="5" t="s">
        <v>67</v>
      </c>
      <c r="AI58" s="2" t="s">
        <v>4382</v>
      </c>
      <c r="AJ58" s="158">
        <f>SUM(DATA_Depts[[#This Row],[SFD]])-SUM(V58)</f>
        <v>0</v>
      </c>
      <c r="AK58" s="158">
        <f>SUM(DATA_Depts[[#This Row],[SPD]])-SUM(W58)</f>
        <v>0</v>
      </c>
      <c r="AL58" s="158">
        <f>SUM(DATA_Depts[[#This Row],[Parks]])-SUM(X58)</f>
        <v>0</v>
      </c>
      <c r="AM58" s="158">
        <f>SUM(DATA_Depts[[#This Row],[SPU]])-SUM(Y58)</f>
        <v>0</v>
      </c>
      <c r="AN58" s="158">
        <f>SUM(DATA_Depts[[#This Row],[SDOT]])-SUM(Z58)</f>
        <v>0</v>
      </c>
      <c r="AO58" s="158">
        <f>SUM(DATA_Depts[[#This Row],[SDCI]])-SUM(AA58)</f>
        <v>0</v>
      </c>
      <c r="AP58" s="158">
        <f>SUM(DATA_Depts[[#This Row],[Libraries]])-SUM(AB58)</f>
        <v>0</v>
      </c>
      <c r="AQ58" s="158">
        <f>SUM(DATA_Depts[[#This Row],[SeaIT]])-SUM(AC58)</f>
        <v>0</v>
      </c>
      <c r="AR58" s="158">
        <f>SUM(DATA_Depts[[#This Row],[Seattle Ctr]])-SUM(AD58)</f>
        <v>0</v>
      </c>
      <c r="AS58" s="158">
        <f>SUM(DATA_Depts[[#This Row],[SCL]])-SUM(AE58)</f>
        <v>0</v>
      </c>
    </row>
    <row r="59" spans="1:45">
      <c r="A59" s="151">
        <v>55</v>
      </c>
      <c r="B59" s="5">
        <v>55</v>
      </c>
      <c r="C59" s="4" t="str">
        <f>_xlfn.SINGLE(VLOOKUP(B59,DisplayOrder!A:B,2,FALSE))</f>
        <v>Reserved-55</v>
      </c>
      <c r="D59" s="5" t="str">
        <f>_xlfn.SINGLE(VLOOKUP(B59,DisplayOrder!A:C,3,FALSE))</f>
        <v>each</v>
      </c>
      <c r="E59" s="2" t="s">
        <v>4382</v>
      </c>
      <c r="F59" s="153">
        <v>0</v>
      </c>
      <c r="G59" s="153">
        <v>0</v>
      </c>
      <c r="H59" s="153">
        <v>0</v>
      </c>
      <c r="I59" s="153">
        <v>0</v>
      </c>
      <c r="J59" s="153">
        <v>0</v>
      </c>
      <c r="K59" s="153">
        <v>0</v>
      </c>
      <c r="L59" s="153">
        <v>0</v>
      </c>
      <c r="M59" s="153">
        <v>0</v>
      </c>
      <c r="N59" s="153">
        <v>0</v>
      </c>
      <c r="O59" s="153">
        <v>0</v>
      </c>
      <c r="Q59" s="151">
        <v>55</v>
      </c>
      <c r="R59" s="5">
        <v>55</v>
      </c>
      <c r="S59" s="4" t="s">
        <v>129</v>
      </c>
      <c r="T59" s="5" t="s">
        <v>67</v>
      </c>
      <c r="U59" s="2" t="s">
        <v>4382</v>
      </c>
      <c r="V59" s="153">
        <v>0</v>
      </c>
      <c r="W59" s="153">
        <v>0</v>
      </c>
      <c r="X59" s="153">
        <v>0</v>
      </c>
      <c r="Y59" s="153">
        <v>0</v>
      </c>
      <c r="Z59" s="153">
        <v>0</v>
      </c>
      <c r="AA59" s="153">
        <v>0</v>
      </c>
      <c r="AB59" s="153">
        <v>0</v>
      </c>
      <c r="AC59" s="153">
        <v>0</v>
      </c>
      <c r="AD59" s="153">
        <v>0</v>
      </c>
      <c r="AE59" s="153">
        <v>0</v>
      </c>
      <c r="AG59" s="4" t="s">
        <v>129</v>
      </c>
      <c r="AH59" s="5" t="s">
        <v>67</v>
      </c>
      <c r="AI59" s="2" t="s">
        <v>4382</v>
      </c>
      <c r="AJ59" s="158">
        <f>SUM(DATA_Depts[[#This Row],[SFD]])-SUM(V59)</f>
        <v>0</v>
      </c>
      <c r="AK59" s="158">
        <f>SUM(DATA_Depts[[#This Row],[SPD]])-SUM(W59)</f>
        <v>0</v>
      </c>
      <c r="AL59" s="158">
        <f>SUM(DATA_Depts[[#This Row],[Parks]])-SUM(X59)</f>
        <v>0</v>
      </c>
      <c r="AM59" s="158">
        <f>SUM(DATA_Depts[[#This Row],[SPU]])-SUM(Y59)</f>
        <v>0</v>
      </c>
      <c r="AN59" s="158">
        <f>SUM(DATA_Depts[[#This Row],[SDOT]])-SUM(Z59)</f>
        <v>0</v>
      </c>
      <c r="AO59" s="158">
        <f>SUM(DATA_Depts[[#This Row],[SDCI]])-SUM(AA59)</f>
        <v>0</v>
      </c>
      <c r="AP59" s="158">
        <f>SUM(DATA_Depts[[#This Row],[Libraries]])-SUM(AB59)</f>
        <v>0</v>
      </c>
      <c r="AQ59" s="158">
        <f>SUM(DATA_Depts[[#This Row],[SeaIT]])-SUM(AC59)</f>
        <v>0</v>
      </c>
      <c r="AR59" s="158">
        <f>SUM(DATA_Depts[[#This Row],[Seattle Ctr]])-SUM(AD59)</f>
        <v>0</v>
      </c>
      <c r="AS59" s="158">
        <f>SUM(DATA_Depts[[#This Row],[SCL]])-SUM(AE59)</f>
        <v>0</v>
      </c>
    </row>
    <row r="60" spans="1:45">
      <c r="A60" s="151">
        <v>56</v>
      </c>
      <c r="B60" s="5">
        <v>56</v>
      </c>
      <c r="C60" s="4" t="str">
        <f>_xlfn.SINGLE(VLOOKUP(B60,DisplayOrder!A:B,2,FALSE))</f>
        <v>Reserved-56</v>
      </c>
      <c r="D60" s="5" t="str">
        <f>_xlfn.SINGLE(VLOOKUP(B60,DisplayOrder!A:C,3,FALSE))</f>
        <v>each</v>
      </c>
      <c r="E60" s="2" t="s">
        <v>4382</v>
      </c>
      <c r="F60" s="153">
        <v>0</v>
      </c>
      <c r="G60" s="153">
        <v>0</v>
      </c>
      <c r="H60" s="153">
        <v>0</v>
      </c>
      <c r="I60" s="153">
        <v>0</v>
      </c>
      <c r="J60" s="153">
        <v>0</v>
      </c>
      <c r="K60" s="153">
        <v>0</v>
      </c>
      <c r="L60" s="153">
        <v>0</v>
      </c>
      <c r="M60" s="153">
        <v>0</v>
      </c>
      <c r="N60" s="153">
        <v>0</v>
      </c>
      <c r="O60" s="153">
        <v>0</v>
      </c>
      <c r="Q60" s="151">
        <v>56</v>
      </c>
      <c r="R60" s="5">
        <v>56</v>
      </c>
      <c r="S60" s="4" t="s">
        <v>130</v>
      </c>
      <c r="T60" s="5" t="s">
        <v>67</v>
      </c>
      <c r="U60" s="2" t="s">
        <v>4382</v>
      </c>
      <c r="V60" s="153">
        <v>0</v>
      </c>
      <c r="W60" s="153">
        <v>0</v>
      </c>
      <c r="X60" s="153">
        <v>0</v>
      </c>
      <c r="Y60" s="153">
        <v>0</v>
      </c>
      <c r="Z60" s="153">
        <v>0</v>
      </c>
      <c r="AA60" s="153">
        <v>0</v>
      </c>
      <c r="AB60" s="153">
        <v>0</v>
      </c>
      <c r="AC60" s="153">
        <v>0</v>
      </c>
      <c r="AD60" s="153">
        <v>0</v>
      </c>
      <c r="AE60" s="153">
        <v>0</v>
      </c>
      <c r="AG60" s="4" t="s">
        <v>130</v>
      </c>
      <c r="AH60" s="5" t="s">
        <v>67</v>
      </c>
      <c r="AI60" s="2" t="s">
        <v>4382</v>
      </c>
      <c r="AJ60" s="158">
        <f>SUM(DATA_Depts[[#This Row],[SFD]])-SUM(V60)</f>
        <v>0</v>
      </c>
      <c r="AK60" s="158">
        <f>SUM(DATA_Depts[[#This Row],[SPD]])-SUM(W60)</f>
        <v>0</v>
      </c>
      <c r="AL60" s="158">
        <f>SUM(DATA_Depts[[#This Row],[Parks]])-SUM(X60)</f>
        <v>0</v>
      </c>
      <c r="AM60" s="158">
        <f>SUM(DATA_Depts[[#This Row],[SPU]])-SUM(Y60)</f>
        <v>0</v>
      </c>
      <c r="AN60" s="158">
        <f>SUM(DATA_Depts[[#This Row],[SDOT]])-SUM(Z60)</f>
        <v>0</v>
      </c>
      <c r="AO60" s="158">
        <f>SUM(DATA_Depts[[#This Row],[SDCI]])-SUM(AA60)</f>
        <v>0</v>
      </c>
      <c r="AP60" s="158">
        <f>SUM(DATA_Depts[[#This Row],[Libraries]])-SUM(AB60)</f>
        <v>0</v>
      </c>
      <c r="AQ60" s="158">
        <f>SUM(DATA_Depts[[#This Row],[SeaIT]])-SUM(AC60)</f>
        <v>0</v>
      </c>
      <c r="AR60" s="158">
        <f>SUM(DATA_Depts[[#This Row],[Seattle Ctr]])-SUM(AD60)</f>
        <v>0</v>
      </c>
      <c r="AS60" s="158">
        <f>SUM(DATA_Depts[[#This Row],[SCL]])-SUM(AE60)</f>
        <v>0</v>
      </c>
    </row>
    <row r="61" spans="1:45">
      <c r="A61" s="151">
        <v>57</v>
      </c>
      <c r="B61" s="5">
        <v>57</v>
      </c>
      <c r="C61" s="4" t="str">
        <f>_xlfn.SINGLE(VLOOKUP(B61,DisplayOrder!A:B,2,FALSE))</f>
        <v>Reserved-57</v>
      </c>
      <c r="D61" s="5" t="str">
        <f>_xlfn.SINGLE(VLOOKUP(B61,DisplayOrder!A:C,3,FALSE))</f>
        <v>each</v>
      </c>
      <c r="E61" s="2" t="s">
        <v>4382</v>
      </c>
      <c r="F61" s="153">
        <v>0</v>
      </c>
      <c r="G61" s="153">
        <v>0</v>
      </c>
      <c r="H61" s="153">
        <v>0</v>
      </c>
      <c r="I61" s="153">
        <v>0</v>
      </c>
      <c r="J61" s="153">
        <v>0</v>
      </c>
      <c r="K61" s="153">
        <v>0</v>
      </c>
      <c r="L61" s="153">
        <v>0</v>
      </c>
      <c r="M61" s="153">
        <v>0</v>
      </c>
      <c r="N61" s="153">
        <v>0</v>
      </c>
      <c r="O61" s="153">
        <v>0</v>
      </c>
      <c r="Q61" s="151">
        <v>57</v>
      </c>
      <c r="R61" s="5">
        <v>57</v>
      </c>
      <c r="S61" s="4" t="s">
        <v>131</v>
      </c>
      <c r="T61" s="5" t="s">
        <v>67</v>
      </c>
      <c r="U61" s="2" t="s">
        <v>4382</v>
      </c>
      <c r="V61" s="153">
        <v>0</v>
      </c>
      <c r="W61" s="153">
        <v>0</v>
      </c>
      <c r="X61" s="153">
        <v>0</v>
      </c>
      <c r="Y61" s="153">
        <v>0</v>
      </c>
      <c r="Z61" s="153">
        <v>0</v>
      </c>
      <c r="AA61" s="153">
        <v>0</v>
      </c>
      <c r="AB61" s="153">
        <v>0</v>
      </c>
      <c r="AC61" s="153">
        <v>0</v>
      </c>
      <c r="AD61" s="153">
        <v>0</v>
      </c>
      <c r="AE61" s="153">
        <v>0</v>
      </c>
      <c r="AG61" s="4" t="s">
        <v>131</v>
      </c>
      <c r="AH61" s="5" t="s">
        <v>67</v>
      </c>
      <c r="AI61" s="2" t="s">
        <v>4382</v>
      </c>
      <c r="AJ61" s="158">
        <f>SUM(DATA_Depts[[#This Row],[SFD]])-SUM(V61)</f>
        <v>0</v>
      </c>
      <c r="AK61" s="158">
        <f>SUM(DATA_Depts[[#This Row],[SPD]])-SUM(W61)</f>
        <v>0</v>
      </c>
      <c r="AL61" s="158">
        <f>SUM(DATA_Depts[[#This Row],[Parks]])-SUM(X61)</f>
        <v>0</v>
      </c>
      <c r="AM61" s="158">
        <f>SUM(DATA_Depts[[#This Row],[SPU]])-SUM(Y61)</f>
        <v>0</v>
      </c>
      <c r="AN61" s="158">
        <f>SUM(DATA_Depts[[#This Row],[SDOT]])-SUM(Z61)</f>
        <v>0</v>
      </c>
      <c r="AO61" s="158">
        <f>SUM(DATA_Depts[[#This Row],[SDCI]])-SUM(AA61)</f>
        <v>0</v>
      </c>
      <c r="AP61" s="158">
        <f>SUM(DATA_Depts[[#This Row],[Libraries]])-SUM(AB61)</f>
        <v>0</v>
      </c>
      <c r="AQ61" s="158">
        <f>SUM(DATA_Depts[[#This Row],[SeaIT]])-SUM(AC61)</f>
        <v>0</v>
      </c>
      <c r="AR61" s="158">
        <f>SUM(DATA_Depts[[#This Row],[Seattle Ctr]])-SUM(AD61)</f>
        <v>0</v>
      </c>
      <c r="AS61" s="158">
        <f>SUM(DATA_Depts[[#This Row],[SCL]])-SUM(AE61)</f>
        <v>0</v>
      </c>
    </row>
    <row r="62" spans="1:45">
      <c r="A62" s="151">
        <v>58</v>
      </c>
      <c r="B62" s="5">
        <v>58</v>
      </c>
      <c r="C62" s="4" t="str">
        <f>_xlfn.SINGLE(VLOOKUP(B62,DisplayOrder!A:B,2,FALSE))</f>
        <v>Reserved-58</v>
      </c>
      <c r="D62" s="5" t="str">
        <f>_xlfn.SINGLE(VLOOKUP(B62,DisplayOrder!A:C,3,FALSE))</f>
        <v>each</v>
      </c>
      <c r="E62" s="2" t="s">
        <v>4382</v>
      </c>
      <c r="F62" s="153">
        <v>0</v>
      </c>
      <c r="G62" s="153">
        <v>0</v>
      </c>
      <c r="H62" s="153">
        <v>0</v>
      </c>
      <c r="I62" s="153">
        <v>0</v>
      </c>
      <c r="J62" s="153">
        <v>0</v>
      </c>
      <c r="K62" s="153">
        <v>0</v>
      </c>
      <c r="L62" s="153">
        <v>0</v>
      </c>
      <c r="M62" s="153">
        <v>0</v>
      </c>
      <c r="N62" s="153">
        <v>0</v>
      </c>
      <c r="O62" s="153">
        <v>0</v>
      </c>
      <c r="Q62" s="151">
        <v>58</v>
      </c>
      <c r="R62" s="5">
        <v>58</v>
      </c>
      <c r="S62" s="4" t="s">
        <v>132</v>
      </c>
      <c r="T62" s="5" t="s">
        <v>67</v>
      </c>
      <c r="U62" s="2" t="s">
        <v>4382</v>
      </c>
      <c r="V62" s="153">
        <v>0</v>
      </c>
      <c r="W62" s="153">
        <v>0</v>
      </c>
      <c r="X62" s="153">
        <v>0</v>
      </c>
      <c r="Y62" s="153">
        <v>0</v>
      </c>
      <c r="Z62" s="153">
        <v>0</v>
      </c>
      <c r="AA62" s="153">
        <v>0</v>
      </c>
      <c r="AB62" s="153">
        <v>0</v>
      </c>
      <c r="AC62" s="153">
        <v>0</v>
      </c>
      <c r="AD62" s="153">
        <v>0</v>
      </c>
      <c r="AE62" s="153">
        <v>0</v>
      </c>
      <c r="AG62" s="4" t="s">
        <v>132</v>
      </c>
      <c r="AH62" s="5" t="s">
        <v>67</v>
      </c>
      <c r="AI62" s="2" t="s">
        <v>4382</v>
      </c>
      <c r="AJ62" s="158">
        <f>SUM(DATA_Depts[[#This Row],[SFD]])-SUM(V62)</f>
        <v>0</v>
      </c>
      <c r="AK62" s="158">
        <f>SUM(DATA_Depts[[#This Row],[SPD]])-SUM(W62)</f>
        <v>0</v>
      </c>
      <c r="AL62" s="158">
        <f>SUM(DATA_Depts[[#This Row],[Parks]])-SUM(X62)</f>
        <v>0</v>
      </c>
      <c r="AM62" s="158">
        <f>SUM(DATA_Depts[[#This Row],[SPU]])-SUM(Y62)</f>
        <v>0</v>
      </c>
      <c r="AN62" s="158">
        <f>SUM(DATA_Depts[[#This Row],[SDOT]])-SUM(Z62)</f>
        <v>0</v>
      </c>
      <c r="AO62" s="158">
        <f>SUM(DATA_Depts[[#This Row],[SDCI]])-SUM(AA62)</f>
        <v>0</v>
      </c>
      <c r="AP62" s="158">
        <f>SUM(DATA_Depts[[#This Row],[Libraries]])-SUM(AB62)</f>
        <v>0</v>
      </c>
      <c r="AQ62" s="158">
        <f>SUM(DATA_Depts[[#This Row],[SeaIT]])-SUM(AC62)</f>
        <v>0</v>
      </c>
      <c r="AR62" s="158">
        <f>SUM(DATA_Depts[[#This Row],[Seattle Ctr]])-SUM(AD62)</f>
        <v>0</v>
      </c>
      <c r="AS62" s="158">
        <f>SUM(DATA_Depts[[#This Row],[SCL]])-SUM(AE62)</f>
        <v>0</v>
      </c>
    </row>
    <row r="63" spans="1:45">
      <c r="A63" s="151">
        <v>59</v>
      </c>
      <c r="B63" s="5">
        <v>59</v>
      </c>
      <c r="C63" s="4" t="str">
        <f>_xlfn.SINGLE(VLOOKUP(B63,DisplayOrder!A:B,2,FALSE))</f>
        <v>Reserved-59</v>
      </c>
      <c r="D63" s="5" t="str">
        <f>_xlfn.SINGLE(VLOOKUP(B63,DisplayOrder!A:C,3,FALSE))</f>
        <v>each</v>
      </c>
      <c r="E63" s="2" t="s">
        <v>4382</v>
      </c>
      <c r="F63" s="153">
        <v>0</v>
      </c>
      <c r="G63" s="153">
        <v>0</v>
      </c>
      <c r="H63" s="153">
        <v>0</v>
      </c>
      <c r="I63" s="153">
        <v>0</v>
      </c>
      <c r="J63" s="153">
        <v>0</v>
      </c>
      <c r="K63" s="153">
        <v>0</v>
      </c>
      <c r="L63" s="153">
        <v>0</v>
      </c>
      <c r="M63" s="153">
        <v>0</v>
      </c>
      <c r="N63" s="153">
        <v>0</v>
      </c>
      <c r="O63" s="153">
        <v>0</v>
      </c>
      <c r="Q63" s="151">
        <v>59</v>
      </c>
      <c r="R63" s="5">
        <v>59</v>
      </c>
      <c r="S63" s="4" t="s">
        <v>133</v>
      </c>
      <c r="T63" s="5" t="s">
        <v>67</v>
      </c>
      <c r="U63" s="2" t="s">
        <v>4382</v>
      </c>
      <c r="V63" s="153">
        <v>0</v>
      </c>
      <c r="W63" s="153">
        <v>0</v>
      </c>
      <c r="X63" s="153">
        <v>0</v>
      </c>
      <c r="Y63" s="153">
        <v>0</v>
      </c>
      <c r="Z63" s="153">
        <v>0</v>
      </c>
      <c r="AA63" s="153">
        <v>0</v>
      </c>
      <c r="AB63" s="153">
        <v>0</v>
      </c>
      <c r="AC63" s="153">
        <v>0</v>
      </c>
      <c r="AD63" s="153">
        <v>0</v>
      </c>
      <c r="AE63" s="153">
        <v>0</v>
      </c>
      <c r="AG63" s="4" t="s">
        <v>133</v>
      </c>
      <c r="AH63" s="5" t="s">
        <v>67</v>
      </c>
      <c r="AI63" s="2" t="s">
        <v>4382</v>
      </c>
      <c r="AJ63" s="158">
        <f>SUM(DATA_Depts[[#This Row],[SFD]])-SUM(V63)</f>
        <v>0</v>
      </c>
      <c r="AK63" s="158">
        <f>SUM(DATA_Depts[[#This Row],[SPD]])-SUM(W63)</f>
        <v>0</v>
      </c>
      <c r="AL63" s="158">
        <f>SUM(DATA_Depts[[#This Row],[Parks]])-SUM(X63)</f>
        <v>0</v>
      </c>
      <c r="AM63" s="158">
        <f>SUM(DATA_Depts[[#This Row],[SPU]])-SUM(Y63)</f>
        <v>0</v>
      </c>
      <c r="AN63" s="158">
        <f>SUM(DATA_Depts[[#This Row],[SDOT]])-SUM(Z63)</f>
        <v>0</v>
      </c>
      <c r="AO63" s="158">
        <f>SUM(DATA_Depts[[#This Row],[SDCI]])-SUM(AA63)</f>
        <v>0</v>
      </c>
      <c r="AP63" s="158">
        <f>SUM(DATA_Depts[[#This Row],[Libraries]])-SUM(AB63)</f>
        <v>0</v>
      </c>
      <c r="AQ63" s="158">
        <f>SUM(DATA_Depts[[#This Row],[SeaIT]])-SUM(AC63)</f>
        <v>0</v>
      </c>
      <c r="AR63" s="158">
        <f>SUM(DATA_Depts[[#This Row],[Seattle Ctr]])-SUM(AD63)</f>
        <v>0</v>
      </c>
      <c r="AS63" s="158">
        <f>SUM(DATA_Depts[[#This Row],[SCL]])-SUM(AE63)</f>
        <v>0</v>
      </c>
    </row>
    <row r="64" spans="1:45">
      <c r="A64" s="151">
        <v>60</v>
      </c>
      <c r="B64" s="5">
        <v>60</v>
      </c>
      <c r="C64" s="4" t="str">
        <f>_xlfn.SINGLE(VLOOKUP(B64,DisplayOrder!A:B,2,FALSE))</f>
        <v>Reserved-60</v>
      </c>
      <c r="D64" s="5" t="str">
        <f>_xlfn.SINGLE(VLOOKUP(B64,DisplayOrder!A:C,3,FALSE))</f>
        <v>each</v>
      </c>
      <c r="E64" s="2" t="s">
        <v>4382</v>
      </c>
      <c r="F64" s="153">
        <v>0</v>
      </c>
      <c r="G64" s="153">
        <v>0</v>
      </c>
      <c r="H64" s="153">
        <v>0</v>
      </c>
      <c r="I64" s="153">
        <v>0</v>
      </c>
      <c r="J64" s="153">
        <v>0</v>
      </c>
      <c r="K64" s="153">
        <v>0</v>
      </c>
      <c r="L64" s="153">
        <v>0</v>
      </c>
      <c r="M64" s="153">
        <v>0</v>
      </c>
      <c r="N64" s="153">
        <v>0</v>
      </c>
      <c r="O64" s="153">
        <v>0</v>
      </c>
      <c r="Q64" s="151">
        <v>60</v>
      </c>
      <c r="R64" s="5">
        <v>60</v>
      </c>
      <c r="S64" s="4" t="s">
        <v>134</v>
      </c>
      <c r="T64" s="5" t="s">
        <v>67</v>
      </c>
      <c r="U64" s="2" t="s">
        <v>4382</v>
      </c>
      <c r="V64" s="153">
        <v>0</v>
      </c>
      <c r="W64" s="153">
        <v>0</v>
      </c>
      <c r="X64" s="153">
        <v>0</v>
      </c>
      <c r="Y64" s="153">
        <v>0</v>
      </c>
      <c r="Z64" s="153">
        <v>0</v>
      </c>
      <c r="AA64" s="153">
        <v>0</v>
      </c>
      <c r="AB64" s="153">
        <v>0</v>
      </c>
      <c r="AC64" s="153">
        <v>0</v>
      </c>
      <c r="AD64" s="153">
        <v>0</v>
      </c>
      <c r="AE64" s="153">
        <v>0</v>
      </c>
      <c r="AG64" s="4" t="s">
        <v>134</v>
      </c>
      <c r="AH64" s="5" t="s">
        <v>67</v>
      </c>
      <c r="AI64" s="2" t="s">
        <v>4382</v>
      </c>
      <c r="AJ64" s="158">
        <f>SUM(DATA_Depts[[#This Row],[SFD]])-SUM(V64)</f>
        <v>0</v>
      </c>
      <c r="AK64" s="158">
        <f>SUM(DATA_Depts[[#This Row],[SPD]])-SUM(W64)</f>
        <v>0</v>
      </c>
      <c r="AL64" s="158">
        <f>SUM(DATA_Depts[[#This Row],[Parks]])-SUM(X64)</f>
        <v>0</v>
      </c>
      <c r="AM64" s="158">
        <f>SUM(DATA_Depts[[#This Row],[SPU]])-SUM(Y64)</f>
        <v>0</v>
      </c>
      <c r="AN64" s="158">
        <f>SUM(DATA_Depts[[#This Row],[SDOT]])-SUM(Z64)</f>
        <v>0</v>
      </c>
      <c r="AO64" s="158">
        <f>SUM(DATA_Depts[[#This Row],[SDCI]])-SUM(AA64)</f>
        <v>0</v>
      </c>
      <c r="AP64" s="158">
        <f>SUM(DATA_Depts[[#This Row],[Libraries]])-SUM(AB64)</f>
        <v>0</v>
      </c>
      <c r="AQ64" s="158">
        <f>SUM(DATA_Depts[[#This Row],[SeaIT]])-SUM(AC64)</f>
        <v>0</v>
      </c>
      <c r="AR64" s="158">
        <f>SUM(DATA_Depts[[#This Row],[Seattle Ctr]])-SUM(AD64)</f>
        <v>0</v>
      </c>
      <c r="AS64" s="158">
        <f>SUM(DATA_Depts[[#This Row],[SCL]])-SUM(AE64)</f>
        <v>0</v>
      </c>
    </row>
    <row r="65" spans="1:45">
      <c r="A65" s="151">
        <v>61</v>
      </c>
      <c r="B65" s="5">
        <v>61</v>
      </c>
      <c r="C65" s="4" t="str">
        <f>_xlfn.SINGLE(VLOOKUP(B65,DisplayOrder!A:B,2,FALSE))</f>
        <v>Reserved-61</v>
      </c>
      <c r="D65" s="5" t="str">
        <f>_xlfn.SINGLE(VLOOKUP(B65,DisplayOrder!A:C,3,FALSE))</f>
        <v>each</v>
      </c>
      <c r="E65" s="2" t="s">
        <v>4382</v>
      </c>
      <c r="F65" s="153">
        <v>0</v>
      </c>
      <c r="G65" s="153">
        <v>0</v>
      </c>
      <c r="H65" s="153">
        <v>0</v>
      </c>
      <c r="I65" s="153">
        <v>0</v>
      </c>
      <c r="J65" s="153">
        <v>0</v>
      </c>
      <c r="K65" s="153">
        <v>0</v>
      </c>
      <c r="L65" s="153">
        <v>0</v>
      </c>
      <c r="M65" s="153">
        <v>0</v>
      </c>
      <c r="N65" s="153">
        <v>0</v>
      </c>
      <c r="O65" s="153">
        <v>0</v>
      </c>
      <c r="Q65" s="151">
        <v>61</v>
      </c>
      <c r="R65" s="5">
        <v>61</v>
      </c>
      <c r="S65" s="4" t="s">
        <v>135</v>
      </c>
      <c r="T65" s="5" t="s">
        <v>67</v>
      </c>
      <c r="U65" s="2" t="s">
        <v>4382</v>
      </c>
      <c r="V65" s="153">
        <v>0</v>
      </c>
      <c r="W65" s="153">
        <v>0</v>
      </c>
      <c r="X65" s="153">
        <v>0</v>
      </c>
      <c r="Y65" s="153">
        <v>0</v>
      </c>
      <c r="Z65" s="153">
        <v>0</v>
      </c>
      <c r="AA65" s="153">
        <v>0</v>
      </c>
      <c r="AB65" s="153">
        <v>0</v>
      </c>
      <c r="AC65" s="153">
        <v>0</v>
      </c>
      <c r="AD65" s="153">
        <v>0</v>
      </c>
      <c r="AE65" s="153">
        <v>0</v>
      </c>
      <c r="AG65" s="4" t="s">
        <v>135</v>
      </c>
      <c r="AH65" s="5" t="s">
        <v>67</v>
      </c>
      <c r="AI65" s="2" t="s">
        <v>4382</v>
      </c>
      <c r="AJ65" s="158">
        <f>SUM(DATA_Depts[[#This Row],[SFD]])-SUM(V65)</f>
        <v>0</v>
      </c>
      <c r="AK65" s="158">
        <f>SUM(DATA_Depts[[#This Row],[SPD]])-SUM(W65)</f>
        <v>0</v>
      </c>
      <c r="AL65" s="158">
        <f>SUM(DATA_Depts[[#This Row],[Parks]])-SUM(X65)</f>
        <v>0</v>
      </c>
      <c r="AM65" s="158">
        <f>SUM(DATA_Depts[[#This Row],[SPU]])-SUM(Y65)</f>
        <v>0</v>
      </c>
      <c r="AN65" s="158">
        <f>SUM(DATA_Depts[[#This Row],[SDOT]])-SUM(Z65)</f>
        <v>0</v>
      </c>
      <c r="AO65" s="158">
        <f>SUM(DATA_Depts[[#This Row],[SDCI]])-SUM(AA65)</f>
        <v>0</v>
      </c>
      <c r="AP65" s="158">
        <f>SUM(DATA_Depts[[#This Row],[Libraries]])-SUM(AB65)</f>
        <v>0</v>
      </c>
      <c r="AQ65" s="158">
        <f>SUM(DATA_Depts[[#This Row],[SeaIT]])-SUM(AC65)</f>
        <v>0</v>
      </c>
      <c r="AR65" s="158">
        <f>SUM(DATA_Depts[[#This Row],[Seattle Ctr]])-SUM(AD65)</f>
        <v>0</v>
      </c>
      <c r="AS65" s="158">
        <f>SUM(DATA_Depts[[#This Row],[SCL]])-SUM(AE65)</f>
        <v>0</v>
      </c>
    </row>
    <row r="66" spans="1:45">
      <c r="A66" s="151">
        <v>62</v>
      </c>
      <c r="B66" s="5">
        <v>62</v>
      </c>
      <c r="C66" s="4" t="str">
        <f>_xlfn.SINGLE(VLOOKUP(B66,DisplayOrder!A:B,2,FALSE))</f>
        <v>Reserved-62</v>
      </c>
      <c r="D66" s="5" t="str">
        <f>_xlfn.SINGLE(VLOOKUP(B66,DisplayOrder!A:C,3,FALSE))</f>
        <v>each</v>
      </c>
      <c r="E66" s="2" t="s">
        <v>4382</v>
      </c>
      <c r="F66" s="153">
        <v>0</v>
      </c>
      <c r="G66" s="153">
        <v>0</v>
      </c>
      <c r="H66" s="153">
        <v>0</v>
      </c>
      <c r="I66" s="153">
        <v>0</v>
      </c>
      <c r="J66" s="153">
        <v>0</v>
      </c>
      <c r="K66" s="153">
        <v>0</v>
      </c>
      <c r="L66" s="153">
        <v>0</v>
      </c>
      <c r="M66" s="153">
        <v>0</v>
      </c>
      <c r="N66" s="153">
        <v>0</v>
      </c>
      <c r="O66" s="153">
        <v>0</v>
      </c>
      <c r="Q66" s="151">
        <v>62</v>
      </c>
      <c r="R66" s="5">
        <v>62</v>
      </c>
      <c r="S66" s="4" t="s">
        <v>136</v>
      </c>
      <c r="T66" s="5" t="s">
        <v>67</v>
      </c>
      <c r="U66" s="2" t="s">
        <v>4382</v>
      </c>
      <c r="V66" s="153">
        <v>0</v>
      </c>
      <c r="W66" s="153">
        <v>0</v>
      </c>
      <c r="X66" s="153">
        <v>0</v>
      </c>
      <c r="Y66" s="153">
        <v>0</v>
      </c>
      <c r="Z66" s="153">
        <v>0</v>
      </c>
      <c r="AA66" s="153">
        <v>0</v>
      </c>
      <c r="AB66" s="153">
        <v>0</v>
      </c>
      <c r="AC66" s="153">
        <v>0</v>
      </c>
      <c r="AD66" s="153">
        <v>0</v>
      </c>
      <c r="AE66" s="153">
        <v>0</v>
      </c>
      <c r="AG66" s="4" t="s">
        <v>136</v>
      </c>
      <c r="AH66" s="5" t="s">
        <v>67</v>
      </c>
      <c r="AI66" s="2" t="s">
        <v>4382</v>
      </c>
      <c r="AJ66" s="158">
        <f>SUM(DATA_Depts[[#This Row],[SFD]])-SUM(V66)</f>
        <v>0</v>
      </c>
      <c r="AK66" s="158">
        <f>SUM(DATA_Depts[[#This Row],[SPD]])-SUM(W66)</f>
        <v>0</v>
      </c>
      <c r="AL66" s="158">
        <f>SUM(DATA_Depts[[#This Row],[Parks]])-SUM(X66)</f>
        <v>0</v>
      </c>
      <c r="AM66" s="158">
        <f>SUM(DATA_Depts[[#This Row],[SPU]])-SUM(Y66)</f>
        <v>0</v>
      </c>
      <c r="AN66" s="158">
        <f>SUM(DATA_Depts[[#This Row],[SDOT]])-SUM(Z66)</f>
        <v>0</v>
      </c>
      <c r="AO66" s="158">
        <f>SUM(DATA_Depts[[#This Row],[SDCI]])-SUM(AA66)</f>
        <v>0</v>
      </c>
      <c r="AP66" s="158">
        <f>SUM(DATA_Depts[[#This Row],[Libraries]])-SUM(AB66)</f>
        <v>0</v>
      </c>
      <c r="AQ66" s="158">
        <f>SUM(DATA_Depts[[#This Row],[SeaIT]])-SUM(AC66)</f>
        <v>0</v>
      </c>
      <c r="AR66" s="158">
        <f>SUM(DATA_Depts[[#This Row],[Seattle Ctr]])-SUM(AD66)</f>
        <v>0</v>
      </c>
      <c r="AS66" s="158">
        <f>SUM(DATA_Depts[[#This Row],[SCL]])-SUM(AE66)</f>
        <v>0</v>
      </c>
    </row>
    <row r="67" spans="1:45">
      <c r="A67" s="151">
        <v>63</v>
      </c>
      <c r="B67" s="5">
        <v>63</v>
      </c>
      <c r="C67" s="4" t="str">
        <f>_xlfn.SINGLE(VLOOKUP(B67,DisplayOrder!A:B,2,FALSE))</f>
        <v>Reserved-63</v>
      </c>
      <c r="D67" s="5" t="str">
        <f>_xlfn.SINGLE(VLOOKUP(B67,DisplayOrder!A:C,3,FALSE))</f>
        <v>each</v>
      </c>
      <c r="E67" s="2" t="s">
        <v>4382</v>
      </c>
      <c r="F67" s="153">
        <v>0</v>
      </c>
      <c r="G67" s="153">
        <v>0</v>
      </c>
      <c r="H67" s="153">
        <v>0</v>
      </c>
      <c r="I67" s="153">
        <v>0</v>
      </c>
      <c r="J67" s="153">
        <v>0</v>
      </c>
      <c r="K67" s="153">
        <v>0</v>
      </c>
      <c r="L67" s="153">
        <v>0</v>
      </c>
      <c r="M67" s="153">
        <v>0</v>
      </c>
      <c r="N67" s="153">
        <v>0</v>
      </c>
      <c r="O67" s="153">
        <v>0</v>
      </c>
      <c r="Q67" s="151">
        <v>63</v>
      </c>
      <c r="R67" s="5">
        <v>63</v>
      </c>
      <c r="S67" s="4" t="s">
        <v>137</v>
      </c>
      <c r="T67" s="5" t="s">
        <v>67</v>
      </c>
      <c r="U67" s="2" t="s">
        <v>4382</v>
      </c>
      <c r="V67" s="153">
        <v>0</v>
      </c>
      <c r="W67" s="153">
        <v>0</v>
      </c>
      <c r="X67" s="153">
        <v>0</v>
      </c>
      <c r="Y67" s="153">
        <v>0</v>
      </c>
      <c r="Z67" s="153">
        <v>0</v>
      </c>
      <c r="AA67" s="153">
        <v>0</v>
      </c>
      <c r="AB67" s="153">
        <v>0</v>
      </c>
      <c r="AC67" s="153">
        <v>0</v>
      </c>
      <c r="AD67" s="153">
        <v>0</v>
      </c>
      <c r="AE67" s="153">
        <v>0</v>
      </c>
      <c r="AG67" s="4" t="s">
        <v>137</v>
      </c>
      <c r="AH67" s="5" t="s">
        <v>67</v>
      </c>
      <c r="AI67" s="2" t="s">
        <v>4382</v>
      </c>
      <c r="AJ67" s="158">
        <f>SUM(DATA_Depts[[#This Row],[SFD]])-SUM(V67)</f>
        <v>0</v>
      </c>
      <c r="AK67" s="158">
        <f>SUM(DATA_Depts[[#This Row],[SPD]])-SUM(W67)</f>
        <v>0</v>
      </c>
      <c r="AL67" s="158">
        <f>SUM(DATA_Depts[[#This Row],[Parks]])-SUM(X67)</f>
        <v>0</v>
      </c>
      <c r="AM67" s="158">
        <f>SUM(DATA_Depts[[#This Row],[SPU]])-SUM(Y67)</f>
        <v>0</v>
      </c>
      <c r="AN67" s="158">
        <f>SUM(DATA_Depts[[#This Row],[SDOT]])-SUM(Z67)</f>
        <v>0</v>
      </c>
      <c r="AO67" s="158">
        <f>SUM(DATA_Depts[[#This Row],[SDCI]])-SUM(AA67)</f>
        <v>0</v>
      </c>
      <c r="AP67" s="158">
        <f>SUM(DATA_Depts[[#This Row],[Libraries]])-SUM(AB67)</f>
        <v>0</v>
      </c>
      <c r="AQ67" s="158">
        <f>SUM(DATA_Depts[[#This Row],[SeaIT]])-SUM(AC67)</f>
        <v>0</v>
      </c>
      <c r="AR67" s="158">
        <f>SUM(DATA_Depts[[#This Row],[Seattle Ctr]])-SUM(AD67)</f>
        <v>0</v>
      </c>
      <c r="AS67" s="158">
        <f>SUM(DATA_Depts[[#This Row],[SCL]])-SUM(AE67)</f>
        <v>0</v>
      </c>
    </row>
    <row r="68" spans="1:45">
      <c r="A68" s="151">
        <v>64</v>
      </c>
      <c r="B68" s="5">
        <v>64</v>
      </c>
      <c r="C68" s="4" t="str">
        <f>_xlfn.SINGLE(VLOOKUP(B68,DisplayOrder!A:B,2,FALSE))</f>
        <v>Reserved-64</v>
      </c>
      <c r="D68" s="5" t="str">
        <f>_xlfn.SINGLE(VLOOKUP(B68,DisplayOrder!A:C,3,FALSE))</f>
        <v>each</v>
      </c>
      <c r="E68" s="2" t="s">
        <v>4382</v>
      </c>
      <c r="F68" s="153">
        <v>0</v>
      </c>
      <c r="G68" s="153">
        <v>0</v>
      </c>
      <c r="H68" s="153">
        <v>0</v>
      </c>
      <c r="I68" s="153">
        <v>0</v>
      </c>
      <c r="J68" s="153">
        <v>0</v>
      </c>
      <c r="K68" s="153">
        <v>0</v>
      </c>
      <c r="L68" s="153">
        <v>0</v>
      </c>
      <c r="M68" s="153">
        <v>0</v>
      </c>
      <c r="N68" s="153">
        <v>0</v>
      </c>
      <c r="O68" s="153">
        <v>0</v>
      </c>
      <c r="Q68" s="151">
        <v>64</v>
      </c>
      <c r="R68" s="5">
        <v>64</v>
      </c>
      <c r="S68" s="4" t="s">
        <v>138</v>
      </c>
      <c r="T68" s="5" t="s">
        <v>67</v>
      </c>
      <c r="U68" s="2" t="s">
        <v>4382</v>
      </c>
      <c r="V68" s="153">
        <v>0</v>
      </c>
      <c r="W68" s="153">
        <v>0</v>
      </c>
      <c r="X68" s="153">
        <v>0</v>
      </c>
      <c r="Y68" s="153">
        <v>0</v>
      </c>
      <c r="Z68" s="153">
        <v>0</v>
      </c>
      <c r="AA68" s="153">
        <v>0</v>
      </c>
      <c r="AB68" s="153">
        <v>0</v>
      </c>
      <c r="AC68" s="153">
        <v>0</v>
      </c>
      <c r="AD68" s="153">
        <v>0</v>
      </c>
      <c r="AE68" s="153">
        <v>0</v>
      </c>
      <c r="AG68" s="4" t="s">
        <v>138</v>
      </c>
      <c r="AH68" s="5" t="s">
        <v>67</v>
      </c>
      <c r="AI68" s="2" t="s">
        <v>4382</v>
      </c>
      <c r="AJ68" s="158">
        <f>SUM(DATA_Depts[[#This Row],[SFD]])-SUM(V68)</f>
        <v>0</v>
      </c>
      <c r="AK68" s="158">
        <f>SUM(DATA_Depts[[#This Row],[SPD]])-SUM(W68)</f>
        <v>0</v>
      </c>
      <c r="AL68" s="158">
        <f>SUM(DATA_Depts[[#This Row],[Parks]])-SUM(X68)</f>
        <v>0</v>
      </c>
      <c r="AM68" s="158">
        <f>SUM(DATA_Depts[[#This Row],[SPU]])-SUM(Y68)</f>
        <v>0</v>
      </c>
      <c r="AN68" s="158">
        <f>SUM(DATA_Depts[[#This Row],[SDOT]])-SUM(Z68)</f>
        <v>0</v>
      </c>
      <c r="AO68" s="158">
        <f>SUM(DATA_Depts[[#This Row],[SDCI]])-SUM(AA68)</f>
        <v>0</v>
      </c>
      <c r="AP68" s="158">
        <f>SUM(DATA_Depts[[#This Row],[Libraries]])-SUM(AB68)</f>
        <v>0</v>
      </c>
      <c r="AQ68" s="158">
        <f>SUM(DATA_Depts[[#This Row],[SeaIT]])-SUM(AC68)</f>
        <v>0</v>
      </c>
      <c r="AR68" s="158">
        <f>SUM(DATA_Depts[[#This Row],[Seattle Ctr]])-SUM(AD68)</f>
        <v>0</v>
      </c>
      <c r="AS68" s="158">
        <f>SUM(DATA_Depts[[#This Row],[SCL]])-SUM(AE68)</f>
        <v>0</v>
      </c>
    </row>
    <row r="69" spans="1:45">
      <c r="A69" s="151">
        <v>65</v>
      </c>
      <c r="B69" s="5">
        <v>65</v>
      </c>
      <c r="C69" s="4" t="str">
        <f>_xlfn.SINGLE(VLOOKUP(B69,DisplayOrder!A:B,2,FALSE))</f>
        <v>Reserved-65</v>
      </c>
      <c r="D69" s="5" t="str">
        <f>_xlfn.SINGLE(VLOOKUP(B69,DisplayOrder!A:C,3,FALSE))</f>
        <v>each</v>
      </c>
      <c r="E69" s="2" t="s">
        <v>4382</v>
      </c>
      <c r="F69" s="153">
        <v>0</v>
      </c>
      <c r="G69" s="153">
        <v>0</v>
      </c>
      <c r="H69" s="153">
        <v>0</v>
      </c>
      <c r="I69" s="153">
        <v>0</v>
      </c>
      <c r="J69" s="153">
        <v>0</v>
      </c>
      <c r="K69" s="153">
        <v>0</v>
      </c>
      <c r="L69" s="153">
        <v>0</v>
      </c>
      <c r="M69" s="153">
        <v>0</v>
      </c>
      <c r="N69" s="153">
        <v>0</v>
      </c>
      <c r="O69" s="153">
        <v>0</v>
      </c>
      <c r="Q69" s="151">
        <v>65</v>
      </c>
      <c r="R69" s="5">
        <v>65</v>
      </c>
      <c r="S69" s="4" t="s">
        <v>139</v>
      </c>
      <c r="T69" s="5" t="s">
        <v>67</v>
      </c>
      <c r="U69" s="2" t="s">
        <v>4382</v>
      </c>
      <c r="V69" s="153">
        <v>0</v>
      </c>
      <c r="W69" s="153">
        <v>0</v>
      </c>
      <c r="X69" s="153">
        <v>0</v>
      </c>
      <c r="Y69" s="153">
        <v>0</v>
      </c>
      <c r="Z69" s="153">
        <v>0</v>
      </c>
      <c r="AA69" s="153">
        <v>0</v>
      </c>
      <c r="AB69" s="153">
        <v>0</v>
      </c>
      <c r="AC69" s="153">
        <v>0</v>
      </c>
      <c r="AD69" s="153">
        <v>0</v>
      </c>
      <c r="AE69" s="153">
        <v>0</v>
      </c>
      <c r="AG69" s="4" t="s">
        <v>139</v>
      </c>
      <c r="AH69" s="5" t="s">
        <v>67</v>
      </c>
      <c r="AI69" s="2" t="s">
        <v>4382</v>
      </c>
      <c r="AJ69" s="158">
        <f>SUM(DATA_Depts[[#This Row],[SFD]])-SUM(V69)</f>
        <v>0</v>
      </c>
      <c r="AK69" s="158">
        <f>SUM(DATA_Depts[[#This Row],[SPD]])-SUM(W69)</f>
        <v>0</v>
      </c>
      <c r="AL69" s="158">
        <f>SUM(DATA_Depts[[#This Row],[Parks]])-SUM(X69)</f>
        <v>0</v>
      </c>
      <c r="AM69" s="158">
        <f>SUM(DATA_Depts[[#This Row],[SPU]])-SUM(Y69)</f>
        <v>0</v>
      </c>
      <c r="AN69" s="158">
        <f>SUM(DATA_Depts[[#This Row],[SDOT]])-SUM(Z69)</f>
        <v>0</v>
      </c>
      <c r="AO69" s="158">
        <f>SUM(DATA_Depts[[#This Row],[SDCI]])-SUM(AA69)</f>
        <v>0</v>
      </c>
      <c r="AP69" s="158">
        <f>SUM(DATA_Depts[[#This Row],[Libraries]])-SUM(AB69)</f>
        <v>0</v>
      </c>
      <c r="AQ69" s="158">
        <f>SUM(DATA_Depts[[#This Row],[SeaIT]])-SUM(AC69)</f>
        <v>0</v>
      </c>
      <c r="AR69" s="158">
        <f>SUM(DATA_Depts[[#This Row],[Seattle Ctr]])-SUM(AD69)</f>
        <v>0</v>
      </c>
      <c r="AS69" s="158">
        <f>SUM(DATA_Depts[[#This Row],[SCL]])-SUM(AE69)</f>
        <v>0</v>
      </c>
    </row>
    <row r="70" spans="1:45">
      <c r="A70" s="151">
        <v>66</v>
      </c>
      <c r="B70" s="5">
        <v>66</v>
      </c>
      <c r="C70" s="4" t="str">
        <f>_xlfn.SINGLE(VLOOKUP(B70,DisplayOrder!A:B,2,FALSE))</f>
        <v>Reserved-66</v>
      </c>
      <c r="D70" s="5" t="str">
        <f>_xlfn.SINGLE(VLOOKUP(B70,DisplayOrder!A:C,3,FALSE))</f>
        <v>each</v>
      </c>
      <c r="E70" s="2" t="s">
        <v>4382</v>
      </c>
      <c r="F70" s="153">
        <v>0</v>
      </c>
      <c r="G70" s="153">
        <v>0</v>
      </c>
      <c r="H70" s="153">
        <v>0</v>
      </c>
      <c r="I70" s="153">
        <v>0</v>
      </c>
      <c r="J70" s="153">
        <v>0</v>
      </c>
      <c r="K70" s="153">
        <v>0</v>
      </c>
      <c r="L70" s="153">
        <v>0</v>
      </c>
      <c r="M70" s="153">
        <v>0</v>
      </c>
      <c r="N70" s="153">
        <v>0</v>
      </c>
      <c r="O70" s="153">
        <v>0</v>
      </c>
      <c r="Q70" s="151">
        <v>66</v>
      </c>
      <c r="R70" s="5">
        <v>66</v>
      </c>
      <c r="S70" s="4" t="s">
        <v>140</v>
      </c>
      <c r="T70" s="5" t="s">
        <v>67</v>
      </c>
      <c r="U70" s="2" t="s">
        <v>4382</v>
      </c>
      <c r="V70" s="153">
        <v>0</v>
      </c>
      <c r="W70" s="153">
        <v>0</v>
      </c>
      <c r="X70" s="153">
        <v>0</v>
      </c>
      <c r="Y70" s="153">
        <v>0</v>
      </c>
      <c r="Z70" s="153">
        <v>0</v>
      </c>
      <c r="AA70" s="153">
        <v>0</v>
      </c>
      <c r="AB70" s="153">
        <v>0</v>
      </c>
      <c r="AC70" s="153">
        <v>0</v>
      </c>
      <c r="AD70" s="153">
        <v>0</v>
      </c>
      <c r="AE70" s="153">
        <v>0</v>
      </c>
      <c r="AG70" s="4" t="s">
        <v>140</v>
      </c>
      <c r="AH70" s="5" t="s">
        <v>67</v>
      </c>
      <c r="AI70" s="2" t="s">
        <v>4382</v>
      </c>
      <c r="AJ70" s="158">
        <f>SUM(DATA_Depts[[#This Row],[SFD]])-SUM(V70)</f>
        <v>0</v>
      </c>
      <c r="AK70" s="158">
        <f>SUM(DATA_Depts[[#This Row],[SPD]])-SUM(W70)</f>
        <v>0</v>
      </c>
      <c r="AL70" s="158">
        <f>SUM(DATA_Depts[[#This Row],[Parks]])-SUM(X70)</f>
        <v>0</v>
      </c>
      <c r="AM70" s="158">
        <f>SUM(DATA_Depts[[#This Row],[SPU]])-SUM(Y70)</f>
        <v>0</v>
      </c>
      <c r="AN70" s="158">
        <f>SUM(DATA_Depts[[#This Row],[SDOT]])-SUM(Z70)</f>
        <v>0</v>
      </c>
      <c r="AO70" s="158">
        <f>SUM(DATA_Depts[[#This Row],[SDCI]])-SUM(AA70)</f>
        <v>0</v>
      </c>
      <c r="AP70" s="158">
        <f>SUM(DATA_Depts[[#This Row],[Libraries]])-SUM(AB70)</f>
        <v>0</v>
      </c>
      <c r="AQ70" s="158">
        <f>SUM(DATA_Depts[[#This Row],[SeaIT]])-SUM(AC70)</f>
        <v>0</v>
      </c>
      <c r="AR70" s="158">
        <f>SUM(DATA_Depts[[#This Row],[Seattle Ctr]])-SUM(AD70)</f>
        <v>0</v>
      </c>
      <c r="AS70" s="158">
        <f>SUM(DATA_Depts[[#This Row],[SCL]])-SUM(AE70)</f>
        <v>0</v>
      </c>
    </row>
    <row r="71" spans="1:45">
      <c r="A71" s="151">
        <v>67</v>
      </c>
      <c r="B71" s="5">
        <v>67</v>
      </c>
      <c r="C71" s="4" t="str">
        <f>_xlfn.SINGLE(VLOOKUP(B71,DisplayOrder!A:B,2,FALSE))</f>
        <v>Reserved-67</v>
      </c>
      <c r="D71" s="5" t="str">
        <f>_xlfn.SINGLE(VLOOKUP(B71,DisplayOrder!A:C,3,FALSE))</f>
        <v>each</v>
      </c>
      <c r="E71" s="2" t="s">
        <v>4382</v>
      </c>
      <c r="F71" s="153">
        <v>0</v>
      </c>
      <c r="G71" s="153">
        <v>0</v>
      </c>
      <c r="H71" s="153">
        <v>0</v>
      </c>
      <c r="I71" s="153">
        <v>0</v>
      </c>
      <c r="J71" s="153">
        <v>0</v>
      </c>
      <c r="K71" s="153">
        <v>0</v>
      </c>
      <c r="L71" s="153">
        <v>0</v>
      </c>
      <c r="M71" s="153">
        <v>0</v>
      </c>
      <c r="N71" s="153">
        <v>0</v>
      </c>
      <c r="O71" s="153">
        <v>0</v>
      </c>
      <c r="Q71" s="151">
        <v>67</v>
      </c>
      <c r="R71" s="5">
        <v>67</v>
      </c>
      <c r="S71" s="4" t="s">
        <v>141</v>
      </c>
      <c r="T71" s="5" t="s">
        <v>67</v>
      </c>
      <c r="U71" s="2" t="s">
        <v>4382</v>
      </c>
      <c r="V71" s="153">
        <v>0</v>
      </c>
      <c r="W71" s="153">
        <v>0</v>
      </c>
      <c r="X71" s="153">
        <v>0</v>
      </c>
      <c r="Y71" s="153">
        <v>0</v>
      </c>
      <c r="Z71" s="153">
        <v>0</v>
      </c>
      <c r="AA71" s="153">
        <v>0</v>
      </c>
      <c r="AB71" s="153">
        <v>0</v>
      </c>
      <c r="AC71" s="153">
        <v>0</v>
      </c>
      <c r="AD71" s="153">
        <v>0</v>
      </c>
      <c r="AE71" s="153">
        <v>0</v>
      </c>
      <c r="AG71" s="4" t="s">
        <v>141</v>
      </c>
      <c r="AH71" s="5" t="s">
        <v>67</v>
      </c>
      <c r="AI71" s="2" t="s">
        <v>4382</v>
      </c>
      <c r="AJ71" s="158">
        <f>SUM(DATA_Depts[[#This Row],[SFD]])-SUM(V71)</f>
        <v>0</v>
      </c>
      <c r="AK71" s="158">
        <f>SUM(DATA_Depts[[#This Row],[SPD]])-SUM(W71)</f>
        <v>0</v>
      </c>
      <c r="AL71" s="158">
        <f>SUM(DATA_Depts[[#This Row],[Parks]])-SUM(X71)</f>
        <v>0</v>
      </c>
      <c r="AM71" s="158">
        <f>SUM(DATA_Depts[[#This Row],[SPU]])-SUM(Y71)</f>
        <v>0</v>
      </c>
      <c r="AN71" s="158">
        <f>SUM(DATA_Depts[[#This Row],[SDOT]])-SUM(Z71)</f>
        <v>0</v>
      </c>
      <c r="AO71" s="158">
        <f>SUM(DATA_Depts[[#This Row],[SDCI]])-SUM(AA71)</f>
        <v>0</v>
      </c>
      <c r="AP71" s="158">
        <f>SUM(DATA_Depts[[#This Row],[Libraries]])-SUM(AB71)</f>
        <v>0</v>
      </c>
      <c r="AQ71" s="158">
        <f>SUM(DATA_Depts[[#This Row],[SeaIT]])-SUM(AC71)</f>
        <v>0</v>
      </c>
      <c r="AR71" s="158">
        <f>SUM(DATA_Depts[[#This Row],[Seattle Ctr]])-SUM(AD71)</f>
        <v>0</v>
      </c>
      <c r="AS71" s="158">
        <f>SUM(DATA_Depts[[#This Row],[SCL]])-SUM(AE71)</f>
        <v>0</v>
      </c>
    </row>
    <row r="72" spans="1:45">
      <c r="A72" s="151">
        <v>68</v>
      </c>
      <c r="B72" s="5">
        <v>68</v>
      </c>
      <c r="C72" s="4" t="str">
        <f>_xlfn.SINGLE(VLOOKUP(B72,DisplayOrder!A:B,2,FALSE))</f>
        <v>Reserved-68</v>
      </c>
      <c r="D72" s="5" t="str">
        <f>_xlfn.SINGLE(VLOOKUP(B72,DisplayOrder!A:C,3,FALSE))</f>
        <v>each</v>
      </c>
      <c r="E72" s="2" t="s">
        <v>4382</v>
      </c>
      <c r="F72" s="153">
        <v>0</v>
      </c>
      <c r="G72" s="153">
        <v>0</v>
      </c>
      <c r="H72" s="153">
        <v>0</v>
      </c>
      <c r="I72" s="153">
        <v>0</v>
      </c>
      <c r="J72" s="153">
        <v>0</v>
      </c>
      <c r="K72" s="153">
        <v>0</v>
      </c>
      <c r="L72" s="153">
        <v>0</v>
      </c>
      <c r="M72" s="153">
        <v>0</v>
      </c>
      <c r="N72" s="153">
        <v>0</v>
      </c>
      <c r="O72" s="153">
        <v>0</v>
      </c>
      <c r="Q72" s="151">
        <v>68</v>
      </c>
      <c r="R72" s="5">
        <v>68</v>
      </c>
      <c r="S72" s="4" t="s">
        <v>142</v>
      </c>
      <c r="T72" s="5" t="s">
        <v>67</v>
      </c>
      <c r="U72" s="2" t="s">
        <v>4382</v>
      </c>
      <c r="V72" s="153">
        <v>0</v>
      </c>
      <c r="W72" s="153">
        <v>0</v>
      </c>
      <c r="X72" s="153">
        <v>0</v>
      </c>
      <c r="Y72" s="153">
        <v>0</v>
      </c>
      <c r="Z72" s="153">
        <v>0</v>
      </c>
      <c r="AA72" s="153">
        <v>0</v>
      </c>
      <c r="AB72" s="153">
        <v>0</v>
      </c>
      <c r="AC72" s="153">
        <v>0</v>
      </c>
      <c r="AD72" s="153">
        <v>0</v>
      </c>
      <c r="AE72" s="153">
        <v>0</v>
      </c>
      <c r="AG72" s="4" t="s">
        <v>142</v>
      </c>
      <c r="AH72" s="5" t="s">
        <v>67</v>
      </c>
      <c r="AI72" s="2" t="s">
        <v>4382</v>
      </c>
      <c r="AJ72" s="158">
        <f>SUM(DATA_Depts[[#This Row],[SFD]])-SUM(V72)</f>
        <v>0</v>
      </c>
      <c r="AK72" s="158">
        <f>SUM(DATA_Depts[[#This Row],[SPD]])-SUM(W72)</f>
        <v>0</v>
      </c>
      <c r="AL72" s="158">
        <f>SUM(DATA_Depts[[#This Row],[Parks]])-SUM(X72)</f>
        <v>0</v>
      </c>
      <c r="AM72" s="158">
        <f>SUM(DATA_Depts[[#This Row],[SPU]])-SUM(Y72)</f>
        <v>0</v>
      </c>
      <c r="AN72" s="158">
        <f>SUM(DATA_Depts[[#This Row],[SDOT]])-SUM(Z72)</f>
        <v>0</v>
      </c>
      <c r="AO72" s="158">
        <f>SUM(DATA_Depts[[#This Row],[SDCI]])-SUM(AA72)</f>
        <v>0</v>
      </c>
      <c r="AP72" s="158">
        <f>SUM(DATA_Depts[[#This Row],[Libraries]])-SUM(AB72)</f>
        <v>0</v>
      </c>
      <c r="AQ72" s="158">
        <f>SUM(DATA_Depts[[#This Row],[SeaIT]])-SUM(AC72)</f>
        <v>0</v>
      </c>
      <c r="AR72" s="158">
        <f>SUM(DATA_Depts[[#This Row],[Seattle Ctr]])-SUM(AD72)</f>
        <v>0</v>
      </c>
      <c r="AS72" s="158">
        <f>SUM(DATA_Depts[[#This Row],[SCL]])-SUM(AE72)</f>
        <v>0</v>
      </c>
    </row>
    <row r="73" spans="1:45">
      <c r="A73" s="151">
        <v>69</v>
      </c>
      <c r="B73" s="5">
        <v>69</v>
      </c>
      <c r="C73" s="4" t="str">
        <f>_xlfn.SINGLE(VLOOKUP(B73,DisplayOrder!A:B,2,FALSE))</f>
        <v>Reserved-69</v>
      </c>
      <c r="D73" s="5" t="str">
        <f>_xlfn.SINGLE(VLOOKUP(B73,DisplayOrder!A:C,3,FALSE))</f>
        <v>each</v>
      </c>
      <c r="E73" s="2" t="s">
        <v>4382</v>
      </c>
      <c r="F73" s="153">
        <v>0</v>
      </c>
      <c r="G73" s="153">
        <v>0</v>
      </c>
      <c r="H73" s="153">
        <v>0</v>
      </c>
      <c r="I73" s="153">
        <v>0</v>
      </c>
      <c r="J73" s="153">
        <v>0</v>
      </c>
      <c r="K73" s="153">
        <v>0</v>
      </c>
      <c r="L73" s="153">
        <v>0</v>
      </c>
      <c r="M73" s="153">
        <v>0</v>
      </c>
      <c r="N73" s="153">
        <v>0</v>
      </c>
      <c r="O73" s="153">
        <v>0</v>
      </c>
      <c r="Q73" s="151">
        <v>69</v>
      </c>
      <c r="R73" s="5">
        <v>69</v>
      </c>
      <c r="S73" s="4" t="s">
        <v>143</v>
      </c>
      <c r="T73" s="5" t="s">
        <v>67</v>
      </c>
      <c r="U73" s="2" t="s">
        <v>4382</v>
      </c>
      <c r="V73" s="153">
        <v>0</v>
      </c>
      <c r="W73" s="153">
        <v>0</v>
      </c>
      <c r="X73" s="153">
        <v>0</v>
      </c>
      <c r="Y73" s="153">
        <v>0</v>
      </c>
      <c r="Z73" s="153">
        <v>0</v>
      </c>
      <c r="AA73" s="153">
        <v>0</v>
      </c>
      <c r="AB73" s="153">
        <v>0</v>
      </c>
      <c r="AC73" s="153">
        <v>0</v>
      </c>
      <c r="AD73" s="153">
        <v>0</v>
      </c>
      <c r="AE73" s="153">
        <v>0</v>
      </c>
      <c r="AG73" s="4" t="s">
        <v>143</v>
      </c>
      <c r="AH73" s="5" t="s">
        <v>67</v>
      </c>
      <c r="AI73" s="2" t="s">
        <v>4382</v>
      </c>
      <c r="AJ73" s="158">
        <f>SUM(DATA_Depts[[#This Row],[SFD]])-SUM(V73)</f>
        <v>0</v>
      </c>
      <c r="AK73" s="158">
        <f>SUM(DATA_Depts[[#This Row],[SPD]])-SUM(W73)</f>
        <v>0</v>
      </c>
      <c r="AL73" s="158">
        <f>SUM(DATA_Depts[[#This Row],[Parks]])-SUM(X73)</f>
        <v>0</v>
      </c>
      <c r="AM73" s="158">
        <f>SUM(DATA_Depts[[#This Row],[SPU]])-SUM(Y73)</f>
        <v>0</v>
      </c>
      <c r="AN73" s="158">
        <f>SUM(DATA_Depts[[#This Row],[SDOT]])-SUM(Z73)</f>
        <v>0</v>
      </c>
      <c r="AO73" s="158">
        <f>SUM(DATA_Depts[[#This Row],[SDCI]])-SUM(AA73)</f>
        <v>0</v>
      </c>
      <c r="AP73" s="158">
        <f>SUM(DATA_Depts[[#This Row],[Libraries]])-SUM(AB73)</f>
        <v>0</v>
      </c>
      <c r="AQ73" s="158">
        <f>SUM(DATA_Depts[[#This Row],[SeaIT]])-SUM(AC73)</f>
        <v>0</v>
      </c>
      <c r="AR73" s="158">
        <f>SUM(DATA_Depts[[#This Row],[Seattle Ctr]])-SUM(AD73)</f>
        <v>0</v>
      </c>
      <c r="AS73" s="158">
        <f>SUM(DATA_Depts[[#This Row],[SCL]])-SUM(AE73)</f>
        <v>0</v>
      </c>
    </row>
    <row r="74" spans="1:45">
      <c r="A74" s="151">
        <v>70</v>
      </c>
      <c r="B74" s="5">
        <v>70</v>
      </c>
      <c r="C74" s="4" t="str">
        <f>_xlfn.SINGLE(VLOOKUP(B74,DisplayOrder!A:B,2,FALSE))</f>
        <v>Reserved-70</v>
      </c>
      <c r="D74" s="5" t="str">
        <f>_xlfn.SINGLE(VLOOKUP(B74,DisplayOrder!A:C,3,FALSE))</f>
        <v>each</v>
      </c>
      <c r="E74" s="2" t="s">
        <v>4382</v>
      </c>
      <c r="F74" s="153">
        <v>0</v>
      </c>
      <c r="G74" s="153">
        <v>0</v>
      </c>
      <c r="H74" s="153">
        <v>0</v>
      </c>
      <c r="I74" s="153">
        <v>0</v>
      </c>
      <c r="J74" s="153">
        <v>0</v>
      </c>
      <c r="K74" s="153">
        <v>0</v>
      </c>
      <c r="L74" s="153">
        <v>0</v>
      </c>
      <c r="M74" s="153">
        <v>0</v>
      </c>
      <c r="N74" s="153">
        <v>0</v>
      </c>
      <c r="O74" s="153">
        <v>0</v>
      </c>
      <c r="Q74" s="151">
        <v>70</v>
      </c>
      <c r="R74" s="5">
        <v>70</v>
      </c>
      <c r="S74" s="4" t="s">
        <v>144</v>
      </c>
      <c r="T74" s="5" t="s">
        <v>67</v>
      </c>
      <c r="U74" s="2" t="s">
        <v>4382</v>
      </c>
      <c r="V74" s="153">
        <v>0</v>
      </c>
      <c r="W74" s="153">
        <v>0</v>
      </c>
      <c r="X74" s="153">
        <v>0</v>
      </c>
      <c r="Y74" s="153">
        <v>0</v>
      </c>
      <c r="Z74" s="153">
        <v>0</v>
      </c>
      <c r="AA74" s="153">
        <v>0</v>
      </c>
      <c r="AB74" s="153">
        <v>0</v>
      </c>
      <c r="AC74" s="153">
        <v>0</v>
      </c>
      <c r="AD74" s="153">
        <v>0</v>
      </c>
      <c r="AE74" s="153">
        <v>0</v>
      </c>
      <c r="AG74" s="4" t="s">
        <v>144</v>
      </c>
      <c r="AH74" s="5" t="s">
        <v>67</v>
      </c>
      <c r="AI74" s="2" t="s">
        <v>4382</v>
      </c>
      <c r="AJ74" s="158">
        <f>SUM(DATA_Depts[[#This Row],[SFD]])-SUM(V74)</f>
        <v>0</v>
      </c>
      <c r="AK74" s="158">
        <f>SUM(DATA_Depts[[#This Row],[SPD]])-SUM(W74)</f>
        <v>0</v>
      </c>
      <c r="AL74" s="158">
        <f>SUM(DATA_Depts[[#This Row],[Parks]])-SUM(X74)</f>
        <v>0</v>
      </c>
      <c r="AM74" s="158">
        <f>SUM(DATA_Depts[[#This Row],[SPU]])-SUM(Y74)</f>
        <v>0</v>
      </c>
      <c r="AN74" s="158">
        <f>SUM(DATA_Depts[[#This Row],[SDOT]])-SUM(Z74)</f>
        <v>0</v>
      </c>
      <c r="AO74" s="158">
        <f>SUM(DATA_Depts[[#This Row],[SDCI]])-SUM(AA74)</f>
        <v>0</v>
      </c>
      <c r="AP74" s="158">
        <f>SUM(DATA_Depts[[#This Row],[Libraries]])-SUM(AB74)</f>
        <v>0</v>
      </c>
      <c r="AQ74" s="158">
        <f>SUM(DATA_Depts[[#This Row],[SeaIT]])-SUM(AC74)</f>
        <v>0</v>
      </c>
      <c r="AR74" s="158">
        <f>SUM(DATA_Depts[[#This Row],[Seattle Ctr]])-SUM(AD74)</f>
        <v>0</v>
      </c>
      <c r="AS74" s="158">
        <f>SUM(DATA_Depts[[#This Row],[SCL]])-SUM(AE74)</f>
        <v>0</v>
      </c>
    </row>
    <row r="75" spans="1:45">
      <c r="A75" s="151">
        <v>71</v>
      </c>
      <c r="B75" s="5">
        <v>71</v>
      </c>
      <c r="C75" s="4" t="str">
        <f>_xlfn.SINGLE(VLOOKUP(B75,DisplayOrder!A:B,2,FALSE))</f>
        <v>Reserved-71</v>
      </c>
      <c r="D75" s="5" t="str">
        <f>_xlfn.SINGLE(VLOOKUP(B75,DisplayOrder!A:C,3,FALSE))</f>
        <v>each</v>
      </c>
      <c r="E75" s="2" t="s">
        <v>4382</v>
      </c>
      <c r="F75" s="153">
        <v>0</v>
      </c>
      <c r="G75" s="153">
        <v>0</v>
      </c>
      <c r="H75" s="153">
        <v>0</v>
      </c>
      <c r="I75" s="153">
        <v>0</v>
      </c>
      <c r="J75" s="153">
        <v>0</v>
      </c>
      <c r="K75" s="153">
        <v>0</v>
      </c>
      <c r="L75" s="153">
        <v>0</v>
      </c>
      <c r="M75" s="153">
        <v>0</v>
      </c>
      <c r="N75" s="153">
        <v>0</v>
      </c>
      <c r="O75" s="153">
        <v>0</v>
      </c>
      <c r="Q75" s="151">
        <v>71</v>
      </c>
      <c r="R75" s="5">
        <v>71</v>
      </c>
      <c r="S75" s="4" t="s">
        <v>145</v>
      </c>
      <c r="T75" s="5" t="s">
        <v>67</v>
      </c>
      <c r="U75" s="2" t="s">
        <v>4382</v>
      </c>
      <c r="V75" s="153">
        <v>0</v>
      </c>
      <c r="W75" s="153">
        <v>0</v>
      </c>
      <c r="X75" s="153">
        <v>0</v>
      </c>
      <c r="Y75" s="153">
        <v>0</v>
      </c>
      <c r="Z75" s="153">
        <v>0</v>
      </c>
      <c r="AA75" s="153">
        <v>0</v>
      </c>
      <c r="AB75" s="153">
        <v>0</v>
      </c>
      <c r="AC75" s="153">
        <v>0</v>
      </c>
      <c r="AD75" s="153">
        <v>0</v>
      </c>
      <c r="AE75" s="153">
        <v>0</v>
      </c>
      <c r="AG75" s="4" t="s">
        <v>145</v>
      </c>
      <c r="AH75" s="5" t="s">
        <v>67</v>
      </c>
      <c r="AI75" s="2" t="s">
        <v>4382</v>
      </c>
      <c r="AJ75" s="158">
        <f>SUM(DATA_Depts[[#This Row],[SFD]])-SUM(V75)</f>
        <v>0</v>
      </c>
      <c r="AK75" s="158">
        <f>SUM(DATA_Depts[[#This Row],[SPD]])-SUM(W75)</f>
        <v>0</v>
      </c>
      <c r="AL75" s="158">
        <f>SUM(DATA_Depts[[#This Row],[Parks]])-SUM(X75)</f>
        <v>0</v>
      </c>
      <c r="AM75" s="158">
        <f>SUM(DATA_Depts[[#This Row],[SPU]])-SUM(Y75)</f>
        <v>0</v>
      </c>
      <c r="AN75" s="158">
        <f>SUM(DATA_Depts[[#This Row],[SDOT]])-SUM(Z75)</f>
        <v>0</v>
      </c>
      <c r="AO75" s="158">
        <f>SUM(DATA_Depts[[#This Row],[SDCI]])-SUM(AA75)</f>
        <v>0</v>
      </c>
      <c r="AP75" s="158">
        <f>SUM(DATA_Depts[[#This Row],[Libraries]])-SUM(AB75)</f>
        <v>0</v>
      </c>
      <c r="AQ75" s="158">
        <f>SUM(DATA_Depts[[#This Row],[SeaIT]])-SUM(AC75)</f>
        <v>0</v>
      </c>
      <c r="AR75" s="158">
        <f>SUM(DATA_Depts[[#This Row],[Seattle Ctr]])-SUM(AD75)</f>
        <v>0</v>
      </c>
      <c r="AS75" s="158">
        <f>SUM(DATA_Depts[[#This Row],[SCL]])-SUM(AE75)</f>
        <v>0</v>
      </c>
    </row>
    <row r="76" spans="1:45">
      <c r="A76" s="151">
        <v>72</v>
      </c>
      <c r="B76" s="5">
        <v>72</v>
      </c>
      <c r="C76" s="4" t="str">
        <f>_xlfn.SINGLE(VLOOKUP(B76,DisplayOrder!A:B,2,FALSE))</f>
        <v>Reserved-72</v>
      </c>
      <c r="D76" s="5" t="str">
        <f>_xlfn.SINGLE(VLOOKUP(B76,DisplayOrder!A:C,3,FALSE))</f>
        <v>each</v>
      </c>
      <c r="E76" s="2" t="s">
        <v>4382</v>
      </c>
      <c r="F76" s="153">
        <v>0</v>
      </c>
      <c r="G76" s="153">
        <v>0</v>
      </c>
      <c r="H76" s="153">
        <v>0</v>
      </c>
      <c r="I76" s="153">
        <v>0</v>
      </c>
      <c r="J76" s="153">
        <v>0</v>
      </c>
      <c r="K76" s="153">
        <v>0</v>
      </c>
      <c r="L76" s="153">
        <v>0</v>
      </c>
      <c r="M76" s="153">
        <v>0</v>
      </c>
      <c r="N76" s="153">
        <v>0</v>
      </c>
      <c r="O76" s="153">
        <v>0</v>
      </c>
      <c r="Q76" s="151">
        <v>72</v>
      </c>
      <c r="R76" s="5">
        <v>72</v>
      </c>
      <c r="S76" s="4" t="s">
        <v>146</v>
      </c>
      <c r="T76" s="5" t="s">
        <v>67</v>
      </c>
      <c r="U76" s="2" t="s">
        <v>4382</v>
      </c>
      <c r="V76" s="153">
        <v>0</v>
      </c>
      <c r="W76" s="153">
        <v>0</v>
      </c>
      <c r="X76" s="153">
        <v>0</v>
      </c>
      <c r="Y76" s="153">
        <v>0</v>
      </c>
      <c r="Z76" s="153">
        <v>0</v>
      </c>
      <c r="AA76" s="153">
        <v>0</v>
      </c>
      <c r="AB76" s="153">
        <v>0</v>
      </c>
      <c r="AC76" s="153">
        <v>0</v>
      </c>
      <c r="AD76" s="153">
        <v>0</v>
      </c>
      <c r="AE76" s="153">
        <v>0</v>
      </c>
      <c r="AG76" s="4" t="s">
        <v>146</v>
      </c>
      <c r="AH76" s="5" t="s">
        <v>67</v>
      </c>
      <c r="AI76" s="2" t="s">
        <v>4382</v>
      </c>
      <c r="AJ76" s="158">
        <f>SUM(DATA_Depts[[#This Row],[SFD]])-SUM(V76)</f>
        <v>0</v>
      </c>
      <c r="AK76" s="158">
        <f>SUM(DATA_Depts[[#This Row],[SPD]])-SUM(W76)</f>
        <v>0</v>
      </c>
      <c r="AL76" s="158">
        <f>SUM(DATA_Depts[[#This Row],[Parks]])-SUM(X76)</f>
        <v>0</v>
      </c>
      <c r="AM76" s="158">
        <f>SUM(DATA_Depts[[#This Row],[SPU]])-SUM(Y76)</f>
        <v>0</v>
      </c>
      <c r="AN76" s="158">
        <f>SUM(DATA_Depts[[#This Row],[SDOT]])-SUM(Z76)</f>
        <v>0</v>
      </c>
      <c r="AO76" s="158">
        <f>SUM(DATA_Depts[[#This Row],[SDCI]])-SUM(AA76)</f>
        <v>0</v>
      </c>
      <c r="AP76" s="158">
        <f>SUM(DATA_Depts[[#This Row],[Libraries]])-SUM(AB76)</f>
        <v>0</v>
      </c>
      <c r="AQ76" s="158">
        <f>SUM(DATA_Depts[[#This Row],[SeaIT]])-SUM(AC76)</f>
        <v>0</v>
      </c>
      <c r="AR76" s="158">
        <f>SUM(DATA_Depts[[#This Row],[Seattle Ctr]])-SUM(AD76)</f>
        <v>0</v>
      </c>
      <c r="AS76" s="158">
        <f>SUM(DATA_Depts[[#This Row],[SCL]])-SUM(AE76)</f>
        <v>0</v>
      </c>
    </row>
    <row r="77" spans="1:45">
      <c r="A77" s="151">
        <v>73</v>
      </c>
      <c r="B77" s="5">
        <v>73</v>
      </c>
      <c r="C77" s="4" t="str">
        <f>_xlfn.SINGLE(VLOOKUP(B77,DisplayOrder!A:B,2,FALSE))</f>
        <v>Reserved-73</v>
      </c>
      <c r="D77" s="5" t="str">
        <f>_xlfn.SINGLE(VLOOKUP(B77,DisplayOrder!A:C,3,FALSE))</f>
        <v>each</v>
      </c>
      <c r="E77" s="2" t="s">
        <v>4382</v>
      </c>
      <c r="F77" s="153">
        <v>0</v>
      </c>
      <c r="G77" s="153">
        <v>0</v>
      </c>
      <c r="H77" s="153">
        <v>0</v>
      </c>
      <c r="I77" s="153">
        <v>0</v>
      </c>
      <c r="J77" s="153">
        <v>0</v>
      </c>
      <c r="K77" s="153">
        <v>0</v>
      </c>
      <c r="L77" s="153">
        <v>0</v>
      </c>
      <c r="M77" s="153">
        <v>0</v>
      </c>
      <c r="N77" s="153">
        <v>0</v>
      </c>
      <c r="O77" s="153">
        <v>0</v>
      </c>
      <c r="Q77" s="151">
        <v>73</v>
      </c>
      <c r="R77" s="5">
        <v>73</v>
      </c>
      <c r="S77" s="4" t="s">
        <v>147</v>
      </c>
      <c r="T77" s="5" t="s">
        <v>67</v>
      </c>
      <c r="U77" s="2" t="s">
        <v>4382</v>
      </c>
      <c r="V77" s="153">
        <v>0</v>
      </c>
      <c r="W77" s="153">
        <v>0</v>
      </c>
      <c r="X77" s="153">
        <v>0</v>
      </c>
      <c r="Y77" s="153">
        <v>0</v>
      </c>
      <c r="Z77" s="153">
        <v>0</v>
      </c>
      <c r="AA77" s="153">
        <v>0</v>
      </c>
      <c r="AB77" s="153">
        <v>0</v>
      </c>
      <c r="AC77" s="153">
        <v>0</v>
      </c>
      <c r="AD77" s="153">
        <v>0</v>
      </c>
      <c r="AE77" s="153">
        <v>0</v>
      </c>
      <c r="AG77" s="4" t="s">
        <v>147</v>
      </c>
      <c r="AH77" s="5" t="s">
        <v>67</v>
      </c>
      <c r="AI77" s="2" t="s">
        <v>4382</v>
      </c>
      <c r="AJ77" s="158">
        <f>SUM(DATA_Depts[[#This Row],[SFD]])-SUM(V77)</f>
        <v>0</v>
      </c>
      <c r="AK77" s="158">
        <f>SUM(DATA_Depts[[#This Row],[SPD]])-SUM(W77)</f>
        <v>0</v>
      </c>
      <c r="AL77" s="158">
        <f>SUM(DATA_Depts[[#This Row],[Parks]])-SUM(X77)</f>
        <v>0</v>
      </c>
      <c r="AM77" s="158">
        <f>SUM(DATA_Depts[[#This Row],[SPU]])-SUM(Y77)</f>
        <v>0</v>
      </c>
      <c r="AN77" s="158">
        <f>SUM(DATA_Depts[[#This Row],[SDOT]])-SUM(Z77)</f>
        <v>0</v>
      </c>
      <c r="AO77" s="158">
        <f>SUM(DATA_Depts[[#This Row],[SDCI]])-SUM(AA77)</f>
        <v>0</v>
      </c>
      <c r="AP77" s="158">
        <f>SUM(DATA_Depts[[#This Row],[Libraries]])-SUM(AB77)</f>
        <v>0</v>
      </c>
      <c r="AQ77" s="158">
        <f>SUM(DATA_Depts[[#This Row],[SeaIT]])-SUM(AC77)</f>
        <v>0</v>
      </c>
      <c r="AR77" s="158">
        <f>SUM(DATA_Depts[[#This Row],[Seattle Ctr]])-SUM(AD77)</f>
        <v>0</v>
      </c>
      <c r="AS77" s="158">
        <f>SUM(DATA_Depts[[#This Row],[SCL]])-SUM(AE77)</f>
        <v>0</v>
      </c>
    </row>
    <row r="78" spans="1:45">
      <c r="A78" s="151">
        <v>74</v>
      </c>
      <c r="B78" s="5">
        <v>74</v>
      </c>
      <c r="C78" s="4" t="str">
        <f>_xlfn.SINGLE(VLOOKUP(B78,DisplayOrder!A:B,2,FALSE))</f>
        <v>Reserved-74</v>
      </c>
      <c r="D78" s="5" t="str">
        <f>_xlfn.SINGLE(VLOOKUP(B78,DisplayOrder!A:C,3,FALSE))</f>
        <v>each</v>
      </c>
      <c r="E78" s="2" t="s">
        <v>4382</v>
      </c>
      <c r="F78" s="153">
        <v>0</v>
      </c>
      <c r="G78" s="153">
        <v>0</v>
      </c>
      <c r="H78" s="153">
        <v>0</v>
      </c>
      <c r="I78" s="153">
        <v>0</v>
      </c>
      <c r="J78" s="153">
        <v>0</v>
      </c>
      <c r="K78" s="153">
        <v>0</v>
      </c>
      <c r="L78" s="153">
        <v>0</v>
      </c>
      <c r="M78" s="153">
        <v>0</v>
      </c>
      <c r="N78" s="153">
        <v>0</v>
      </c>
      <c r="O78" s="153">
        <v>0</v>
      </c>
      <c r="Q78" s="151">
        <v>74</v>
      </c>
      <c r="R78" s="5">
        <v>74</v>
      </c>
      <c r="S78" s="4" t="s">
        <v>148</v>
      </c>
      <c r="T78" s="5" t="s">
        <v>67</v>
      </c>
      <c r="U78" s="2" t="s">
        <v>4382</v>
      </c>
      <c r="V78" s="153">
        <v>0</v>
      </c>
      <c r="W78" s="153">
        <v>0</v>
      </c>
      <c r="X78" s="153">
        <v>0</v>
      </c>
      <c r="Y78" s="153">
        <v>0</v>
      </c>
      <c r="Z78" s="153">
        <v>0</v>
      </c>
      <c r="AA78" s="153">
        <v>0</v>
      </c>
      <c r="AB78" s="153">
        <v>0</v>
      </c>
      <c r="AC78" s="153">
        <v>0</v>
      </c>
      <c r="AD78" s="153">
        <v>0</v>
      </c>
      <c r="AE78" s="153">
        <v>0</v>
      </c>
      <c r="AG78" s="4" t="s">
        <v>148</v>
      </c>
      <c r="AH78" s="5" t="s">
        <v>67</v>
      </c>
      <c r="AI78" s="2" t="s">
        <v>4382</v>
      </c>
      <c r="AJ78" s="158">
        <f>SUM(DATA_Depts[[#This Row],[SFD]])-SUM(V78)</f>
        <v>0</v>
      </c>
      <c r="AK78" s="158">
        <f>SUM(DATA_Depts[[#This Row],[SPD]])-SUM(W78)</f>
        <v>0</v>
      </c>
      <c r="AL78" s="158">
        <f>SUM(DATA_Depts[[#This Row],[Parks]])-SUM(X78)</f>
        <v>0</v>
      </c>
      <c r="AM78" s="158">
        <f>SUM(DATA_Depts[[#This Row],[SPU]])-SUM(Y78)</f>
        <v>0</v>
      </c>
      <c r="AN78" s="158">
        <f>SUM(DATA_Depts[[#This Row],[SDOT]])-SUM(Z78)</f>
        <v>0</v>
      </c>
      <c r="AO78" s="158">
        <f>SUM(DATA_Depts[[#This Row],[SDCI]])-SUM(AA78)</f>
        <v>0</v>
      </c>
      <c r="AP78" s="158">
        <f>SUM(DATA_Depts[[#This Row],[Libraries]])-SUM(AB78)</f>
        <v>0</v>
      </c>
      <c r="AQ78" s="158">
        <f>SUM(DATA_Depts[[#This Row],[SeaIT]])-SUM(AC78)</f>
        <v>0</v>
      </c>
      <c r="AR78" s="158">
        <f>SUM(DATA_Depts[[#This Row],[Seattle Ctr]])-SUM(AD78)</f>
        <v>0</v>
      </c>
      <c r="AS78" s="158">
        <f>SUM(DATA_Depts[[#This Row],[SCL]])-SUM(AE78)</f>
        <v>0</v>
      </c>
    </row>
    <row r="79" spans="1:45">
      <c r="A79" s="151">
        <v>75</v>
      </c>
      <c r="B79" s="5">
        <v>75</v>
      </c>
      <c r="C79" s="4" t="str">
        <f>_xlfn.SINGLE(VLOOKUP(B79,DisplayOrder!A:B,2,FALSE))</f>
        <v>Reserved-75</v>
      </c>
      <c r="D79" s="5" t="str">
        <f>_xlfn.SINGLE(VLOOKUP(B79,DisplayOrder!A:C,3,FALSE))</f>
        <v>each</v>
      </c>
      <c r="E79" s="2" t="s">
        <v>4382</v>
      </c>
      <c r="F79" s="153">
        <v>0</v>
      </c>
      <c r="G79" s="153">
        <v>0</v>
      </c>
      <c r="H79" s="153">
        <v>0</v>
      </c>
      <c r="I79" s="153">
        <v>0</v>
      </c>
      <c r="J79" s="153">
        <v>0</v>
      </c>
      <c r="K79" s="153">
        <v>0</v>
      </c>
      <c r="L79" s="153">
        <v>0</v>
      </c>
      <c r="M79" s="153">
        <v>0</v>
      </c>
      <c r="N79" s="153">
        <v>0</v>
      </c>
      <c r="O79" s="153">
        <v>0</v>
      </c>
      <c r="Q79" s="151">
        <v>75</v>
      </c>
      <c r="R79" s="5">
        <v>75</v>
      </c>
      <c r="S79" s="4" t="s">
        <v>149</v>
      </c>
      <c r="T79" s="5" t="s">
        <v>67</v>
      </c>
      <c r="U79" s="2" t="s">
        <v>4382</v>
      </c>
      <c r="V79" s="153">
        <v>0</v>
      </c>
      <c r="W79" s="153">
        <v>0</v>
      </c>
      <c r="X79" s="153">
        <v>0</v>
      </c>
      <c r="Y79" s="153">
        <v>0</v>
      </c>
      <c r="Z79" s="153">
        <v>0</v>
      </c>
      <c r="AA79" s="153">
        <v>0</v>
      </c>
      <c r="AB79" s="153">
        <v>0</v>
      </c>
      <c r="AC79" s="153">
        <v>0</v>
      </c>
      <c r="AD79" s="153">
        <v>0</v>
      </c>
      <c r="AE79" s="153">
        <v>0</v>
      </c>
      <c r="AG79" s="4" t="s">
        <v>149</v>
      </c>
      <c r="AH79" s="5" t="s">
        <v>67</v>
      </c>
      <c r="AI79" s="2" t="s">
        <v>4382</v>
      </c>
      <c r="AJ79" s="158">
        <f>SUM(DATA_Depts[[#This Row],[SFD]])-SUM(V79)</f>
        <v>0</v>
      </c>
      <c r="AK79" s="158">
        <f>SUM(DATA_Depts[[#This Row],[SPD]])-SUM(W79)</f>
        <v>0</v>
      </c>
      <c r="AL79" s="158">
        <f>SUM(DATA_Depts[[#This Row],[Parks]])-SUM(X79)</f>
        <v>0</v>
      </c>
      <c r="AM79" s="158">
        <f>SUM(DATA_Depts[[#This Row],[SPU]])-SUM(Y79)</f>
        <v>0</v>
      </c>
      <c r="AN79" s="158">
        <f>SUM(DATA_Depts[[#This Row],[SDOT]])-SUM(Z79)</f>
        <v>0</v>
      </c>
      <c r="AO79" s="158">
        <f>SUM(DATA_Depts[[#This Row],[SDCI]])-SUM(AA79)</f>
        <v>0</v>
      </c>
      <c r="AP79" s="158">
        <f>SUM(DATA_Depts[[#This Row],[Libraries]])-SUM(AB79)</f>
        <v>0</v>
      </c>
      <c r="AQ79" s="158">
        <f>SUM(DATA_Depts[[#This Row],[SeaIT]])-SUM(AC79)</f>
        <v>0</v>
      </c>
      <c r="AR79" s="158">
        <f>SUM(DATA_Depts[[#This Row],[Seattle Ctr]])-SUM(AD79)</f>
        <v>0</v>
      </c>
      <c r="AS79" s="158">
        <f>SUM(DATA_Depts[[#This Row],[SCL]])-SUM(AE79)</f>
        <v>0</v>
      </c>
    </row>
    <row r="80" spans="1:45">
      <c r="A80" s="151">
        <v>76</v>
      </c>
      <c r="B80" s="5">
        <v>76</v>
      </c>
      <c r="C80" s="4" t="str">
        <f>_xlfn.SINGLE(VLOOKUP(B80,DisplayOrder!A:B,2,FALSE))</f>
        <v>Reserved-76</v>
      </c>
      <c r="D80" s="5" t="str">
        <f>_xlfn.SINGLE(VLOOKUP(B80,DisplayOrder!A:C,3,FALSE))</f>
        <v>each</v>
      </c>
      <c r="E80" s="2" t="s">
        <v>4382</v>
      </c>
      <c r="F80" s="153">
        <v>0</v>
      </c>
      <c r="G80" s="153">
        <v>0</v>
      </c>
      <c r="H80" s="153">
        <v>0</v>
      </c>
      <c r="I80" s="153">
        <v>0</v>
      </c>
      <c r="J80" s="153">
        <v>0</v>
      </c>
      <c r="K80" s="153">
        <v>0</v>
      </c>
      <c r="L80" s="153">
        <v>0</v>
      </c>
      <c r="M80" s="153">
        <v>0</v>
      </c>
      <c r="N80" s="153">
        <v>0</v>
      </c>
      <c r="O80" s="153">
        <v>0</v>
      </c>
      <c r="Q80" s="151">
        <v>76</v>
      </c>
      <c r="R80" s="5">
        <v>76</v>
      </c>
      <c r="S80" s="4" t="s">
        <v>150</v>
      </c>
      <c r="T80" s="5" t="s">
        <v>67</v>
      </c>
      <c r="U80" s="2" t="s">
        <v>4382</v>
      </c>
      <c r="V80" s="153">
        <v>0</v>
      </c>
      <c r="W80" s="153">
        <v>0</v>
      </c>
      <c r="X80" s="153">
        <v>0</v>
      </c>
      <c r="Y80" s="153">
        <v>0</v>
      </c>
      <c r="Z80" s="153">
        <v>0</v>
      </c>
      <c r="AA80" s="153">
        <v>0</v>
      </c>
      <c r="AB80" s="153">
        <v>0</v>
      </c>
      <c r="AC80" s="153">
        <v>0</v>
      </c>
      <c r="AD80" s="153">
        <v>0</v>
      </c>
      <c r="AE80" s="153">
        <v>0</v>
      </c>
      <c r="AG80" s="4" t="s">
        <v>150</v>
      </c>
      <c r="AH80" s="5" t="s">
        <v>67</v>
      </c>
      <c r="AI80" s="2" t="s">
        <v>4382</v>
      </c>
      <c r="AJ80" s="158">
        <f>SUM(DATA_Depts[[#This Row],[SFD]])-SUM(V80)</f>
        <v>0</v>
      </c>
      <c r="AK80" s="158">
        <f>SUM(DATA_Depts[[#This Row],[SPD]])-SUM(W80)</f>
        <v>0</v>
      </c>
      <c r="AL80" s="158">
        <f>SUM(DATA_Depts[[#This Row],[Parks]])-SUM(X80)</f>
        <v>0</v>
      </c>
      <c r="AM80" s="158">
        <f>SUM(DATA_Depts[[#This Row],[SPU]])-SUM(Y80)</f>
        <v>0</v>
      </c>
      <c r="AN80" s="158">
        <f>SUM(DATA_Depts[[#This Row],[SDOT]])-SUM(Z80)</f>
        <v>0</v>
      </c>
      <c r="AO80" s="158">
        <f>SUM(DATA_Depts[[#This Row],[SDCI]])-SUM(AA80)</f>
        <v>0</v>
      </c>
      <c r="AP80" s="158">
        <f>SUM(DATA_Depts[[#This Row],[Libraries]])-SUM(AB80)</f>
        <v>0</v>
      </c>
      <c r="AQ80" s="158">
        <f>SUM(DATA_Depts[[#This Row],[SeaIT]])-SUM(AC80)</f>
        <v>0</v>
      </c>
      <c r="AR80" s="158">
        <f>SUM(DATA_Depts[[#This Row],[Seattle Ctr]])-SUM(AD80)</f>
        <v>0</v>
      </c>
      <c r="AS80" s="158">
        <f>SUM(DATA_Depts[[#This Row],[SCL]])-SUM(AE80)</f>
        <v>0</v>
      </c>
    </row>
    <row r="81" spans="1:45">
      <c r="A81" s="151">
        <v>77</v>
      </c>
      <c r="B81" s="5">
        <v>77</v>
      </c>
      <c r="C81" s="4" t="str">
        <f>_xlfn.SINGLE(VLOOKUP(B81,DisplayOrder!A:B,2,FALSE))</f>
        <v>Reserved-77</v>
      </c>
      <c r="D81" s="5" t="str">
        <f>_xlfn.SINGLE(VLOOKUP(B81,DisplayOrder!A:C,3,FALSE))</f>
        <v>each</v>
      </c>
      <c r="E81" s="2" t="s">
        <v>4382</v>
      </c>
      <c r="F81" s="153">
        <v>0</v>
      </c>
      <c r="G81" s="153">
        <v>0</v>
      </c>
      <c r="H81" s="153">
        <v>0</v>
      </c>
      <c r="I81" s="153">
        <v>0</v>
      </c>
      <c r="J81" s="153">
        <v>0</v>
      </c>
      <c r="K81" s="153">
        <v>0</v>
      </c>
      <c r="L81" s="153">
        <v>0</v>
      </c>
      <c r="M81" s="153">
        <v>0</v>
      </c>
      <c r="N81" s="153">
        <v>0</v>
      </c>
      <c r="O81" s="153">
        <v>0</v>
      </c>
      <c r="Q81" s="151">
        <v>77</v>
      </c>
      <c r="R81" s="5">
        <v>77</v>
      </c>
      <c r="S81" s="4" t="s">
        <v>151</v>
      </c>
      <c r="T81" s="5" t="s">
        <v>67</v>
      </c>
      <c r="U81" s="2" t="s">
        <v>4382</v>
      </c>
      <c r="V81" s="153">
        <v>0</v>
      </c>
      <c r="W81" s="153">
        <v>0</v>
      </c>
      <c r="X81" s="153">
        <v>0</v>
      </c>
      <c r="Y81" s="153">
        <v>0</v>
      </c>
      <c r="Z81" s="153">
        <v>0</v>
      </c>
      <c r="AA81" s="153">
        <v>0</v>
      </c>
      <c r="AB81" s="153">
        <v>0</v>
      </c>
      <c r="AC81" s="153">
        <v>0</v>
      </c>
      <c r="AD81" s="153">
        <v>0</v>
      </c>
      <c r="AE81" s="153">
        <v>0</v>
      </c>
      <c r="AG81" s="4" t="s">
        <v>151</v>
      </c>
      <c r="AH81" s="5" t="s">
        <v>67</v>
      </c>
      <c r="AI81" s="2" t="s">
        <v>4382</v>
      </c>
      <c r="AJ81" s="158">
        <f>SUM(DATA_Depts[[#This Row],[SFD]])-SUM(V81)</f>
        <v>0</v>
      </c>
      <c r="AK81" s="158">
        <f>SUM(DATA_Depts[[#This Row],[SPD]])-SUM(W81)</f>
        <v>0</v>
      </c>
      <c r="AL81" s="158">
        <f>SUM(DATA_Depts[[#This Row],[Parks]])-SUM(X81)</f>
        <v>0</v>
      </c>
      <c r="AM81" s="158">
        <f>SUM(DATA_Depts[[#This Row],[SPU]])-SUM(Y81)</f>
        <v>0</v>
      </c>
      <c r="AN81" s="158">
        <f>SUM(DATA_Depts[[#This Row],[SDOT]])-SUM(Z81)</f>
        <v>0</v>
      </c>
      <c r="AO81" s="158">
        <f>SUM(DATA_Depts[[#This Row],[SDCI]])-SUM(AA81)</f>
        <v>0</v>
      </c>
      <c r="AP81" s="158">
        <f>SUM(DATA_Depts[[#This Row],[Libraries]])-SUM(AB81)</f>
        <v>0</v>
      </c>
      <c r="AQ81" s="158">
        <f>SUM(DATA_Depts[[#This Row],[SeaIT]])-SUM(AC81)</f>
        <v>0</v>
      </c>
      <c r="AR81" s="158">
        <f>SUM(DATA_Depts[[#This Row],[Seattle Ctr]])-SUM(AD81)</f>
        <v>0</v>
      </c>
      <c r="AS81" s="158">
        <f>SUM(DATA_Depts[[#This Row],[SCL]])-SUM(AE81)</f>
        <v>0</v>
      </c>
    </row>
    <row r="82" spans="1:45">
      <c r="A82" s="151">
        <v>78</v>
      </c>
      <c r="B82" s="5">
        <v>78</v>
      </c>
      <c r="C82" s="4" t="str">
        <f>_xlfn.SINGLE(VLOOKUP(B82,DisplayOrder!A:B,2,FALSE))</f>
        <v>Reserved-78</v>
      </c>
      <c r="D82" s="5" t="str">
        <f>_xlfn.SINGLE(VLOOKUP(B82,DisplayOrder!A:C,3,FALSE))</f>
        <v>each</v>
      </c>
      <c r="E82" s="2" t="s">
        <v>4382</v>
      </c>
      <c r="F82" s="153">
        <v>0</v>
      </c>
      <c r="G82" s="153">
        <v>0</v>
      </c>
      <c r="H82" s="153">
        <v>0</v>
      </c>
      <c r="I82" s="153">
        <v>0</v>
      </c>
      <c r="J82" s="153">
        <v>0</v>
      </c>
      <c r="K82" s="153">
        <v>0</v>
      </c>
      <c r="L82" s="153">
        <v>0</v>
      </c>
      <c r="M82" s="153">
        <v>0</v>
      </c>
      <c r="N82" s="153">
        <v>0</v>
      </c>
      <c r="O82" s="153">
        <v>0</v>
      </c>
      <c r="Q82" s="151">
        <v>78</v>
      </c>
      <c r="R82" s="5">
        <v>78</v>
      </c>
      <c r="S82" s="4" t="s">
        <v>152</v>
      </c>
      <c r="T82" s="5" t="s">
        <v>67</v>
      </c>
      <c r="U82" s="2" t="s">
        <v>4382</v>
      </c>
      <c r="V82" s="153">
        <v>0</v>
      </c>
      <c r="W82" s="153">
        <v>0</v>
      </c>
      <c r="X82" s="153">
        <v>0</v>
      </c>
      <c r="Y82" s="153">
        <v>0</v>
      </c>
      <c r="Z82" s="153">
        <v>0</v>
      </c>
      <c r="AA82" s="153">
        <v>0</v>
      </c>
      <c r="AB82" s="153">
        <v>0</v>
      </c>
      <c r="AC82" s="153">
        <v>0</v>
      </c>
      <c r="AD82" s="153">
        <v>0</v>
      </c>
      <c r="AE82" s="153">
        <v>0</v>
      </c>
      <c r="AG82" s="4" t="s">
        <v>152</v>
      </c>
      <c r="AH82" s="5" t="s">
        <v>67</v>
      </c>
      <c r="AI82" s="2" t="s">
        <v>4382</v>
      </c>
      <c r="AJ82" s="158">
        <f>SUM(DATA_Depts[[#This Row],[SFD]])-SUM(V82)</f>
        <v>0</v>
      </c>
      <c r="AK82" s="158">
        <f>SUM(DATA_Depts[[#This Row],[SPD]])-SUM(W82)</f>
        <v>0</v>
      </c>
      <c r="AL82" s="158">
        <f>SUM(DATA_Depts[[#This Row],[Parks]])-SUM(X82)</f>
        <v>0</v>
      </c>
      <c r="AM82" s="158">
        <f>SUM(DATA_Depts[[#This Row],[SPU]])-SUM(Y82)</f>
        <v>0</v>
      </c>
      <c r="AN82" s="158">
        <f>SUM(DATA_Depts[[#This Row],[SDOT]])-SUM(Z82)</f>
        <v>0</v>
      </c>
      <c r="AO82" s="158">
        <f>SUM(DATA_Depts[[#This Row],[SDCI]])-SUM(AA82)</f>
        <v>0</v>
      </c>
      <c r="AP82" s="158">
        <f>SUM(DATA_Depts[[#This Row],[Libraries]])-SUM(AB82)</f>
        <v>0</v>
      </c>
      <c r="AQ82" s="158">
        <f>SUM(DATA_Depts[[#This Row],[SeaIT]])-SUM(AC82)</f>
        <v>0</v>
      </c>
      <c r="AR82" s="158">
        <f>SUM(DATA_Depts[[#This Row],[Seattle Ctr]])-SUM(AD82)</f>
        <v>0</v>
      </c>
      <c r="AS82" s="158">
        <f>SUM(DATA_Depts[[#This Row],[SCL]])-SUM(AE82)</f>
        <v>0</v>
      </c>
    </row>
    <row r="83" spans="1:45">
      <c r="A83" s="151">
        <v>79</v>
      </c>
      <c r="B83" s="5">
        <v>79</v>
      </c>
      <c r="C83" s="4" t="str">
        <f>_xlfn.SINGLE(VLOOKUP(B83,DisplayOrder!A:B,2,FALSE))</f>
        <v>Reserved-79</v>
      </c>
      <c r="D83" s="5" t="str">
        <f>_xlfn.SINGLE(VLOOKUP(B83,DisplayOrder!A:C,3,FALSE))</f>
        <v>each</v>
      </c>
      <c r="E83" s="2" t="s">
        <v>4382</v>
      </c>
      <c r="F83" s="153">
        <v>0</v>
      </c>
      <c r="G83" s="153">
        <v>0</v>
      </c>
      <c r="H83" s="153">
        <v>0</v>
      </c>
      <c r="I83" s="153">
        <v>0</v>
      </c>
      <c r="J83" s="153">
        <v>0</v>
      </c>
      <c r="K83" s="153">
        <v>0</v>
      </c>
      <c r="L83" s="153">
        <v>0</v>
      </c>
      <c r="M83" s="153">
        <v>0</v>
      </c>
      <c r="N83" s="153">
        <v>0</v>
      </c>
      <c r="O83" s="153">
        <v>0</v>
      </c>
      <c r="Q83" s="151">
        <v>79</v>
      </c>
      <c r="R83" s="5">
        <v>79</v>
      </c>
      <c r="S83" s="4" t="s">
        <v>153</v>
      </c>
      <c r="T83" s="5" t="s">
        <v>67</v>
      </c>
      <c r="U83" s="2" t="s">
        <v>4382</v>
      </c>
      <c r="V83" s="153">
        <v>0</v>
      </c>
      <c r="W83" s="153">
        <v>0</v>
      </c>
      <c r="X83" s="153">
        <v>0</v>
      </c>
      <c r="Y83" s="153">
        <v>0</v>
      </c>
      <c r="Z83" s="153">
        <v>0</v>
      </c>
      <c r="AA83" s="153">
        <v>0</v>
      </c>
      <c r="AB83" s="153">
        <v>0</v>
      </c>
      <c r="AC83" s="153">
        <v>0</v>
      </c>
      <c r="AD83" s="153">
        <v>0</v>
      </c>
      <c r="AE83" s="153">
        <v>0</v>
      </c>
      <c r="AG83" s="4" t="s">
        <v>153</v>
      </c>
      <c r="AH83" s="5" t="s">
        <v>67</v>
      </c>
      <c r="AI83" s="2" t="s">
        <v>4382</v>
      </c>
      <c r="AJ83" s="158">
        <f>SUM(DATA_Depts[[#This Row],[SFD]])-SUM(V83)</f>
        <v>0</v>
      </c>
      <c r="AK83" s="158">
        <f>SUM(DATA_Depts[[#This Row],[SPD]])-SUM(W83)</f>
        <v>0</v>
      </c>
      <c r="AL83" s="158">
        <f>SUM(DATA_Depts[[#This Row],[Parks]])-SUM(X83)</f>
        <v>0</v>
      </c>
      <c r="AM83" s="158">
        <f>SUM(DATA_Depts[[#This Row],[SPU]])-SUM(Y83)</f>
        <v>0</v>
      </c>
      <c r="AN83" s="158">
        <f>SUM(DATA_Depts[[#This Row],[SDOT]])-SUM(Z83)</f>
        <v>0</v>
      </c>
      <c r="AO83" s="158">
        <f>SUM(DATA_Depts[[#This Row],[SDCI]])-SUM(AA83)</f>
        <v>0</v>
      </c>
      <c r="AP83" s="158">
        <f>SUM(DATA_Depts[[#This Row],[Libraries]])-SUM(AB83)</f>
        <v>0</v>
      </c>
      <c r="AQ83" s="158">
        <f>SUM(DATA_Depts[[#This Row],[SeaIT]])-SUM(AC83)</f>
        <v>0</v>
      </c>
      <c r="AR83" s="158">
        <f>SUM(DATA_Depts[[#This Row],[Seattle Ctr]])-SUM(AD83)</f>
        <v>0</v>
      </c>
      <c r="AS83" s="158">
        <f>SUM(DATA_Depts[[#This Row],[SCL]])-SUM(AE83)</f>
        <v>0</v>
      </c>
    </row>
    <row r="84" spans="1:45">
      <c r="A84" s="151">
        <v>80</v>
      </c>
      <c r="B84" s="5">
        <v>80</v>
      </c>
      <c r="C84" s="4" t="str">
        <f>_xlfn.SINGLE(VLOOKUP(B84,DisplayOrder!A:B,2,FALSE))</f>
        <v>Reserved-80</v>
      </c>
      <c r="D84" s="5" t="str">
        <f>_xlfn.SINGLE(VLOOKUP(B84,DisplayOrder!A:C,3,FALSE))</f>
        <v>each</v>
      </c>
      <c r="E84" s="2" t="s">
        <v>4382</v>
      </c>
      <c r="F84" s="153">
        <v>0</v>
      </c>
      <c r="G84" s="153">
        <v>0</v>
      </c>
      <c r="H84" s="153">
        <v>0</v>
      </c>
      <c r="I84" s="153">
        <v>0</v>
      </c>
      <c r="J84" s="153">
        <v>0</v>
      </c>
      <c r="K84" s="153">
        <v>0</v>
      </c>
      <c r="L84" s="153">
        <v>0</v>
      </c>
      <c r="M84" s="153">
        <v>0</v>
      </c>
      <c r="N84" s="153">
        <v>0</v>
      </c>
      <c r="O84" s="153">
        <v>0</v>
      </c>
      <c r="Q84" s="151">
        <v>80</v>
      </c>
      <c r="R84" s="5">
        <v>80</v>
      </c>
      <c r="S84" s="4" t="s">
        <v>154</v>
      </c>
      <c r="T84" s="5" t="s">
        <v>67</v>
      </c>
      <c r="U84" s="2" t="s">
        <v>4382</v>
      </c>
      <c r="V84" s="153">
        <v>0</v>
      </c>
      <c r="W84" s="153">
        <v>0</v>
      </c>
      <c r="X84" s="153">
        <v>0</v>
      </c>
      <c r="Y84" s="153">
        <v>0</v>
      </c>
      <c r="Z84" s="153">
        <v>0</v>
      </c>
      <c r="AA84" s="153">
        <v>0</v>
      </c>
      <c r="AB84" s="153">
        <v>0</v>
      </c>
      <c r="AC84" s="153">
        <v>0</v>
      </c>
      <c r="AD84" s="153">
        <v>0</v>
      </c>
      <c r="AE84" s="153">
        <v>0</v>
      </c>
      <c r="AG84" s="4" t="s">
        <v>154</v>
      </c>
      <c r="AH84" s="5" t="s">
        <v>67</v>
      </c>
      <c r="AI84" s="2" t="s">
        <v>4382</v>
      </c>
      <c r="AJ84" s="158">
        <f>SUM(DATA_Depts[[#This Row],[SFD]])-SUM(V84)</f>
        <v>0</v>
      </c>
      <c r="AK84" s="158">
        <f>SUM(DATA_Depts[[#This Row],[SPD]])-SUM(W84)</f>
        <v>0</v>
      </c>
      <c r="AL84" s="158">
        <f>SUM(DATA_Depts[[#This Row],[Parks]])-SUM(X84)</f>
        <v>0</v>
      </c>
      <c r="AM84" s="158">
        <f>SUM(DATA_Depts[[#This Row],[SPU]])-SUM(Y84)</f>
        <v>0</v>
      </c>
      <c r="AN84" s="158">
        <f>SUM(DATA_Depts[[#This Row],[SDOT]])-SUM(Z84)</f>
        <v>0</v>
      </c>
      <c r="AO84" s="158">
        <f>SUM(DATA_Depts[[#This Row],[SDCI]])-SUM(AA84)</f>
        <v>0</v>
      </c>
      <c r="AP84" s="158">
        <f>SUM(DATA_Depts[[#This Row],[Libraries]])-SUM(AB84)</f>
        <v>0</v>
      </c>
      <c r="AQ84" s="158">
        <f>SUM(DATA_Depts[[#This Row],[SeaIT]])-SUM(AC84)</f>
        <v>0</v>
      </c>
      <c r="AR84" s="158">
        <f>SUM(DATA_Depts[[#This Row],[Seattle Ctr]])-SUM(AD84)</f>
        <v>0</v>
      </c>
      <c r="AS84" s="158">
        <f>SUM(DATA_Depts[[#This Row],[SCL]])-SUM(AE84)</f>
        <v>0</v>
      </c>
    </row>
    <row r="85" spans="1:45">
      <c r="A85" s="151">
        <v>81</v>
      </c>
      <c r="B85" s="5">
        <v>81</v>
      </c>
      <c r="C85" s="4" t="str">
        <f>_xlfn.SINGLE(VLOOKUP(B85,DisplayOrder!A:B,2,FALSE))</f>
        <v>Reserved-81</v>
      </c>
      <c r="D85" s="5" t="str">
        <f>_xlfn.SINGLE(VLOOKUP(B85,DisplayOrder!A:C,3,FALSE))</f>
        <v>each</v>
      </c>
      <c r="E85" s="2" t="s">
        <v>4382</v>
      </c>
      <c r="F85" s="153">
        <v>0</v>
      </c>
      <c r="G85" s="153">
        <v>0</v>
      </c>
      <c r="H85" s="153">
        <v>0</v>
      </c>
      <c r="I85" s="153">
        <v>0</v>
      </c>
      <c r="J85" s="153">
        <v>0</v>
      </c>
      <c r="K85" s="153">
        <v>0</v>
      </c>
      <c r="L85" s="153">
        <v>0</v>
      </c>
      <c r="M85" s="153">
        <v>0</v>
      </c>
      <c r="N85" s="153">
        <v>0</v>
      </c>
      <c r="O85" s="153">
        <v>0</v>
      </c>
      <c r="Q85" s="151">
        <v>81</v>
      </c>
      <c r="R85" s="5">
        <v>81</v>
      </c>
      <c r="S85" s="4" t="s">
        <v>155</v>
      </c>
      <c r="T85" s="5" t="s">
        <v>67</v>
      </c>
      <c r="U85" s="2" t="s">
        <v>4382</v>
      </c>
      <c r="V85" s="153">
        <v>0</v>
      </c>
      <c r="W85" s="153">
        <v>0</v>
      </c>
      <c r="X85" s="153">
        <v>0</v>
      </c>
      <c r="Y85" s="153">
        <v>0</v>
      </c>
      <c r="Z85" s="153">
        <v>0</v>
      </c>
      <c r="AA85" s="153">
        <v>0</v>
      </c>
      <c r="AB85" s="153">
        <v>0</v>
      </c>
      <c r="AC85" s="153">
        <v>0</v>
      </c>
      <c r="AD85" s="153">
        <v>0</v>
      </c>
      <c r="AE85" s="153">
        <v>0</v>
      </c>
      <c r="AG85" s="4" t="s">
        <v>155</v>
      </c>
      <c r="AH85" s="5" t="s">
        <v>67</v>
      </c>
      <c r="AI85" s="2" t="s">
        <v>4382</v>
      </c>
      <c r="AJ85" s="158">
        <f>SUM(DATA_Depts[[#This Row],[SFD]])-SUM(V85)</f>
        <v>0</v>
      </c>
      <c r="AK85" s="158">
        <f>SUM(DATA_Depts[[#This Row],[SPD]])-SUM(W85)</f>
        <v>0</v>
      </c>
      <c r="AL85" s="158">
        <f>SUM(DATA_Depts[[#This Row],[Parks]])-SUM(X85)</f>
        <v>0</v>
      </c>
      <c r="AM85" s="158">
        <f>SUM(DATA_Depts[[#This Row],[SPU]])-SUM(Y85)</f>
        <v>0</v>
      </c>
      <c r="AN85" s="158">
        <f>SUM(DATA_Depts[[#This Row],[SDOT]])-SUM(Z85)</f>
        <v>0</v>
      </c>
      <c r="AO85" s="158">
        <f>SUM(DATA_Depts[[#This Row],[SDCI]])-SUM(AA85)</f>
        <v>0</v>
      </c>
      <c r="AP85" s="158">
        <f>SUM(DATA_Depts[[#This Row],[Libraries]])-SUM(AB85)</f>
        <v>0</v>
      </c>
      <c r="AQ85" s="158">
        <f>SUM(DATA_Depts[[#This Row],[SeaIT]])-SUM(AC85)</f>
        <v>0</v>
      </c>
      <c r="AR85" s="158">
        <f>SUM(DATA_Depts[[#This Row],[Seattle Ctr]])-SUM(AD85)</f>
        <v>0</v>
      </c>
      <c r="AS85" s="158">
        <f>SUM(DATA_Depts[[#This Row],[SCL]])-SUM(AE85)</f>
        <v>0</v>
      </c>
    </row>
    <row r="86" spans="1:45">
      <c r="A86" s="151">
        <v>82</v>
      </c>
      <c r="B86" s="5">
        <v>82</v>
      </c>
      <c r="C86" s="4" t="str">
        <f>_xlfn.SINGLE(VLOOKUP(B86,DisplayOrder!A:B,2,FALSE))</f>
        <v>Reserved-82</v>
      </c>
      <c r="D86" s="5" t="str">
        <f>_xlfn.SINGLE(VLOOKUP(B86,DisplayOrder!A:C,3,FALSE))</f>
        <v>each</v>
      </c>
      <c r="E86" s="2" t="s">
        <v>4382</v>
      </c>
      <c r="F86" s="153">
        <v>0</v>
      </c>
      <c r="G86" s="153">
        <v>0</v>
      </c>
      <c r="H86" s="153">
        <v>0</v>
      </c>
      <c r="I86" s="153">
        <v>0</v>
      </c>
      <c r="J86" s="153">
        <v>0</v>
      </c>
      <c r="K86" s="153">
        <v>0</v>
      </c>
      <c r="L86" s="153">
        <v>0</v>
      </c>
      <c r="M86" s="153">
        <v>0</v>
      </c>
      <c r="N86" s="153">
        <v>0</v>
      </c>
      <c r="O86" s="153">
        <v>0</v>
      </c>
      <c r="Q86" s="151">
        <v>82</v>
      </c>
      <c r="R86" s="5">
        <v>82</v>
      </c>
      <c r="S86" s="4" t="s">
        <v>156</v>
      </c>
      <c r="T86" s="5" t="s">
        <v>67</v>
      </c>
      <c r="U86" s="2" t="s">
        <v>4382</v>
      </c>
      <c r="V86" s="153">
        <v>0</v>
      </c>
      <c r="W86" s="153">
        <v>0</v>
      </c>
      <c r="X86" s="153">
        <v>0</v>
      </c>
      <c r="Y86" s="153">
        <v>0</v>
      </c>
      <c r="Z86" s="153">
        <v>0</v>
      </c>
      <c r="AA86" s="153">
        <v>0</v>
      </c>
      <c r="AB86" s="153">
        <v>0</v>
      </c>
      <c r="AC86" s="153">
        <v>0</v>
      </c>
      <c r="AD86" s="153">
        <v>0</v>
      </c>
      <c r="AE86" s="153">
        <v>0</v>
      </c>
      <c r="AG86" s="4" t="s">
        <v>156</v>
      </c>
      <c r="AH86" s="5" t="s">
        <v>67</v>
      </c>
      <c r="AI86" s="2" t="s">
        <v>4382</v>
      </c>
      <c r="AJ86" s="158">
        <f>SUM(DATA_Depts[[#This Row],[SFD]])-SUM(V86)</f>
        <v>0</v>
      </c>
      <c r="AK86" s="158">
        <f>SUM(DATA_Depts[[#This Row],[SPD]])-SUM(W86)</f>
        <v>0</v>
      </c>
      <c r="AL86" s="158">
        <f>SUM(DATA_Depts[[#This Row],[Parks]])-SUM(X86)</f>
        <v>0</v>
      </c>
      <c r="AM86" s="158">
        <f>SUM(DATA_Depts[[#This Row],[SPU]])-SUM(Y86)</f>
        <v>0</v>
      </c>
      <c r="AN86" s="158">
        <f>SUM(DATA_Depts[[#This Row],[SDOT]])-SUM(Z86)</f>
        <v>0</v>
      </c>
      <c r="AO86" s="158">
        <f>SUM(DATA_Depts[[#This Row],[SDCI]])-SUM(AA86)</f>
        <v>0</v>
      </c>
      <c r="AP86" s="158">
        <f>SUM(DATA_Depts[[#This Row],[Libraries]])-SUM(AB86)</f>
        <v>0</v>
      </c>
      <c r="AQ86" s="158">
        <f>SUM(DATA_Depts[[#This Row],[SeaIT]])-SUM(AC86)</f>
        <v>0</v>
      </c>
      <c r="AR86" s="158">
        <f>SUM(DATA_Depts[[#This Row],[Seattle Ctr]])-SUM(AD86)</f>
        <v>0</v>
      </c>
      <c r="AS86" s="158">
        <f>SUM(DATA_Depts[[#This Row],[SCL]])-SUM(AE86)</f>
        <v>0</v>
      </c>
    </row>
    <row r="87" spans="1:45">
      <c r="A87" s="151">
        <v>83</v>
      </c>
      <c r="B87" s="5">
        <v>83</v>
      </c>
      <c r="C87" s="4" t="str">
        <f>_xlfn.SINGLE(VLOOKUP(B87,DisplayOrder!A:B,2,FALSE))</f>
        <v>Reserved-83</v>
      </c>
      <c r="D87" s="5" t="str">
        <f>_xlfn.SINGLE(VLOOKUP(B87,DisplayOrder!A:C,3,FALSE))</f>
        <v>each</v>
      </c>
      <c r="E87" s="2" t="s">
        <v>4382</v>
      </c>
      <c r="F87" s="153">
        <v>0</v>
      </c>
      <c r="G87" s="153">
        <v>0</v>
      </c>
      <c r="H87" s="153">
        <v>0</v>
      </c>
      <c r="I87" s="153">
        <v>0</v>
      </c>
      <c r="J87" s="153">
        <v>0</v>
      </c>
      <c r="K87" s="153">
        <v>0</v>
      </c>
      <c r="L87" s="153">
        <v>0</v>
      </c>
      <c r="M87" s="153">
        <v>0</v>
      </c>
      <c r="N87" s="153">
        <v>0</v>
      </c>
      <c r="O87" s="153">
        <v>0</v>
      </c>
      <c r="Q87" s="151">
        <v>83</v>
      </c>
      <c r="R87" s="5">
        <v>83</v>
      </c>
      <c r="S87" s="4" t="s">
        <v>157</v>
      </c>
      <c r="T87" s="5" t="s">
        <v>67</v>
      </c>
      <c r="U87" s="2" t="s">
        <v>4382</v>
      </c>
      <c r="V87" s="153">
        <v>0</v>
      </c>
      <c r="W87" s="153">
        <v>0</v>
      </c>
      <c r="X87" s="153">
        <v>0</v>
      </c>
      <c r="Y87" s="153">
        <v>0</v>
      </c>
      <c r="Z87" s="153">
        <v>0</v>
      </c>
      <c r="AA87" s="153">
        <v>0</v>
      </c>
      <c r="AB87" s="153">
        <v>0</v>
      </c>
      <c r="AC87" s="153">
        <v>0</v>
      </c>
      <c r="AD87" s="153">
        <v>0</v>
      </c>
      <c r="AE87" s="153">
        <v>0</v>
      </c>
      <c r="AG87" s="4" t="s">
        <v>157</v>
      </c>
      <c r="AH87" s="5" t="s">
        <v>67</v>
      </c>
      <c r="AI87" s="2" t="s">
        <v>4382</v>
      </c>
      <c r="AJ87" s="158">
        <f>SUM(DATA_Depts[[#This Row],[SFD]])-SUM(V87)</f>
        <v>0</v>
      </c>
      <c r="AK87" s="158">
        <f>SUM(DATA_Depts[[#This Row],[SPD]])-SUM(W87)</f>
        <v>0</v>
      </c>
      <c r="AL87" s="158">
        <f>SUM(DATA_Depts[[#This Row],[Parks]])-SUM(X87)</f>
        <v>0</v>
      </c>
      <c r="AM87" s="158">
        <f>SUM(DATA_Depts[[#This Row],[SPU]])-SUM(Y87)</f>
        <v>0</v>
      </c>
      <c r="AN87" s="158">
        <f>SUM(DATA_Depts[[#This Row],[SDOT]])-SUM(Z87)</f>
        <v>0</v>
      </c>
      <c r="AO87" s="158">
        <f>SUM(DATA_Depts[[#This Row],[SDCI]])-SUM(AA87)</f>
        <v>0</v>
      </c>
      <c r="AP87" s="158">
        <f>SUM(DATA_Depts[[#This Row],[Libraries]])-SUM(AB87)</f>
        <v>0</v>
      </c>
      <c r="AQ87" s="158">
        <f>SUM(DATA_Depts[[#This Row],[SeaIT]])-SUM(AC87)</f>
        <v>0</v>
      </c>
      <c r="AR87" s="158">
        <f>SUM(DATA_Depts[[#This Row],[Seattle Ctr]])-SUM(AD87)</f>
        <v>0</v>
      </c>
      <c r="AS87" s="158">
        <f>SUM(DATA_Depts[[#This Row],[SCL]])-SUM(AE87)</f>
        <v>0</v>
      </c>
    </row>
    <row r="88" spans="1:45">
      <c r="A88" s="151">
        <v>84</v>
      </c>
      <c r="B88" s="5">
        <v>84</v>
      </c>
      <c r="C88" s="4" t="str">
        <f>_xlfn.SINGLE(VLOOKUP(B88,DisplayOrder!A:B,2,FALSE))</f>
        <v>Reserved-84</v>
      </c>
      <c r="D88" s="5" t="str">
        <f>_xlfn.SINGLE(VLOOKUP(B88,DisplayOrder!A:C,3,FALSE))</f>
        <v>each</v>
      </c>
      <c r="E88" s="2" t="s">
        <v>4382</v>
      </c>
      <c r="F88" s="153">
        <v>0</v>
      </c>
      <c r="G88" s="153">
        <v>0</v>
      </c>
      <c r="H88" s="153">
        <v>0</v>
      </c>
      <c r="I88" s="153">
        <v>0</v>
      </c>
      <c r="J88" s="153">
        <v>0</v>
      </c>
      <c r="K88" s="153">
        <v>0</v>
      </c>
      <c r="L88" s="153">
        <v>0</v>
      </c>
      <c r="M88" s="153">
        <v>0</v>
      </c>
      <c r="N88" s="153">
        <v>0</v>
      </c>
      <c r="O88" s="153">
        <v>0</v>
      </c>
      <c r="Q88" s="151">
        <v>84</v>
      </c>
      <c r="R88" s="5">
        <v>84</v>
      </c>
      <c r="S88" s="4" t="s">
        <v>158</v>
      </c>
      <c r="T88" s="5" t="s">
        <v>67</v>
      </c>
      <c r="U88" s="2" t="s">
        <v>4382</v>
      </c>
      <c r="V88" s="153">
        <v>0</v>
      </c>
      <c r="W88" s="153">
        <v>0</v>
      </c>
      <c r="X88" s="153">
        <v>0</v>
      </c>
      <c r="Y88" s="153">
        <v>0</v>
      </c>
      <c r="Z88" s="153">
        <v>0</v>
      </c>
      <c r="AA88" s="153">
        <v>0</v>
      </c>
      <c r="AB88" s="153">
        <v>0</v>
      </c>
      <c r="AC88" s="153">
        <v>0</v>
      </c>
      <c r="AD88" s="153">
        <v>0</v>
      </c>
      <c r="AE88" s="153">
        <v>0</v>
      </c>
      <c r="AG88" s="4" t="s">
        <v>158</v>
      </c>
      <c r="AH88" s="5" t="s">
        <v>67</v>
      </c>
      <c r="AI88" s="2" t="s">
        <v>4382</v>
      </c>
      <c r="AJ88" s="158">
        <f>SUM(DATA_Depts[[#This Row],[SFD]])-SUM(V88)</f>
        <v>0</v>
      </c>
      <c r="AK88" s="158">
        <f>SUM(DATA_Depts[[#This Row],[SPD]])-SUM(W88)</f>
        <v>0</v>
      </c>
      <c r="AL88" s="158">
        <f>SUM(DATA_Depts[[#This Row],[Parks]])-SUM(X88)</f>
        <v>0</v>
      </c>
      <c r="AM88" s="158">
        <f>SUM(DATA_Depts[[#This Row],[SPU]])-SUM(Y88)</f>
        <v>0</v>
      </c>
      <c r="AN88" s="158">
        <f>SUM(DATA_Depts[[#This Row],[SDOT]])-SUM(Z88)</f>
        <v>0</v>
      </c>
      <c r="AO88" s="158">
        <f>SUM(DATA_Depts[[#This Row],[SDCI]])-SUM(AA88)</f>
        <v>0</v>
      </c>
      <c r="AP88" s="158">
        <f>SUM(DATA_Depts[[#This Row],[Libraries]])-SUM(AB88)</f>
        <v>0</v>
      </c>
      <c r="AQ88" s="158">
        <f>SUM(DATA_Depts[[#This Row],[SeaIT]])-SUM(AC88)</f>
        <v>0</v>
      </c>
      <c r="AR88" s="158">
        <f>SUM(DATA_Depts[[#This Row],[Seattle Ctr]])-SUM(AD88)</f>
        <v>0</v>
      </c>
      <c r="AS88" s="158">
        <f>SUM(DATA_Depts[[#This Row],[SCL]])-SUM(AE88)</f>
        <v>0</v>
      </c>
    </row>
    <row r="89" spans="1:45">
      <c r="A89" s="151">
        <v>85</v>
      </c>
      <c r="B89" s="5">
        <v>85</v>
      </c>
      <c r="C89" s="4" t="str">
        <f>_xlfn.SINGLE(VLOOKUP(B89,DisplayOrder!A:B,2,FALSE))</f>
        <v>Reserved-85</v>
      </c>
      <c r="D89" s="5" t="str">
        <f>_xlfn.SINGLE(VLOOKUP(B89,DisplayOrder!A:C,3,FALSE))</f>
        <v>each</v>
      </c>
      <c r="E89" s="2" t="s">
        <v>4382</v>
      </c>
      <c r="F89" s="153">
        <v>0</v>
      </c>
      <c r="G89" s="153">
        <v>0</v>
      </c>
      <c r="H89" s="153">
        <v>0</v>
      </c>
      <c r="I89" s="153">
        <v>0</v>
      </c>
      <c r="J89" s="153">
        <v>0</v>
      </c>
      <c r="K89" s="153">
        <v>0</v>
      </c>
      <c r="L89" s="153">
        <v>0</v>
      </c>
      <c r="M89" s="153">
        <v>0</v>
      </c>
      <c r="N89" s="153">
        <v>0</v>
      </c>
      <c r="O89" s="153">
        <v>0</v>
      </c>
      <c r="Q89" s="151">
        <v>85</v>
      </c>
      <c r="R89" s="5">
        <v>85</v>
      </c>
      <c r="S89" s="4" t="s">
        <v>159</v>
      </c>
      <c r="T89" s="5" t="s">
        <v>67</v>
      </c>
      <c r="U89" s="2" t="s">
        <v>4382</v>
      </c>
      <c r="V89" s="153">
        <v>0</v>
      </c>
      <c r="W89" s="153">
        <v>0</v>
      </c>
      <c r="X89" s="153">
        <v>0</v>
      </c>
      <c r="Y89" s="153">
        <v>0</v>
      </c>
      <c r="Z89" s="153">
        <v>0</v>
      </c>
      <c r="AA89" s="153">
        <v>0</v>
      </c>
      <c r="AB89" s="153">
        <v>0</v>
      </c>
      <c r="AC89" s="153">
        <v>0</v>
      </c>
      <c r="AD89" s="153">
        <v>0</v>
      </c>
      <c r="AE89" s="153">
        <v>0</v>
      </c>
      <c r="AG89" s="4" t="s">
        <v>159</v>
      </c>
      <c r="AH89" s="5" t="s">
        <v>67</v>
      </c>
      <c r="AI89" s="2" t="s">
        <v>4382</v>
      </c>
      <c r="AJ89" s="158">
        <f>SUM(DATA_Depts[[#This Row],[SFD]])-SUM(V89)</f>
        <v>0</v>
      </c>
      <c r="AK89" s="158">
        <f>SUM(DATA_Depts[[#This Row],[SPD]])-SUM(W89)</f>
        <v>0</v>
      </c>
      <c r="AL89" s="158">
        <f>SUM(DATA_Depts[[#This Row],[Parks]])-SUM(X89)</f>
        <v>0</v>
      </c>
      <c r="AM89" s="158">
        <f>SUM(DATA_Depts[[#This Row],[SPU]])-SUM(Y89)</f>
        <v>0</v>
      </c>
      <c r="AN89" s="158">
        <f>SUM(DATA_Depts[[#This Row],[SDOT]])-SUM(Z89)</f>
        <v>0</v>
      </c>
      <c r="AO89" s="158">
        <f>SUM(DATA_Depts[[#This Row],[SDCI]])-SUM(AA89)</f>
        <v>0</v>
      </c>
      <c r="AP89" s="158">
        <f>SUM(DATA_Depts[[#This Row],[Libraries]])-SUM(AB89)</f>
        <v>0</v>
      </c>
      <c r="AQ89" s="158">
        <f>SUM(DATA_Depts[[#This Row],[SeaIT]])-SUM(AC89)</f>
        <v>0</v>
      </c>
      <c r="AR89" s="158">
        <f>SUM(DATA_Depts[[#This Row],[Seattle Ctr]])-SUM(AD89)</f>
        <v>0</v>
      </c>
      <c r="AS89" s="158">
        <f>SUM(DATA_Depts[[#This Row],[SCL]])-SUM(AE89)</f>
        <v>0</v>
      </c>
    </row>
    <row r="90" spans="1:45">
      <c r="A90" s="151">
        <v>86</v>
      </c>
      <c r="B90" s="5">
        <v>86</v>
      </c>
      <c r="C90" s="4" t="str">
        <f>_xlfn.SINGLE(VLOOKUP(B90,DisplayOrder!A:B,2,FALSE))</f>
        <v>Reserved-86</v>
      </c>
      <c r="D90" s="5" t="str">
        <f>_xlfn.SINGLE(VLOOKUP(B90,DisplayOrder!A:C,3,FALSE))</f>
        <v>each</v>
      </c>
      <c r="E90" s="2" t="s">
        <v>4382</v>
      </c>
      <c r="F90" s="153">
        <v>0</v>
      </c>
      <c r="G90" s="153">
        <v>0</v>
      </c>
      <c r="H90" s="153">
        <v>0</v>
      </c>
      <c r="I90" s="153">
        <v>0</v>
      </c>
      <c r="J90" s="153">
        <v>0</v>
      </c>
      <c r="K90" s="153">
        <v>0</v>
      </c>
      <c r="L90" s="153">
        <v>0</v>
      </c>
      <c r="M90" s="153">
        <v>0</v>
      </c>
      <c r="N90" s="153">
        <v>0</v>
      </c>
      <c r="O90" s="153">
        <v>0</v>
      </c>
      <c r="Q90" s="151">
        <v>86</v>
      </c>
      <c r="R90" s="5">
        <v>86</v>
      </c>
      <c r="S90" s="4" t="s">
        <v>160</v>
      </c>
      <c r="T90" s="5" t="s">
        <v>67</v>
      </c>
      <c r="U90" s="2" t="s">
        <v>4382</v>
      </c>
      <c r="V90" s="153">
        <v>0</v>
      </c>
      <c r="W90" s="153">
        <v>0</v>
      </c>
      <c r="X90" s="153">
        <v>0</v>
      </c>
      <c r="Y90" s="153">
        <v>0</v>
      </c>
      <c r="Z90" s="153">
        <v>0</v>
      </c>
      <c r="AA90" s="153">
        <v>0</v>
      </c>
      <c r="AB90" s="153">
        <v>0</v>
      </c>
      <c r="AC90" s="153">
        <v>0</v>
      </c>
      <c r="AD90" s="153">
        <v>0</v>
      </c>
      <c r="AE90" s="153">
        <v>0</v>
      </c>
      <c r="AG90" s="4" t="s">
        <v>160</v>
      </c>
      <c r="AH90" s="5" t="s">
        <v>67</v>
      </c>
      <c r="AI90" s="2" t="s">
        <v>4382</v>
      </c>
      <c r="AJ90" s="158">
        <f>SUM(DATA_Depts[[#This Row],[SFD]])-SUM(V90)</f>
        <v>0</v>
      </c>
      <c r="AK90" s="158">
        <f>SUM(DATA_Depts[[#This Row],[SPD]])-SUM(W90)</f>
        <v>0</v>
      </c>
      <c r="AL90" s="158">
        <f>SUM(DATA_Depts[[#This Row],[Parks]])-SUM(X90)</f>
        <v>0</v>
      </c>
      <c r="AM90" s="158">
        <f>SUM(DATA_Depts[[#This Row],[SPU]])-SUM(Y90)</f>
        <v>0</v>
      </c>
      <c r="AN90" s="158">
        <f>SUM(DATA_Depts[[#This Row],[SDOT]])-SUM(Z90)</f>
        <v>0</v>
      </c>
      <c r="AO90" s="158">
        <f>SUM(DATA_Depts[[#This Row],[SDCI]])-SUM(AA90)</f>
        <v>0</v>
      </c>
      <c r="AP90" s="158">
        <f>SUM(DATA_Depts[[#This Row],[Libraries]])-SUM(AB90)</f>
        <v>0</v>
      </c>
      <c r="AQ90" s="158">
        <f>SUM(DATA_Depts[[#This Row],[SeaIT]])-SUM(AC90)</f>
        <v>0</v>
      </c>
      <c r="AR90" s="158">
        <f>SUM(DATA_Depts[[#This Row],[Seattle Ctr]])-SUM(AD90)</f>
        <v>0</v>
      </c>
      <c r="AS90" s="158">
        <f>SUM(DATA_Depts[[#This Row],[SCL]])-SUM(AE90)</f>
        <v>0</v>
      </c>
    </row>
    <row r="91" spans="1:45">
      <c r="A91" s="151">
        <v>87</v>
      </c>
      <c r="B91" s="5">
        <v>87</v>
      </c>
      <c r="C91" s="4" t="str">
        <f>_xlfn.SINGLE(VLOOKUP(B91,DisplayOrder!A:B,2,FALSE))</f>
        <v>Reserved-87</v>
      </c>
      <c r="D91" s="5" t="str">
        <f>_xlfn.SINGLE(VLOOKUP(B91,DisplayOrder!A:C,3,FALSE))</f>
        <v>each</v>
      </c>
      <c r="E91" s="2" t="s">
        <v>4382</v>
      </c>
      <c r="F91" s="153">
        <v>0</v>
      </c>
      <c r="G91" s="153">
        <v>0</v>
      </c>
      <c r="H91" s="153">
        <v>0</v>
      </c>
      <c r="I91" s="153">
        <v>0</v>
      </c>
      <c r="J91" s="153">
        <v>0</v>
      </c>
      <c r="K91" s="153">
        <v>0</v>
      </c>
      <c r="L91" s="153">
        <v>0</v>
      </c>
      <c r="M91" s="153">
        <v>0</v>
      </c>
      <c r="N91" s="153">
        <v>0</v>
      </c>
      <c r="O91" s="153">
        <v>0</v>
      </c>
      <c r="Q91" s="151">
        <v>87</v>
      </c>
      <c r="R91" s="5">
        <v>87</v>
      </c>
      <c r="S91" s="4" t="s">
        <v>161</v>
      </c>
      <c r="T91" s="5" t="s">
        <v>67</v>
      </c>
      <c r="U91" s="2" t="s">
        <v>4382</v>
      </c>
      <c r="V91" s="153">
        <v>0</v>
      </c>
      <c r="W91" s="153">
        <v>0</v>
      </c>
      <c r="X91" s="153">
        <v>0</v>
      </c>
      <c r="Y91" s="153">
        <v>0</v>
      </c>
      <c r="Z91" s="153">
        <v>0</v>
      </c>
      <c r="AA91" s="153">
        <v>0</v>
      </c>
      <c r="AB91" s="153">
        <v>0</v>
      </c>
      <c r="AC91" s="153">
        <v>0</v>
      </c>
      <c r="AD91" s="153">
        <v>0</v>
      </c>
      <c r="AE91" s="153">
        <v>0</v>
      </c>
      <c r="AG91" s="4" t="s">
        <v>161</v>
      </c>
      <c r="AH91" s="5" t="s">
        <v>67</v>
      </c>
      <c r="AI91" s="2" t="s">
        <v>4382</v>
      </c>
      <c r="AJ91" s="158">
        <f>SUM(DATA_Depts[[#This Row],[SFD]])-SUM(V91)</f>
        <v>0</v>
      </c>
      <c r="AK91" s="158">
        <f>SUM(DATA_Depts[[#This Row],[SPD]])-SUM(W91)</f>
        <v>0</v>
      </c>
      <c r="AL91" s="158">
        <f>SUM(DATA_Depts[[#This Row],[Parks]])-SUM(X91)</f>
        <v>0</v>
      </c>
      <c r="AM91" s="158">
        <f>SUM(DATA_Depts[[#This Row],[SPU]])-SUM(Y91)</f>
        <v>0</v>
      </c>
      <c r="AN91" s="158">
        <f>SUM(DATA_Depts[[#This Row],[SDOT]])-SUM(Z91)</f>
        <v>0</v>
      </c>
      <c r="AO91" s="158">
        <f>SUM(DATA_Depts[[#This Row],[SDCI]])-SUM(AA91)</f>
        <v>0</v>
      </c>
      <c r="AP91" s="158">
        <f>SUM(DATA_Depts[[#This Row],[Libraries]])-SUM(AB91)</f>
        <v>0</v>
      </c>
      <c r="AQ91" s="158">
        <f>SUM(DATA_Depts[[#This Row],[SeaIT]])-SUM(AC91)</f>
        <v>0</v>
      </c>
      <c r="AR91" s="158">
        <f>SUM(DATA_Depts[[#This Row],[Seattle Ctr]])-SUM(AD91)</f>
        <v>0</v>
      </c>
      <c r="AS91" s="158">
        <f>SUM(DATA_Depts[[#This Row],[SCL]])-SUM(AE91)</f>
        <v>0</v>
      </c>
    </row>
    <row r="92" spans="1:45">
      <c r="A92" s="151">
        <v>88</v>
      </c>
      <c r="B92" s="5">
        <v>88</v>
      </c>
      <c r="C92" s="4" t="str">
        <f>_xlfn.SINGLE(VLOOKUP(B92,DisplayOrder!A:B,2,FALSE))</f>
        <v>Reserved-88</v>
      </c>
      <c r="D92" s="5" t="str">
        <f>_xlfn.SINGLE(VLOOKUP(B92,DisplayOrder!A:C,3,FALSE))</f>
        <v>each</v>
      </c>
      <c r="E92" s="2" t="s">
        <v>4382</v>
      </c>
      <c r="F92" s="153">
        <v>0</v>
      </c>
      <c r="G92" s="153">
        <v>0</v>
      </c>
      <c r="H92" s="153">
        <v>0</v>
      </c>
      <c r="I92" s="153">
        <v>0</v>
      </c>
      <c r="J92" s="153">
        <v>0</v>
      </c>
      <c r="K92" s="153">
        <v>0</v>
      </c>
      <c r="L92" s="153">
        <v>0</v>
      </c>
      <c r="M92" s="153">
        <v>0</v>
      </c>
      <c r="N92" s="153">
        <v>0</v>
      </c>
      <c r="O92" s="153">
        <v>0</v>
      </c>
      <c r="Q92" s="151">
        <v>88</v>
      </c>
      <c r="R92" s="5">
        <v>88</v>
      </c>
      <c r="S92" s="4" t="s">
        <v>162</v>
      </c>
      <c r="T92" s="5" t="s">
        <v>67</v>
      </c>
      <c r="U92" s="2" t="s">
        <v>4382</v>
      </c>
      <c r="V92" s="153">
        <v>0</v>
      </c>
      <c r="W92" s="153">
        <v>0</v>
      </c>
      <c r="X92" s="153">
        <v>0</v>
      </c>
      <c r="Y92" s="153">
        <v>0</v>
      </c>
      <c r="Z92" s="153">
        <v>0</v>
      </c>
      <c r="AA92" s="153">
        <v>0</v>
      </c>
      <c r="AB92" s="153">
        <v>0</v>
      </c>
      <c r="AC92" s="153">
        <v>0</v>
      </c>
      <c r="AD92" s="153">
        <v>0</v>
      </c>
      <c r="AE92" s="153">
        <v>0</v>
      </c>
      <c r="AG92" s="4" t="s">
        <v>162</v>
      </c>
      <c r="AH92" s="5" t="s">
        <v>67</v>
      </c>
      <c r="AI92" s="2" t="s">
        <v>4382</v>
      </c>
      <c r="AJ92" s="158">
        <f>SUM(DATA_Depts[[#This Row],[SFD]])-SUM(V92)</f>
        <v>0</v>
      </c>
      <c r="AK92" s="158">
        <f>SUM(DATA_Depts[[#This Row],[SPD]])-SUM(W92)</f>
        <v>0</v>
      </c>
      <c r="AL92" s="158">
        <f>SUM(DATA_Depts[[#This Row],[Parks]])-SUM(X92)</f>
        <v>0</v>
      </c>
      <c r="AM92" s="158">
        <f>SUM(DATA_Depts[[#This Row],[SPU]])-SUM(Y92)</f>
        <v>0</v>
      </c>
      <c r="AN92" s="158">
        <f>SUM(DATA_Depts[[#This Row],[SDOT]])-SUM(Z92)</f>
        <v>0</v>
      </c>
      <c r="AO92" s="158">
        <f>SUM(DATA_Depts[[#This Row],[SDCI]])-SUM(AA92)</f>
        <v>0</v>
      </c>
      <c r="AP92" s="158">
        <f>SUM(DATA_Depts[[#This Row],[Libraries]])-SUM(AB92)</f>
        <v>0</v>
      </c>
      <c r="AQ92" s="158">
        <f>SUM(DATA_Depts[[#This Row],[SeaIT]])-SUM(AC92)</f>
        <v>0</v>
      </c>
      <c r="AR92" s="158">
        <f>SUM(DATA_Depts[[#This Row],[Seattle Ctr]])-SUM(AD92)</f>
        <v>0</v>
      </c>
      <c r="AS92" s="158">
        <f>SUM(DATA_Depts[[#This Row],[SCL]])-SUM(AE92)</f>
        <v>0</v>
      </c>
    </row>
    <row r="93" spans="1:45">
      <c r="A93" s="151">
        <v>89</v>
      </c>
      <c r="B93" s="5">
        <v>89</v>
      </c>
      <c r="C93" s="4" t="str">
        <f>_xlfn.SINGLE(VLOOKUP(B93,DisplayOrder!A:B,2,FALSE))</f>
        <v>Reserved-89</v>
      </c>
      <c r="D93" s="5" t="str">
        <f>_xlfn.SINGLE(VLOOKUP(B93,DisplayOrder!A:C,3,FALSE))</f>
        <v>each</v>
      </c>
      <c r="E93" s="2" t="s">
        <v>4382</v>
      </c>
      <c r="F93" s="153">
        <v>0</v>
      </c>
      <c r="G93" s="153">
        <v>0</v>
      </c>
      <c r="H93" s="153">
        <v>0</v>
      </c>
      <c r="I93" s="153">
        <v>0</v>
      </c>
      <c r="J93" s="153">
        <v>0</v>
      </c>
      <c r="K93" s="153">
        <v>0</v>
      </c>
      <c r="L93" s="153">
        <v>0</v>
      </c>
      <c r="M93" s="153">
        <v>0</v>
      </c>
      <c r="N93" s="153">
        <v>0</v>
      </c>
      <c r="O93" s="153">
        <v>0</v>
      </c>
      <c r="Q93" s="151">
        <v>89</v>
      </c>
      <c r="R93" s="5">
        <v>89</v>
      </c>
      <c r="S93" s="4" t="s">
        <v>163</v>
      </c>
      <c r="T93" s="5" t="s">
        <v>67</v>
      </c>
      <c r="U93" s="2" t="s">
        <v>4382</v>
      </c>
      <c r="V93" s="153">
        <v>0</v>
      </c>
      <c r="W93" s="153">
        <v>0</v>
      </c>
      <c r="X93" s="153">
        <v>0</v>
      </c>
      <c r="Y93" s="153">
        <v>0</v>
      </c>
      <c r="Z93" s="153">
        <v>0</v>
      </c>
      <c r="AA93" s="153">
        <v>0</v>
      </c>
      <c r="AB93" s="153">
        <v>0</v>
      </c>
      <c r="AC93" s="153">
        <v>0</v>
      </c>
      <c r="AD93" s="153">
        <v>0</v>
      </c>
      <c r="AE93" s="153">
        <v>0</v>
      </c>
      <c r="AG93" s="4" t="s">
        <v>163</v>
      </c>
      <c r="AH93" s="5" t="s">
        <v>67</v>
      </c>
      <c r="AI93" s="2" t="s">
        <v>4382</v>
      </c>
      <c r="AJ93" s="158">
        <f>SUM(DATA_Depts[[#This Row],[SFD]])-SUM(V93)</f>
        <v>0</v>
      </c>
      <c r="AK93" s="158">
        <f>SUM(DATA_Depts[[#This Row],[SPD]])-SUM(W93)</f>
        <v>0</v>
      </c>
      <c r="AL93" s="158">
        <f>SUM(DATA_Depts[[#This Row],[Parks]])-SUM(X93)</f>
        <v>0</v>
      </c>
      <c r="AM93" s="158">
        <f>SUM(DATA_Depts[[#This Row],[SPU]])-SUM(Y93)</f>
        <v>0</v>
      </c>
      <c r="AN93" s="158">
        <f>SUM(DATA_Depts[[#This Row],[SDOT]])-SUM(Z93)</f>
        <v>0</v>
      </c>
      <c r="AO93" s="158">
        <f>SUM(DATA_Depts[[#This Row],[SDCI]])-SUM(AA93)</f>
        <v>0</v>
      </c>
      <c r="AP93" s="158">
        <f>SUM(DATA_Depts[[#This Row],[Libraries]])-SUM(AB93)</f>
        <v>0</v>
      </c>
      <c r="AQ93" s="158">
        <f>SUM(DATA_Depts[[#This Row],[SeaIT]])-SUM(AC93)</f>
        <v>0</v>
      </c>
      <c r="AR93" s="158">
        <f>SUM(DATA_Depts[[#This Row],[Seattle Ctr]])-SUM(AD93)</f>
        <v>0</v>
      </c>
      <c r="AS93" s="158">
        <f>SUM(DATA_Depts[[#This Row],[SCL]])-SUM(AE93)</f>
        <v>0</v>
      </c>
    </row>
    <row r="94" spans="1:45">
      <c r="A94" s="151">
        <v>90</v>
      </c>
      <c r="B94" s="5">
        <v>90</v>
      </c>
      <c r="C94" s="4" t="str">
        <f>_xlfn.SINGLE(VLOOKUP(B94,DisplayOrder!A:B,2,FALSE))</f>
        <v>Reserved-90</v>
      </c>
      <c r="D94" s="5" t="str">
        <f>_xlfn.SINGLE(VLOOKUP(B94,DisplayOrder!A:C,3,FALSE))</f>
        <v>each</v>
      </c>
      <c r="E94" s="2" t="s">
        <v>4382</v>
      </c>
      <c r="F94" s="153">
        <v>0</v>
      </c>
      <c r="G94" s="153">
        <v>0</v>
      </c>
      <c r="H94" s="153">
        <v>0</v>
      </c>
      <c r="I94" s="153">
        <v>0</v>
      </c>
      <c r="J94" s="153">
        <v>0</v>
      </c>
      <c r="K94" s="153">
        <v>0</v>
      </c>
      <c r="L94" s="153">
        <v>0</v>
      </c>
      <c r="M94" s="153">
        <v>0</v>
      </c>
      <c r="N94" s="153">
        <v>0</v>
      </c>
      <c r="O94" s="153">
        <v>0</v>
      </c>
      <c r="Q94" s="151">
        <v>90</v>
      </c>
      <c r="R94" s="5">
        <v>90</v>
      </c>
      <c r="S94" s="4" t="s">
        <v>164</v>
      </c>
      <c r="T94" s="5" t="s">
        <v>67</v>
      </c>
      <c r="U94" s="2" t="s">
        <v>4382</v>
      </c>
      <c r="V94" s="153">
        <v>0</v>
      </c>
      <c r="W94" s="153">
        <v>0</v>
      </c>
      <c r="X94" s="153">
        <v>0</v>
      </c>
      <c r="Y94" s="153">
        <v>0</v>
      </c>
      <c r="Z94" s="153">
        <v>0</v>
      </c>
      <c r="AA94" s="153">
        <v>0</v>
      </c>
      <c r="AB94" s="153">
        <v>0</v>
      </c>
      <c r="AC94" s="153">
        <v>0</v>
      </c>
      <c r="AD94" s="153">
        <v>0</v>
      </c>
      <c r="AE94" s="153">
        <v>0</v>
      </c>
      <c r="AG94" s="4" t="s">
        <v>164</v>
      </c>
      <c r="AH94" s="5" t="s">
        <v>67</v>
      </c>
      <c r="AI94" s="2" t="s">
        <v>4382</v>
      </c>
      <c r="AJ94" s="158">
        <f>SUM(DATA_Depts[[#This Row],[SFD]])-SUM(V94)</f>
        <v>0</v>
      </c>
      <c r="AK94" s="158">
        <f>SUM(DATA_Depts[[#This Row],[SPD]])-SUM(W94)</f>
        <v>0</v>
      </c>
      <c r="AL94" s="158">
        <f>SUM(DATA_Depts[[#This Row],[Parks]])-SUM(X94)</f>
        <v>0</v>
      </c>
      <c r="AM94" s="158">
        <f>SUM(DATA_Depts[[#This Row],[SPU]])-SUM(Y94)</f>
        <v>0</v>
      </c>
      <c r="AN94" s="158">
        <f>SUM(DATA_Depts[[#This Row],[SDOT]])-SUM(Z94)</f>
        <v>0</v>
      </c>
      <c r="AO94" s="158">
        <f>SUM(DATA_Depts[[#This Row],[SDCI]])-SUM(AA94)</f>
        <v>0</v>
      </c>
      <c r="AP94" s="158">
        <f>SUM(DATA_Depts[[#This Row],[Libraries]])-SUM(AB94)</f>
        <v>0</v>
      </c>
      <c r="AQ94" s="158">
        <f>SUM(DATA_Depts[[#This Row],[SeaIT]])-SUM(AC94)</f>
        <v>0</v>
      </c>
      <c r="AR94" s="158">
        <f>SUM(DATA_Depts[[#This Row],[Seattle Ctr]])-SUM(AD94)</f>
        <v>0</v>
      </c>
      <c r="AS94" s="158">
        <f>SUM(DATA_Depts[[#This Row],[SCL]])-SUM(AE94)</f>
        <v>0</v>
      </c>
    </row>
    <row r="95" spans="1:45">
      <c r="A95" s="151">
        <v>91</v>
      </c>
      <c r="B95" s="5">
        <v>91</v>
      </c>
      <c r="C95" s="4" t="str">
        <f>_xlfn.SINGLE(VLOOKUP(B95,DisplayOrder!A:B,2,FALSE))</f>
        <v>Reserved-91</v>
      </c>
      <c r="D95" s="5" t="str">
        <f>_xlfn.SINGLE(VLOOKUP(B95,DisplayOrder!A:C,3,FALSE))</f>
        <v>each</v>
      </c>
      <c r="E95" s="2" t="s">
        <v>4382</v>
      </c>
      <c r="F95" s="153">
        <v>0</v>
      </c>
      <c r="G95" s="153">
        <v>0</v>
      </c>
      <c r="H95" s="153">
        <v>0</v>
      </c>
      <c r="I95" s="153">
        <v>0</v>
      </c>
      <c r="J95" s="153">
        <v>0</v>
      </c>
      <c r="K95" s="153">
        <v>0</v>
      </c>
      <c r="L95" s="153">
        <v>0</v>
      </c>
      <c r="M95" s="153">
        <v>0</v>
      </c>
      <c r="N95" s="153">
        <v>0</v>
      </c>
      <c r="O95" s="153">
        <v>0</v>
      </c>
      <c r="Q95" s="151">
        <v>91</v>
      </c>
      <c r="R95" s="5">
        <v>91</v>
      </c>
      <c r="S95" s="4" t="s">
        <v>165</v>
      </c>
      <c r="T95" s="5" t="s">
        <v>67</v>
      </c>
      <c r="U95" s="2" t="s">
        <v>4382</v>
      </c>
      <c r="V95" s="153">
        <v>0</v>
      </c>
      <c r="W95" s="153">
        <v>0</v>
      </c>
      <c r="X95" s="153">
        <v>0</v>
      </c>
      <c r="Y95" s="153">
        <v>0</v>
      </c>
      <c r="Z95" s="153">
        <v>0</v>
      </c>
      <c r="AA95" s="153">
        <v>0</v>
      </c>
      <c r="AB95" s="153">
        <v>0</v>
      </c>
      <c r="AC95" s="153">
        <v>0</v>
      </c>
      <c r="AD95" s="153">
        <v>0</v>
      </c>
      <c r="AE95" s="153">
        <v>0</v>
      </c>
      <c r="AG95" s="4" t="s">
        <v>165</v>
      </c>
      <c r="AH95" s="5" t="s">
        <v>67</v>
      </c>
      <c r="AI95" s="2" t="s">
        <v>4382</v>
      </c>
      <c r="AJ95" s="158">
        <f>SUM(DATA_Depts[[#This Row],[SFD]])-SUM(V95)</f>
        <v>0</v>
      </c>
      <c r="AK95" s="158">
        <f>SUM(DATA_Depts[[#This Row],[SPD]])-SUM(W95)</f>
        <v>0</v>
      </c>
      <c r="AL95" s="158">
        <f>SUM(DATA_Depts[[#This Row],[Parks]])-SUM(X95)</f>
        <v>0</v>
      </c>
      <c r="AM95" s="158">
        <f>SUM(DATA_Depts[[#This Row],[SPU]])-SUM(Y95)</f>
        <v>0</v>
      </c>
      <c r="AN95" s="158">
        <f>SUM(DATA_Depts[[#This Row],[SDOT]])-SUM(Z95)</f>
        <v>0</v>
      </c>
      <c r="AO95" s="158">
        <f>SUM(DATA_Depts[[#This Row],[SDCI]])-SUM(AA95)</f>
        <v>0</v>
      </c>
      <c r="AP95" s="158">
        <f>SUM(DATA_Depts[[#This Row],[Libraries]])-SUM(AB95)</f>
        <v>0</v>
      </c>
      <c r="AQ95" s="158">
        <f>SUM(DATA_Depts[[#This Row],[SeaIT]])-SUM(AC95)</f>
        <v>0</v>
      </c>
      <c r="AR95" s="158">
        <f>SUM(DATA_Depts[[#This Row],[Seattle Ctr]])-SUM(AD95)</f>
        <v>0</v>
      </c>
      <c r="AS95" s="158">
        <f>SUM(DATA_Depts[[#This Row],[SCL]])-SUM(AE95)</f>
        <v>0</v>
      </c>
    </row>
    <row r="96" spans="1:45">
      <c r="A96" s="151">
        <v>92</v>
      </c>
      <c r="B96" s="5">
        <v>92</v>
      </c>
      <c r="C96" s="4" t="str">
        <f>_xlfn.SINGLE(VLOOKUP(B96,DisplayOrder!A:B,2,FALSE))</f>
        <v>Reserved-92</v>
      </c>
      <c r="D96" s="5" t="str">
        <f>_xlfn.SINGLE(VLOOKUP(B96,DisplayOrder!A:C,3,FALSE))</f>
        <v>each</v>
      </c>
      <c r="E96" s="2" t="s">
        <v>4382</v>
      </c>
      <c r="F96" s="153">
        <v>0</v>
      </c>
      <c r="G96" s="153">
        <v>0</v>
      </c>
      <c r="H96" s="153">
        <v>0</v>
      </c>
      <c r="I96" s="153">
        <v>0</v>
      </c>
      <c r="J96" s="153">
        <v>0</v>
      </c>
      <c r="K96" s="153">
        <v>0</v>
      </c>
      <c r="L96" s="153">
        <v>0</v>
      </c>
      <c r="M96" s="153">
        <v>0</v>
      </c>
      <c r="N96" s="153">
        <v>0</v>
      </c>
      <c r="O96" s="153">
        <v>0</v>
      </c>
      <c r="Q96" s="151">
        <v>92</v>
      </c>
      <c r="R96" s="5">
        <v>92</v>
      </c>
      <c r="S96" s="4" t="s">
        <v>166</v>
      </c>
      <c r="T96" s="5" t="s">
        <v>67</v>
      </c>
      <c r="U96" s="2" t="s">
        <v>4382</v>
      </c>
      <c r="V96" s="153">
        <v>0</v>
      </c>
      <c r="W96" s="153">
        <v>0</v>
      </c>
      <c r="X96" s="153">
        <v>0</v>
      </c>
      <c r="Y96" s="153">
        <v>0</v>
      </c>
      <c r="Z96" s="153">
        <v>0</v>
      </c>
      <c r="AA96" s="153">
        <v>0</v>
      </c>
      <c r="AB96" s="153">
        <v>0</v>
      </c>
      <c r="AC96" s="153">
        <v>0</v>
      </c>
      <c r="AD96" s="153">
        <v>0</v>
      </c>
      <c r="AE96" s="153">
        <v>0</v>
      </c>
      <c r="AG96" s="4" t="s">
        <v>166</v>
      </c>
      <c r="AH96" s="5" t="s">
        <v>67</v>
      </c>
      <c r="AI96" s="2" t="s">
        <v>4382</v>
      </c>
      <c r="AJ96" s="158">
        <f>SUM(DATA_Depts[[#This Row],[SFD]])-SUM(V96)</f>
        <v>0</v>
      </c>
      <c r="AK96" s="158">
        <f>SUM(DATA_Depts[[#This Row],[SPD]])-SUM(W96)</f>
        <v>0</v>
      </c>
      <c r="AL96" s="158">
        <f>SUM(DATA_Depts[[#This Row],[Parks]])-SUM(X96)</f>
        <v>0</v>
      </c>
      <c r="AM96" s="158">
        <f>SUM(DATA_Depts[[#This Row],[SPU]])-SUM(Y96)</f>
        <v>0</v>
      </c>
      <c r="AN96" s="158">
        <f>SUM(DATA_Depts[[#This Row],[SDOT]])-SUM(Z96)</f>
        <v>0</v>
      </c>
      <c r="AO96" s="158">
        <f>SUM(DATA_Depts[[#This Row],[SDCI]])-SUM(AA96)</f>
        <v>0</v>
      </c>
      <c r="AP96" s="158">
        <f>SUM(DATA_Depts[[#This Row],[Libraries]])-SUM(AB96)</f>
        <v>0</v>
      </c>
      <c r="AQ96" s="158">
        <f>SUM(DATA_Depts[[#This Row],[SeaIT]])-SUM(AC96)</f>
        <v>0</v>
      </c>
      <c r="AR96" s="158">
        <f>SUM(DATA_Depts[[#This Row],[Seattle Ctr]])-SUM(AD96)</f>
        <v>0</v>
      </c>
      <c r="AS96" s="158">
        <f>SUM(DATA_Depts[[#This Row],[SCL]])-SUM(AE96)</f>
        <v>0</v>
      </c>
    </row>
    <row r="97" spans="1:45">
      <c r="A97" s="151">
        <v>93</v>
      </c>
      <c r="B97" s="5">
        <v>93</v>
      </c>
      <c r="C97" s="4" t="str">
        <f>_xlfn.SINGLE(VLOOKUP(B97,DisplayOrder!A:B,2,FALSE))</f>
        <v>Reserved-93</v>
      </c>
      <c r="D97" s="5" t="str">
        <f>_xlfn.SINGLE(VLOOKUP(B97,DisplayOrder!A:C,3,FALSE))</f>
        <v>each</v>
      </c>
      <c r="E97" s="2" t="s">
        <v>4382</v>
      </c>
      <c r="F97" s="153">
        <v>0</v>
      </c>
      <c r="G97" s="153">
        <v>0</v>
      </c>
      <c r="H97" s="153">
        <v>0</v>
      </c>
      <c r="I97" s="153">
        <v>0</v>
      </c>
      <c r="J97" s="153">
        <v>0</v>
      </c>
      <c r="K97" s="153">
        <v>0</v>
      </c>
      <c r="L97" s="153">
        <v>0</v>
      </c>
      <c r="M97" s="153">
        <v>0</v>
      </c>
      <c r="N97" s="153">
        <v>0</v>
      </c>
      <c r="O97" s="153">
        <v>0</v>
      </c>
      <c r="Q97" s="151">
        <v>93</v>
      </c>
      <c r="R97" s="5">
        <v>93</v>
      </c>
      <c r="S97" s="4" t="s">
        <v>167</v>
      </c>
      <c r="T97" s="5" t="s">
        <v>67</v>
      </c>
      <c r="U97" s="2" t="s">
        <v>4382</v>
      </c>
      <c r="V97" s="153">
        <v>0</v>
      </c>
      <c r="W97" s="153">
        <v>0</v>
      </c>
      <c r="X97" s="153">
        <v>0</v>
      </c>
      <c r="Y97" s="153">
        <v>0</v>
      </c>
      <c r="Z97" s="153">
        <v>0</v>
      </c>
      <c r="AA97" s="153">
        <v>0</v>
      </c>
      <c r="AB97" s="153">
        <v>0</v>
      </c>
      <c r="AC97" s="153">
        <v>0</v>
      </c>
      <c r="AD97" s="153">
        <v>0</v>
      </c>
      <c r="AE97" s="153">
        <v>0</v>
      </c>
      <c r="AG97" s="4" t="s">
        <v>167</v>
      </c>
      <c r="AH97" s="5" t="s">
        <v>67</v>
      </c>
      <c r="AI97" s="2" t="s">
        <v>4382</v>
      </c>
      <c r="AJ97" s="158">
        <f>SUM(DATA_Depts[[#This Row],[SFD]])-SUM(V97)</f>
        <v>0</v>
      </c>
      <c r="AK97" s="158">
        <f>SUM(DATA_Depts[[#This Row],[SPD]])-SUM(W97)</f>
        <v>0</v>
      </c>
      <c r="AL97" s="158">
        <f>SUM(DATA_Depts[[#This Row],[Parks]])-SUM(X97)</f>
        <v>0</v>
      </c>
      <c r="AM97" s="158">
        <f>SUM(DATA_Depts[[#This Row],[SPU]])-SUM(Y97)</f>
        <v>0</v>
      </c>
      <c r="AN97" s="158">
        <f>SUM(DATA_Depts[[#This Row],[SDOT]])-SUM(Z97)</f>
        <v>0</v>
      </c>
      <c r="AO97" s="158">
        <f>SUM(DATA_Depts[[#This Row],[SDCI]])-SUM(AA97)</f>
        <v>0</v>
      </c>
      <c r="AP97" s="158">
        <f>SUM(DATA_Depts[[#This Row],[Libraries]])-SUM(AB97)</f>
        <v>0</v>
      </c>
      <c r="AQ97" s="158">
        <f>SUM(DATA_Depts[[#This Row],[SeaIT]])-SUM(AC97)</f>
        <v>0</v>
      </c>
      <c r="AR97" s="158">
        <f>SUM(DATA_Depts[[#This Row],[Seattle Ctr]])-SUM(AD97)</f>
        <v>0</v>
      </c>
      <c r="AS97" s="158">
        <f>SUM(DATA_Depts[[#This Row],[SCL]])-SUM(AE97)</f>
        <v>0</v>
      </c>
    </row>
    <row r="98" spans="1:45">
      <c r="A98" s="151">
        <v>94</v>
      </c>
      <c r="B98" s="5">
        <v>94</v>
      </c>
      <c r="C98" s="4" t="str">
        <f>_xlfn.SINGLE(VLOOKUP(B98,DisplayOrder!A:B,2,FALSE))</f>
        <v>Reserved-94</v>
      </c>
      <c r="D98" s="5" t="str">
        <f>_xlfn.SINGLE(VLOOKUP(B98,DisplayOrder!A:C,3,FALSE))</f>
        <v>each</v>
      </c>
      <c r="E98" s="2" t="s">
        <v>4382</v>
      </c>
      <c r="F98" s="153">
        <v>0</v>
      </c>
      <c r="G98" s="153">
        <v>0</v>
      </c>
      <c r="H98" s="153">
        <v>0</v>
      </c>
      <c r="I98" s="153">
        <v>0</v>
      </c>
      <c r="J98" s="153">
        <v>0</v>
      </c>
      <c r="K98" s="153">
        <v>0</v>
      </c>
      <c r="L98" s="153">
        <v>0</v>
      </c>
      <c r="M98" s="153">
        <v>0</v>
      </c>
      <c r="N98" s="153">
        <v>0</v>
      </c>
      <c r="O98" s="153">
        <v>0</v>
      </c>
      <c r="Q98" s="151">
        <v>94</v>
      </c>
      <c r="R98" s="5">
        <v>94</v>
      </c>
      <c r="S98" s="4" t="s">
        <v>168</v>
      </c>
      <c r="T98" s="5" t="s">
        <v>67</v>
      </c>
      <c r="U98" s="2" t="s">
        <v>4382</v>
      </c>
      <c r="V98" s="153">
        <v>0</v>
      </c>
      <c r="W98" s="153">
        <v>0</v>
      </c>
      <c r="X98" s="153">
        <v>0</v>
      </c>
      <c r="Y98" s="153">
        <v>0</v>
      </c>
      <c r="Z98" s="153">
        <v>0</v>
      </c>
      <c r="AA98" s="153">
        <v>0</v>
      </c>
      <c r="AB98" s="153">
        <v>0</v>
      </c>
      <c r="AC98" s="153">
        <v>0</v>
      </c>
      <c r="AD98" s="153">
        <v>0</v>
      </c>
      <c r="AE98" s="153">
        <v>0</v>
      </c>
      <c r="AG98" s="4" t="s">
        <v>168</v>
      </c>
      <c r="AH98" s="5" t="s">
        <v>67</v>
      </c>
      <c r="AI98" s="2" t="s">
        <v>4382</v>
      </c>
      <c r="AJ98" s="158">
        <f>SUM(DATA_Depts[[#This Row],[SFD]])-SUM(V98)</f>
        <v>0</v>
      </c>
      <c r="AK98" s="158">
        <f>SUM(DATA_Depts[[#This Row],[SPD]])-SUM(W98)</f>
        <v>0</v>
      </c>
      <c r="AL98" s="158">
        <f>SUM(DATA_Depts[[#This Row],[Parks]])-SUM(X98)</f>
        <v>0</v>
      </c>
      <c r="AM98" s="158">
        <f>SUM(DATA_Depts[[#This Row],[SPU]])-SUM(Y98)</f>
        <v>0</v>
      </c>
      <c r="AN98" s="158">
        <f>SUM(DATA_Depts[[#This Row],[SDOT]])-SUM(Z98)</f>
        <v>0</v>
      </c>
      <c r="AO98" s="158">
        <f>SUM(DATA_Depts[[#This Row],[SDCI]])-SUM(AA98)</f>
        <v>0</v>
      </c>
      <c r="AP98" s="158">
        <f>SUM(DATA_Depts[[#This Row],[Libraries]])-SUM(AB98)</f>
        <v>0</v>
      </c>
      <c r="AQ98" s="158">
        <f>SUM(DATA_Depts[[#This Row],[SeaIT]])-SUM(AC98)</f>
        <v>0</v>
      </c>
      <c r="AR98" s="158">
        <f>SUM(DATA_Depts[[#This Row],[Seattle Ctr]])-SUM(AD98)</f>
        <v>0</v>
      </c>
      <c r="AS98" s="158">
        <f>SUM(DATA_Depts[[#This Row],[SCL]])-SUM(AE98)</f>
        <v>0</v>
      </c>
    </row>
    <row r="99" spans="1:45">
      <c r="A99" s="151">
        <v>95</v>
      </c>
      <c r="B99" s="5">
        <v>95</v>
      </c>
      <c r="C99" s="4" t="str">
        <f>_xlfn.SINGLE(VLOOKUP(B99,DisplayOrder!A:B,2,FALSE))</f>
        <v>Reserved-95</v>
      </c>
      <c r="D99" s="5" t="str">
        <f>_xlfn.SINGLE(VLOOKUP(B99,DisplayOrder!A:C,3,FALSE))</f>
        <v>each</v>
      </c>
      <c r="E99" s="2" t="s">
        <v>4382</v>
      </c>
      <c r="F99" s="153">
        <v>0</v>
      </c>
      <c r="G99" s="153">
        <v>0</v>
      </c>
      <c r="H99" s="153">
        <v>0</v>
      </c>
      <c r="I99" s="153">
        <v>0</v>
      </c>
      <c r="J99" s="153">
        <v>0</v>
      </c>
      <c r="K99" s="153">
        <v>0</v>
      </c>
      <c r="L99" s="153">
        <v>0</v>
      </c>
      <c r="M99" s="153">
        <v>0</v>
      </c>
      <c r="N99" s="153">
        <v>0</v>
      </c>
      <c r="O99" s="153">
        <v>0</v>
      </c>
      <c r="Q99" s="151">
        <v>95</v>
      </c>
      <c r="R99" s="5">
        <v>95</v>
      </c>
      <c r="S99" s="4" t="s">
        <v>169</v>
      </c>
      <c r="T99" s="5" t="s">
        <v>67</v>
      </c>
      <c r="U99" s="2" t="s">
        <v>4382</v>
      </c>
      <c r="V99" s="153">
        <v>0</v>
      </c>
      <c r="W99" s="153">
        <v>0</v>
      </c>
      <c r="X99" s="153">
        <v>0</v>
      </c>
      <c r="Y99" s="153">
        <v>0</v>
      </c>
      <c r="Z99" s="153">
        <v>0</v>
      </c>
      <c r="AA99" s="153">
        <v>0</v>
      </c>
      <c r="AB99" s="153">
        <v>0</v>
      </c>
      <c r="AC99" s="153">
        <v>0</v>
      </c>
      <c r="AD99" s="153">
        <v>0</v>
      </c>
      <c r="AE99" s="153">
        <v>0</v>
      </c>
      <c r="AG99" s="4" t="s">
        <v>169</v>
      </c>
      <c r="AH99" s="5" t="s">
        <v>67</v>
      </c>
      <c r="AI99" s="2" t="s">
        <v>4382</v>
      </c>
      <c r="AJ99" s="158">
        <f>SUM(DATA_Depts[[#This Row],[SFD]])-SUM(V99)</f>
        <v>0</v>
      </c>
      <c r="AK99" s="158">
        <f>SUM(DATA_Depts[[#This Row],[SPD]])-SUM(W99)</f>
        <v>0</v>
      </c>
      <c r="AL99" s="158">
        <f>SUM(DATA_Depts[[#This Row],[Parks]])-SUM(X99)</f>
        <v>0</v>
      </c>
      <c r="AM99" s="158">
        <f>SUM(DATA_Depts[[#This Row],[SPU]])-SUM(Y99)</f>
        <v>0</v>
      </c>
      <c r="AN99" s="158">
        <f>SUM(DATA_Depts[[#This Row],[SDOT]])-SUM(Z99)</f>
        <v>0</v>
      </c>
      <c r="AO99" s="158">
        <f>SUM(DATA_Depts[[#This Row],[SDCI]])-SUM(AA99)</f>
        <v>0</v>
      </c>
      <c r="AP99" s="158">
        <f>SUM(DATA_Depts[[#This Row],[Libraries]])-SUM(AB99)</f>
        <v>0</v>
      </c>
      <c r="AQ99" s="158">
        <f>SUM(DATA_Depts[[#This Row],[SeaIT]])-SUM(AC99)</f>
        <v>0</v>
      </c>
      <c r="AR99" s="158">
        <f>SUM(DATA_Depts[[#This Row],[Seattle Ctr]])-SUM(AD99)</f>
        <v>0</v>
      </c>
      <c r="AS99" s="158">
        <f>SUM(DATA_Depts[[#This Row],[SCL]])-SUM(AE99)</f>
        <v>0</v>
      </c>
    </row>
    <row r="100" spans="1:45">
      <c r="A100" s="151">
        <v>96</v>
      </c>
      <c r="B100" s="5">
        <v>96</v>
      </c>
      <c r="C100" s="4" t="str">
        <f>_xlfn.SINGLE(VLOOKUP(B100,DisplayOrder!A:B,2,FALSE))</f>
        <v>Reserved-96</v>
      </c>
      <c r="D100" s="5" t="str">
        <f>_xlfn.SINGLE(VLOOKUP(B100,DisplayOrder!A:C,3,FALSE))</f>
        <v>each</v>
      </c>
      <c r="E100" s="2" t="s">
        <v>4382</v>
      </c>
      <c r="F100" s="153">
        <v>0</v>
      </c>
      <c r="G100" s="153">
        <v>0</v>
      </c>
      <c r="H100" s="153">
        <v>0</v>
      </c>
      <c r="I100" s="153">
        <v>0</v>
      </c>
      <c r="J100" s="153">
        <v>0</v>
      </c>
      <c r="K100" s="153">
        <v>0</v>
      </c>
      <c r="L100" s="153">
        <v>0</v>
      </c>
      <c r="M100" s="153">
        <v>0</v>
      </c>
      <c r="N100" s="153">
        <v>0</v>
      </c>
      <c r="O100" s="153">
        <v>0</v>
      </c>
      <c r="Q100" s="151">
        <v>96</v>
      </c>
      <c r="R100" s="5">
        <v>96</v>
      </c>
      <c r="S100" s="4" t="s">
        <v>170</v>
      </c>
      <c r="T100" s="5" t="s">
        <v>67</v>
      </c>
      <c r="U100" s="2" t="s">
        <v>4382</v>
      </c>
      <c r="V100" s="153">
        <v>0</v>
      </c>
      <c r="W100" s="153">
        <v>0</v>
      </c>
      <c r="X100" s="153">
        <v>0</v>
      </c>
      <c r="Y100" s="153">
        <v>0</v>
      </c>
      <c r="Z100" s="153">
        <v>0</v>
      </c>
      <c r="AA100" s="153">
        <v>0</v>
      </c>
      <c r="AB100" s="153">
        <v>0</v>
      </c>
      <c r="AC100" s="153">
        <v>0</v>
      </c>
      <c r="AD100" s="153">
        <v>0</v>
      </c>
      <c r="AE100" s="153">
        <v>0</v>
      </c>
      <c r="AG100" s="4" t="s">
        <v>170</v>
      </c>
      <c r="AH100" s="5" t="s">
        <v>67</v>
      </c>
      <c r="AI100" s="2" t="s">
        <v>4382</v>
      </c>
      <c r="AJ100" s="158">
        <f>SUM(DATA_Depts[[#This Row],[SFD]])-SUM(V100)</f>
        <v>0</v>
      </c>
      <c r="AK100" s="158">
        <f>SUM(DATA_Depts[[#This Row],[SPD]])-SUM(W100)</f>
        <v>0</v>
      </c>
      <c r="AL100" s="158">
        <f>SUM(DATA_Depts[[#This Row],[Parks]])-SUM(X100)</f>
        <v>0</v>
      </c>
      <c r="AM100" s="158">
        <f>SUM(DATA_Depts[[#This Row],[SPU]])-SUM(Y100)</f>
        <v>0</v>
      </c>
      <c r="AN100" s="158">
        <f>SUM(DATA_Depts[[#This Row],[SDOT]])-SUM(Z100)</f>
        <v>0</v>
      </c>
      <c r="AO100" s="158">
        <f>SUM(DATA_Depts[[#This Row],[SDCI]])-SUM(AA100)</f>
        <v>0</v>
      </c>
      <c r="AP100" s="158">
        <f>SUM(DATA_Depts[[#This Row],[Libraries]])-SUM(AB100)</f>
        <v>0</v>
      </c>
      <c r="AQ100" s="158">
        <f>SUM(DATA_Depts[[#This Row],[SeaIT]])-SUM(AC100)</f>
        <v>0</v>
      </c>
      <c r="AR100" s="158">
        <f>SUM(DATA_Depts[[#This Row],[Seattle Ctr]])-SUM(AD100)</f>
        <v>0</v>
      </c>
      <c r="AS100" s="158">
        <f>SUM(DATA_Depts[[#This Row],[SCL]])-SUM(AE100)</f>
        <v>0</v>
      </c>
    </row>
    <row r="101" spans="1:45">
      <c r="A101" s="151">
        <v>97</v>
      </c>
      <c r="B101" s="5">
        <v>97</v>
      </c>
      <c r="C101" s="4" t="str">
        <f>_xlfn.SINGLE(VLOOKUP(B101,DisplayOrder!A:B,2,FALSE))</f>
        <v>Reserved-97</v>
      </c>
      <c r="D101" s="5" t="str">
        <f>_xlfn.SINGLE(VLOOKUP(B101,DisplayOrder!A:C,3,FALSE))</f>
        <v>each</v>
      </c>
      <c r="E101" s="2" t="s">
        <v>4382</v>
      </c>
      <c r="F101" s="153">
        <v>0</v>
      </c>
      <c r="G101" s="153">
        <v>0</v>
      </c>
      <c r="H101" s="153">
        <v>0</v>
      </c>
      <c r="I101" s="153">
        <v>0</v>
      </c>
      <c r="J101" s="153">
        <v>0</v>
      </c>
      <c r="K101" s="153">
        <v>0</v>
      </c>
      <c r="L101" s="153">
        <v>0</v>
      </c>
      <c r="M101" s="153">
        <v>0</v>
      </c>
      <c r="N101" s="153">
        <v>0</v>
      </c>
      <c r="O101" s="153">
        <v>0</v>
      </c>
      <c r="Q101" s="151">
        <v>97</v>
      </c>
      <c r="R101" s="5">
        <v>97</v>
      </c>
      <c r="S101" s="4" t="s">
        <v>171</v>
      </c>
      <c r="T101" s="5" t="s">
        <v>67</v>
      </c>
      <c r="U101" s="2" t="s">
        <v>4382</v>
      </c>
      <c r="V101" s="153">
        <v>0</v>
      </c>
      <c r="W101" s="153">
        <v>0</v>
      </c>
      <c r="X101" s="153">
        <v>0</v>
      </c>
      <c r="Y101" s="153">
        <v>0</v>
      </c>
      <c r="Z101" s="153">
        <v>0</v>
      </c>
      <c r="AA101" s="153">
        <v>0</v>
      </c>
      <c r="AB101" s="153">
        <v>0</v>
      </c>
      <c r="AC101" s="153">
        <v>0</v>
      </c>
      <c r="AD101" s="153">
        <v>0</v>
      </c>
      <c r="AE101" s="153">
        <v>0</v>
      </c>
      <c r="AG101" s="4" t="s">
        <v>171</v>
      </c>
      <c r="AH101" s="5" t="s">
        <v>67</v>
      </c>
      <c r="AI101" s="2" t="s">
        <v>4382</v>
      </c>
      <c r="AJ101" s="158">
        <f>SUM(DATA_Depts[[#This Row],[SFD]])-SUM(V101)</f>
        <v>0</v>
      </c>
      <c r="AK101" s="158">
        <f>SUM(DATA_Depts[[#This Row],[SPD]])-SUM(W101)</f>
        <v>0</v>
      </c>
      <c r="AL101" s="158">
        <f>SUM(DATA_Depts[[#This Row],[Parks]])-SUM(X101)</f>
        <v>0</v>
      </c>
      <c r="AM101" s="158">
        <f>SUM(DATA_Depts[[#This Row],[SPU]])-SUM(Y101)</f>
        <v>0</v>
      </c>
      <c r="AN101" s="158">
        <f>SUM(DATA_Depts[[#This Row],[SDOT]])-SUM(Z101)</f>
        <v>0</v>
      </c>
      <c r="AO101" s="158">
        <f>SUM(DATA_Depts[[#This Row],[SDCI]])-SUM(AA101)</f>
        <v>0</v>
      </c>
      <c r="AP101" s="158">
        <f>SUM(DATA_Depts[[#This Row],[Libraries]])-SUM(AB101)</f>
        <v>0</v>
      </c>
      <c r="AQ101" s="158">
        <f>SUM(DATA_Depts[[#This Row],[SeaIT]])-SUM(AC101)</f>
        <v>0</v>
      </c>
      <c r="AR101" s="158">
        <f>SUM(DATA_Depts[[#This Row],[Seattle Ctr]])-SUM(AD101)</f>
        <v>0</v>
      </c>
      <c r="AS101" s="158">
        <f>SUM(DATA_Depts[[#This Row],[SCL]])-SUM(AE101)</f>
        <v>0</v>
      </c>
    </row>
    <row r="102" spans="1:45">
      <c r="A102" s="151">
        <v>98</v>
      </c>
      <c r="B102" s="5">
        <v>98</v>
      </c>
      <c r="C102" s="4" t="str">
        <f>_xlfn.SINGLE(VLOOKUP(B102,DisplayOrder!A:B,2,FALSE))</f>
        <v>Reserved-98</v>
      </c>
      <c r="D102" s="5" t="str">
        <f>_xlfn.SINGLE(VLOOKUP(B102,DisplayOrder!A:C,3,FALSE))</f>
        <v>each</v>
      </c>
      <c r="E102" s="2" t="s">
        <v>4382</v>
      </c>
      <c r="F102" s="153">
        <v>0</v>
      </c>
      <c r="G102" s="153">
        <v>0</v>
      </c>
      <c r="H102" s="153">
        <v>0</v>
      </c>
      <c r="I102" s="153">
        <v>0</v>
      </c>
      <c r="J102" s="153">
        <v>0</v>
      </c>
      <c r="K102" s="153">
        <v>0</v>
      </c>
      <c r="L102" s="153">
        <v>0</v>
      </c>
      <c r="M102" s="153">
        <v>0</v>
      </c>
      <c r="N102" s="153">
        <v>0</v>
      </c>
      <c r="O102" s="153">
        <v>0</v>
      </c>
      <c r="Q102" s="151">
        <v>98</v>
      </c>
      <c r="R102" s="5">
        <v>98</v>
      </c>
      <c r="S102" s="4" t="s">
        <v>172</v>
      </c>
      <c r="T102" s="5" t="s">
        <v>67</v>
      </c>
      <c r="U102" s="2" t="s">
        <v>4382</v>
      </c>
      <c r="V102" s="153">
        <v>0</v>
      </c>
      <c r="W102" s="153">
        <v>0</v>
      </c>
      <c r="X102" s="153">
        <v>0</v>
      </c>
      <c r="Y102" s="153">
        <v>0</v>
      </c>
      <c r="Z102" s="153">
        <v>0</v>
      </c>
      <c r="AA102" s="153">
        <v>0</v>
      </c>
      <c r="AB102" s="153">
        <v>0</v>
      </c>
      <c r="AC102" s="153">
        <v>0</v>
      </c>
      <c r="AD102" s="153">
        <v>0</v>
      </c>
      <c r="AE102" s="153">
        <v>0</v>
      </c>
      <c r="AG102" s="4" t="s">
        <v>172</v>
      </c>
      <c r="AH102" s="5" t="s">
        <v>67</v>
      </c>
      <c r="AI102" s="2" t="s">
        <v>4382</v>
      </c>
      <c r="AJ102" s="158">
        <f>SUM(DATA_Depts[[#This Row],[SFD]])-SUM(V102)</f>
        <v>0</v>
      </c>
      <c r="AK102" s="158">
        <f>SUM(DATA_Depts[[#This Row],[SPD]])-SUM(W102)</f>
        <v>0</v>
      </c>
      <c r="AL102" s="158">
        <f>SUM(DATA_Depts[[#This Row],[Parks]])-SUM(X102)</f>
        <v>0</v>
      </c>
      <c r="AM102" s="158">
        <f>SUM(DATA_Depts[[#This Row],[SPU]])-SUM(Y102)</f>
        <v>0</v>
      </c>
      <c r="AN102" s="158">
        <f>SUM(DATA_Depts[[#This Row],[SDOT]])-SUM(Z102)</f>
        <v>0</v>
      </c>
      <c r="AO102" s="158">
        <f>SUM(DATA_Depts[[#This Row],[SDCI]])-SUM(AA102)</f>
        <v>0</v>
      </c>
      <c r="AP102" s="158">
        <f>SUM(DATA_Depts[[#This Row],[Libraries]])-SUM(AB102)</f>
        <v>0</v>
      </c>
      <c r="AQ102" s="158">
        <f>SUM(DATA_Depts[[#This Row],[SeaIT]])-SUM(AC102)</f>
        <v>0</v>
      </c>
      <c r="AR102" s="158">
        <f>SUM(DATA_Depts[[#This Row],[Seattle Ctr]])-SUM(AD102)</f>
        <v>0</v>
      </c>
      <c r="AS102" s="158">
        <f>SUM(DATA_Depts[[#This Row],[SCL]])-SUM(AE102)</f>
        <v>0</v>
      </c>
    </row>
    <row r="103" spans="1:45">
      <c r="A103" s="151">
        <v>99</v>
      </c>
      <c r="B103" s="5">
        <v>99</v>
      </c>
      <c r="C103" s="4" t="str">
        <f>_xlfn.SINGLE(VLOOKUP(B103,DisplayOrder!A:B,2,FALSE))</f>
        <v>Reserved-99</v>
      </c>
      <c r="D103" s="5" t="str">
        <f>_xlfn.SINGLE(VLOOKUP(B103,DisplayOrder!A:C,3,FALSE))</f>
        <v>each</v>
      </c>
      <c r="E103" s="2" t="s">
        <v>4382</v>
      </c>
      <c r="F103" s="153">
        <v>0</v>
      </c>
      <c r="G103" s="153">
        <v>0</v>
      </c>
      <c r="H103" s="153">
        <v>0</v>
      </c>
      <c r="I103" s="153">
        <v>0</v>
      </c>
      <c r="J103" s="153">
        <v>0</v>
      </c>
      <c r="K103" s="153">
        <v>0</v>
      </c>
      <c r="L103" s="153">
        <v>0</v>
      </c>
      <c r="M103" s="153">
        <v>0</v>
      </c>
      <c r="N103" s="153">
        <v>0</v>
      </c>
      <c r="O103" s="153">
        <v>0</v>
      </c>
      <c r="Q103" s="151">
        <v>99</v>
      </c>
      <c r="R103" s="5">
        <v>99</v>
      </c>
      <c r="S103" s="4" t="s">
        <v>173</v>
      </c>
      <c r="T103" s="5" t="s">
        <v>67</v>
      </c>
      <c r="U103" s="2" t="s">
        <v>4382</v>
      </c>
      <c r="V103" s="153">
        <v>0</v>
      </c>
      <c r="W103" s="153">
        <v>0</v>
      </c>
      <c r="X103" s="153">
        <v>0</v>
      </c>
      <c r="Y103" s="153">
        <v>0</v>
      </c>
      <c r="Z103" s="153">
        <v>0</v>
      </c>
      <c r="AA103" s="153">
        <v>0</v>
      </c>
      <c r="AB103" s="153">
        <v>0</v>
      </c>
      <c r="AC103" s="153">
        <v>0</v>
      </c>
      <c r="AD103" s="153">
        <v>0</v>
      </c>
      <c r="AE103" s="153">
        <v>0</v>
      </c>
      <c r="AG103" s="4" t="s">
        <v>173</v>
      </c>
      <c r="AH103" s="5" t="s">
        <v>67</v>
      </c>
      <c r="AI103" s="2" t="s">
        <v>4382</v>
      </c>
      <c r="AJ103" s="158">
        <f>SUM(DATA_Depts[[#This Row],[SFD]])-SUM(V103)</f>
        <v>0</v>
      </c>
      <c r="AK103" s="158">
        <f>SUM(DATA_Depts[[#This Row],[SPD]])-SUM(W103)</f>
        <v>0</v>
      </c>
      <c r="AL103" s="158">
        <f>SUM(DATA_Depts[[#This Row],[Parks]])-SUM(X103)</f>
        <v>0</v>
      </c>
      <c r="AM103" s="158">
        <f>SUM(DATA_Depts[[#This Row],[SPU]])-SUM(Y103)</f>
        <v>0</v>
      </c>
      <c r="AN103" s="158">
        <f>SUM(DATA_Depts[[#This Row],[SDOT]])-SUM(Z103)</f>
        <v>0</v>
      </c>
      <c r="AO103" s="158">
        <f>SUM(DATA_Depts[[#This Row],[SDCI]])-SUM(AA103)</f>
        <v>0</v>
      </c>
      <c r="AP103" s="158">
        <f>SUM(DATA_Depts[[#This Row],[Libraries]])-SUM(AB103)</f>
        <v>0</v>
      </c>
      <c r="AQ103" s="158">
        <f>SUM(DATA_Depts[[#This Row],[SeaIT]])-SUM(AC103)</f>
        <v>0</v>
      </c>
      <c r="AR103" s="158">
        <f>SUM(DATA_Depts[[#This Row],[Seattle Ctr]])-SUM(AD103)</f>
        <v>0</v>
      </c>
      <c r="AS103" s="158">
        <f>SUM(DATA_Depts[[#This Row],[SCL]])-SUM(AE103)</f>
        <v>0</v>
      </c>
    </row>
    <row r="104" spans="1:45">
      <c r="A104" s="151">
        <v>100</v>
      </c>
      <c r="B104" s="5">
        <v>100</v>
      </c>
      <c r="C104" s="4" t="str">
        <f>_xlfn.SINGLE(VLOOKUP(B104,DisplayOrder!A:B,2,FALSE))</f>
        <v>Reserved-100</v>
      </c>
      <c r="D104" s="5" t="str">
        <f>_xlfn.SINGLE(VLOOKUP(B104,DisplayOrder!A:C,3,FALSE))</f>
        <v>each</v>
      </c>
      <c r="E104" s="2" t="s">
        <v>4382</v>
      </c>
      <c r="F104" s="153">
        <v>0</v>
      </c>
      <c r="G104" s="153">
        <v>0</v>
      </c>
      <c r="H104" s="153">
        <v>0</v>
      </c>
      <c r="I104" s="153">
        <v>0</v>
      </c>
      <c r="J104" s="153">
        <v>0</v>
      </c>
      <c r="K104" s="153">
        <v>0</v>
      </c>
      <c r="L104" s="153">
        <v>0</v>
      </c>
      <c r="M104" s="153">
        <v>0</v>
      </c>
      <c r="N104" s="153">
        <v>0</v>
      </c>
      <c r="O104" s="153">
        <v>0</v>
      </c>
      <c r="Q104" s="151">
        <v>100</v>
      </c>
      <c r="R104" s="5">
        <v>100</v>
      </c>
      <c r="S104" s="4" t="s">
        <v>174</v>
      </c>
      <c r="T104" s="5" t="s">
        <v>67</v>
      </c>
      <c r="U104" s="2" t="s">
        <v>4382</v>
      </c>
      <c r="V104" s="153">
        <v>0</v>
      </c>
      <c r="W104" s="153">
        <v>0</v>
      </c>
      <c r="X104" s="153">
        <v>0</v>
      </c>
      <c r="Y104" s="153">
        <v>0</v>
      </c>
      <c r="Z104" s="153">
        <v>0</v>
      </c>
      <c r="AA104" s="153">
        <v>0</v>
      </c>
      <c r="AB104" s="153">
        <v>0</v>
      </c>
      <c r="AC104" s="153">
        <v>0</v>
      </c>
      <c r="AD104" s="153">
        <v>0</v>
      </c>
      <c r="AE104" s="153">
        <v>0</v>
      </c>
      <c r="AG104" s="4" t="s">
        <v>174</v>
      </c>
      <c r="AH104" s="5" t="s">
        <v>67</v>
      </c>
      <c r="AI104" s="2" t="s">
        <v>4382</v>
      </c>
      <c r="AJ104" s="158">
        <f>SUM(DATA_Depts[[#This Row],[SFD]])-SUM(V104)</f>
        <v>0</v>
      </c>
      <c r="AK104" s="158">
        <f>SUM(DATA_Depts[[#This Row],[SPD]])-SUM(W104)</f>
        <v>0</v>
      </c>
      <c r="AL104" s="158">
        <f>SUM(DATA_Depts[[#This Row],[Parks]])-SUM(X104)</f>
        <v>0</v>
      </c>
      <c r="AM104" s="158">
        <f>SUM(DATA_Depts[[#This Row],[SPU]])-SUM(Y104)</f>
        <v>0</v>
      </c>
      <c r="AN104" s="158">
        <f>SUM(DATA_Depts[[#This Row],[SDOT]])-SUM(Z104)</f>
        <v>0</v>
      </c>
      <c r="AO104" s="158">
        <f>SUM(DATA_Depts[[#This Row],[SDCI]])-SUM(AA104)</f>
        <v>0</v>
      </c>
      <c r="AP104" s="158">
        <f>SUM(DATA_Depts[[#This Row],[Libraries]])-SUM(AB104)</f>
        <v>0</v>
      </c>
      <c r="AQ104" s="158">
        <f>SUM(DATA_Depts[[#This Row],[SeaIT]])-SUM(AC104)</f>
        <v>0</v>
      </c>
      <c r="AR104" s="158">
        <f>SUM(DATA_Depts[[#This Row],[Seattle Ctr]])-SUM(AD104)</f>
        <v>0</v>
      </c>
      <c r="AS104" s="158">
        <f>SUM(DATA_Depts[[#This Row],[SCL]])-SUM(AE104)</f>
        <v>0</v>
      </c>
    </row>
    <row r="106" spans="1:45">
      <c r="F106" s="58"/>
      <c r="G106" s="61"/>
      <c r="H106" s="58"/>
      <c r="I106" s="56"/>
      <c r="J106" s="58"/>
      <c r="K106" s="58"/>
      <c r="L106" s="56"/>
      <c r="M106" s="58"/>
      <c r="N106" s="58"/>
      <c r="O106" s="56"/>
    </row>
    <row r="107" spans="1:45">
      <c r="F107" s="58"/>
      <c r="G107" s="57"/>
      <c r="H107" s="58"/>
      <c r="I107" s="56"/>
      <c r="J107" s="56"/>
      <c r="K107" s="58"/>
      <c r="L107" s="58"/>
      <c r="M107" s="58"/>
      <c r="N107" s="58"/>
      <c r="O107" s="56"/>
    </row>
    <row r="108" spans="1:45">
      <c r="F108" s="58"/>
      <c r="G108" s="61"/>
      <c r="H108" s="58"/>
      <c r="I108" s="58"/>
      <c r="J108" s="58"/>
      <c r="K108" s="58"/>
      <c r="L108" s="58"/>
      <c r="M108" s="58"/>
      <c r="N108" s="58"/>
      <c r="O108" s="58"/>
    </row>
    <row r="109" spans="1:45">
      <c r="F109" s="58"/>
      <c r="G109" s="61"/>
      <c r="H109" s="58"/>
      <c r="I109" s="58"/>
      <c r="J109" s="58"/>
      <c r="K109" s="58"/>
      <c r="L109" s="56"/>
      <c r="M109" s="58"/>
      <c r="N109" s="58"/>
      <c r="O109" s="56"/>
    </row>
    <row r="110" spans="1:45">
      <c r="F110" s="56"/>
      <c r="G110" s="57"/>
      <c r="H110" s="58"/>
      <c r="I110" s="56"/>
      <c r="J110" s="56"/>
      <c r="K110" s="58"/>
      <c r="L110" s="56"/>
      <c r="M110" s="58"/>
      <c r="N110" s="58"/>
      <c r="O110" s="59"/>
    </row>
    <row r="111" spans="1:45">
      <c r="F111" s="56"/>
      <c r="G111" s="57"/>
      <c r="H111" s="58"/>
      <c r="I111" s="56"/>
      <c r="J111" s="56"/>
      <c r="K111" s="58"/>
      <c r="L111" s="56"/>
      <c r="M111" s="58"/>
      <c r="N111" s="58"/>
      <c r="O111" s="56"/>
    </row>
    <row r="112" spans="1:45">
      <c r="F112" s="56"/>
      <c r="G112" s="57"/>
      <c r="H112" s="58"/>
      <c r="I112" s="56"/>
      <c r="J112" s="60"/>
      <c r="K112" s="60"/>
      <c r="L112" s="60"/>
      <c r="M112" s="60"/>
      <c r="N112" s="60"/>
      <c r="O112" s="56"/>
    </row>
    <row r="113" spans="6:15">
      <c r="F113" s="56"/>
      <c r="G113" s="57"/>
      <c r="H113" s="58"/>
      <c r="I113" s="56"/>
      <c r="J113" s="58"/>
      <c r="K113" s="58"/>
      <c r="L113" s="56"/>
      <c r="M113" s="58"/>
      <c r="N113" s="58"/>
      <c r="O113" s="58"/>
    </row>
    <row r="114" spans="6:15">
      <c r="F114" s="56"/>
      <c r="G114" s="57"/>
      <c r="H114" s="58"/>
      <c r="I114" s="58"/>
      <c r="J114" s="56"/>
      <c r="K114" s="58"/>
      <c r="L114" s="56"/>
      <c r="M114" s="58"/>
      <c r="N114" s="58"/>
      <c r="O114" s="56"/>
    </row>
    <row r="115" spans="6:15">
      <c r="F115" s="56"/>
      <c r="G115" s="57"/>
      <c r="H115" s="58"/>
      <c r="I115" s="56"/>
      <c r="J115" s="56"/>
      <c r="K115" s="58"/>
      <c r="L115" s="56"/>
      <c r="M115" s="58"/>
      <c r="N115" s="58"/>
      <c r="O115" s="56"/>
    </row>
    <row r="116" spans="6:15">
      <c r="F116" s="58"/>
      <c r="G116" s="57"/>
      <c r="H116" s="58"/>
      <c r="I116" s="56"/>
      <c r="J116" s="56"/>
      <c r="K116" s="58"/>
      <c r="L116" s="56"/>
      <c r="M116" s="58"/>
      <c r="N116" s="58"/>
      <c r="O116" s="56"/>
    </row>
    <row r="117" spans="6:15">
      <c r="F117" s="56"/>
      <c r="G117" s="57"/>
      <c r="H117" s="58"/>
      <c r="I117" s="56"/>
      <c r="J117" s="56"/>
      <c r="K117" s="58"/>
      <c r="L117" s="56"/>
      <c r="M117" s="58"/>
      <c r="N117" s="58"/>
      <c r="O117" s="56"/>
    </row>
    <row r="118" spans="6:15">
      <c r="F118" s="56"/>
      <c r="G118" s="57"/>
      <c r="H118" s="58"/>
      <c r="I118" s="56"/>
      <c r="J118" s="56"/>
      <c r="K118" s="58"/>
      <c r="L118" s="56"/>
      <c r="M118" s="58"/>
      <c r="N118" s="58"/>
      <c r="O118" s="56"/>
    </row>
    <row r="119" spans="6:15">
      <c r="F119" s="56"/>
      <c r="G119" s="56"/>
      <c r="H119" s="58"/>
      <c r="I119" s="58"/>
      <c r="J119" s="58"/>
      <c r="K119" s="58"/>
      <c r="L119" s="58"/>
      <c r="M119" s="58"/>
      <c r="N119" s="58"/>
      <c r="O119" s="58"/>
    </row>
    <row r="120" spans="6:15">
      <c r="F120" s="56"/>
      <c r="G120" s="56"/>
      <c r="H120" s="58"/>
      <c r="I120" s="58"/>
      <c r="J120" s="58"/>
      <c r="K120" s="58"/>
      <c r="L120" s="58"/>
      <c r="M120" s="58"/>
      <c r="N120" s="58"/>
      <c r="O120" s="58"/>
    </row>
    <row r="121" spans="6:15">
      <c r="F121" s="56"/>
      <c r="G121" s="56"/>
      <c r="H121" s="56"/>
      <c r="I121" s="56"/>
      <c r="J121" s="56"/>
      <c r="K121" s="56"/>
      <c r="L121" s="56"/>
      <c r="M121" s="56"/>
      <c r="N121" s="56"/>
      <c r="O121" s="56"/>
    </row>
  </sheetData>
  <mergeCells count="1">
    <mergeCell ref="A3:J3"/>
  </mergeCells>
  <conditionalFormatting sqref="AJ5:AS5">
    <cfRule type="cellIs" dxfId="21" priority="2" operator="greaterThan">
      <formula>100</formula>
    </cfRule>
  </conditionalFormatting>
  <conditionalFormatting sqref="AJ6:AS104">
    <cfRule type="cellIs" dxfId="20" priority="1" operator="greaterThan">
      <formula>100</formula>
    </cfRule>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55AB-4549-473F-B8C1-CAE4498891F2}">
  <sheetPr codeName="Sheet10">
    <pageSetUpPr fitToPage="1"/>
  </sheetPr>
  <dimension ref="A1:G20"/>
  <sheetViews>
    <sheetView zoomScale="85" zoomScaleNormal="85" workbookViewId="0">
      <selection activeCell="C13" sqref="C13"/>
    </sheetView>
  </sheetViews>
  <sheetFormatPr baseColWidth="10" defaultColWidth="8.83203125" defaultRowHeight="15"/>
  <cols>
    <col min="1" max="1" width="4.1640625" bestFit="1" customWidth="1"/>
    <col min="2" max="2" width="28.1640625" bestFit="1" customWidth="1"/>
    <col min="4" max="4" width="21.33203125" bestFit="1" customWidth="1"/>
    <col min="5" max="5" width="15.6640625" bestFit="1" customWidth="1"/>
    <col min="6" max="6" width="11" bestFit="1" customWidth="1"/>
    <col min="7" max="7" width="43.1640625" bestFit="1" customWidth="1"/>
  </cols>
  <sheetData>
    <row r="1" spans="1:7" ht="21">
      <c r="A1" s="9" t="s">
        <v>4383</v>
      </c>
    </row>
    <row r="2" spans="1:7">
      <c r="A2" t="s">
        <v>4384</v>
      </c>
    </row>
    <row r="4" spans="1:7">
      <c r="A4" s="10" t="s">
        <v>2651</v>
      </c>
      <c r="B4" s="12" t="s">
        <v>4385</v>
      </c>
      <c r="C4" s="10" t="s">
        <v>4386</v>
      </c>
      <c r="D4" s="12" t="s">
        <v>4387</v>
      </c>
      <c r="E4" s="10" t="s">
        <v>4388</v>
      </c>
      <c r="F4" s="10" t="s">
        <v>4389</v>
      </c>
      <c r="G4" s="12" t="s">
        <v>4390</v>
      </c>
    </row>
    <row r="5" spans="1:7">
      <c r="A5" s="2">
        <v>1</v>
      </c>
      <c r="B5" t="s">
        <v>4391</v>
      </c>
      <c r="C5" s="2" t="s">
        <v>67</v>
      </c>
      <c r="D5" s="7" t="s">
        <v>78</v>
      </c>
      <c r="E5" s="2" t="s">
        <v>2732</v>
      </c>
      <c r="F5" s="2">
        <v>1</v>
      </c>
      <c r="G5" t="s">
        <v>4392</v>
      </c>
    </row>
    <row r="6" spans="1:7">
      <c r="A6" s="2">
        <v>2</v>
      </c>
      <c r="B6" t="s">
        <v>94</v>
      </c>
      <c r="C6" s="2" t="s">
        <v>2732</v>
      </c>
      <c r="D6" s="7" t="s">
        <v>94</v>
      </c>
      <c r="E6" s="2" t="s">
        <v>85</v>
      </c>
      <c r="F6" s="2">
        <v>20</v>
      </c>
      <c r="G6" t="s">
        <v>4393</v>
      </c>
    </row>
    <row r="7" spans="1:7">
      <c r="A7" s="2">
        <v>3</v>
      </c>
      <c r="B7" t="s">
        <v>93</v>
      </c>
      <c r="C7" s="2" t="s">
        <v>2732</v>
      </c>
      <c r="D7" s="7" t="s">
        <v>93</v>
      </c>
      <c r="E7" s="2" t="s">
        <v>83</v>
      </c>
      <c r="F7" s="2">
        <v>12</v>
      </c>
      <c r="G7" t="s">
        <v>4394</v>
      </c>
    </row>
    <row r="8" spans="1:7">
      <c r="A8" s="2" t="s">
        <v>4395</v>
      </c>
      <c r="B8" t="s">
        <v>1766</v>
      </c>
      <c r="C8" s="15" t="s">
        <v>85</v>
      </c>
      <c r="D8" s="8" t="s">
        <v>1269</v>
      </c>
      <c r="E8" s="3" t="s">
        <v>67</v>
      </c>
      <c r="F8" s="3">
        <v>10</v>
      </c>
      <c r="G8" t="s">
        <v>4396</v>
      </c>
    </row>
    <row r="9" spans="1:7">
      <c r="A9" s="2" t="s">
        <v>4397</v>
      </c>
      <c r="B9" t="s">
        <v>68</v>
      </c>
      <c r="C9" s="15" t="s">
        <v>85</v>
      </c>
      <c r="D9" s="8" t="s">
        <v>1269</v>
      </c>
      <c r="E9" s="3" t="s">
        <v>67</v>
      </c>
      <c r="F9" s="3">
        <v>10</v>
      </c>
      <c r="G9" t="s">
        <v>4396</v>
      </c>
    </row>
    <row r="10" spans="1:7">
      <c r="A10" s="2">
        <v>5</v>
      </c>
      <c r="B10" t="s">
        <v>976</v>
      </c>
      <c r="C10" s="15" t="s">
        <v>85</v>
      </c>
      <c r="D10" s="7" t="s">
        <v>970</v>
      </c>
      <c r="E10" s="2" t="s">
        <v>85</v>
      </c>
      <c r="F10" s="2">
        <v>1</v>
      </c>
      <c r="G10" t="s">
        <v>4398</v>
      </c>
    </row>
    <row r="11" spans="1:7">
      <c r="A11" s="2">
        <v>6</v>
      </c>
      <c r="B11" t="s">
        <v>95</v>
      </c>
      <c r="C11" s="15" t="s">
        <v>2732</v>
      </c>
      <c r="D11" s="7" t="s">
        <v>95</v>
      </c>
      <c r="E11" s="2" t="s">
        <v>96</v>
      </c>
      <c r="F11" s="2">
        <v>12</v>
      </c>
      <c r="G11" t="s">
        <v>4399</v>
      </c>
    </row>
    <row r="12" spans="1:7">
      <c r="A12" s="2">
        <v>7</v>
      </c>
      <c r="B12" t="s">
        <v>4400</v>
      </c>
      <c r="C12" s="15" t="s">
        <v>85</v>
      </c>
      <c r="D12" s="7" t="s">
        <v>4401</v>
      </c>
      <c r="E12" s="2" t="s">
        <v>85</v>
      </c>
      <c r="F12" s="2">
        <v>1</v>
      </c>
      <c r="G12" t="s">
        <v>4402</v>
      </c>
    </row>
    <row r="13" spans="1:7">
      <c r="A13" s="2">
        <v>8</v>
      </c>
      <c r="B13" t="s">
        <v>4403</v>
      </c>
      <c r="C13" s="15" t="s">
        <v>67</v>
      </c>
      <c r="D13" s="7" t="s">
        <v>1584</v>
      </c>
      <c r="E13" s="2" t="s">
        <v>85</v>
      </c>
      <c r="F13" s="2">
        <v>1</v>
      </c>
      <c r="G13" t="s">
        <v>4404</v>
      </c>
    </row>
    <row r="14" spans="1:7">
      <c r="A14" s="2">
        <v>9</v>
      </c>
      <c r="B14" t="s">
        <v>97</v>
      </c>
      <c r="C14" s="15" t="s">
        <v>2732</v>
      </c>
      <c r="D14" s="7" t="s">
        <v>3270</v>
      </c>
      <c r="E14" s="2" t="s">
        <v>98</v>
      </c>
      <c r="F14" s="2">
        <v>60</v>
      </c>
      <c r="G14" t="s">
        <v>4405</v>
      </c>
    </row>
    <row r="15" spans="1:7">
      <c r="A15" s="2">
        <v>10</v>
      </c>
      <c r="B15" t="s">
        <v>4406</v>
      </c>
      <c r="C15" s="15" t="s">
        <v>85</v>
      </c>
      <c r="D15" s="3"/>
      <c r="E15" s="3" t="s">
        <v>85</v>
      </c>
      <c r="F15" s="3">
        <v>1</v>
      </c>
      <c r="G15" t="s">
        <v>4407</v>
      </c>
    </row>
    <row r="16" spans="1:7">
      <c r="A16" s="2">
        <v>11</v>
      </c>
      <c r="B16" t="s">
        <v>4408</v>
      </c>
      <c r="C16" s="15" t="s">
        <v>67</v>
      </c>
      <c r="D16" s="3"/>
      <c r="E16" s="3" t="s">
        <v>85</v>
      </c>
      <c r="F16" s="3">
        <v>1</v>
      </c>
      <c r="G16" t="s">
        <v>4409</v>
      </c>
    </row>
    <row r="17" spans="1:7">
      <c r="A17" s="2">
        <v>12</v>
      </c>
      <c r="B17" t="s">
        <v>4410</v>
      </c>
      <c r="C17" s="15" t="s">
        <v>67</v>
      </c>
      <c r="D17" s="3"/>
      <c r="E17" s="3" t="s">
        <v>67</v>
      </c>
      <c r="F17" s="3">
        <v>1</v>
      </c>
    </row>
    <row r="18" spans="1:7">
      <c r="A18" s="2">
        <v>13</v>
      </c>
      <c r="B18" t="s">
        <v>74</v>
      </c>
      <c r="C18" s="15" t="s">
        <v>67</v>
      </c>
      <c r="D18" s="7" t="s">
        <v>4411</v>
      </c>
      <c r="E18" s="2" t="s">
        <v>67</v>
      </c>
      <c r="F18" s="2">
        <v>1</v>
      </c>
    </row>
    <row r="19" spans="1:7">
      <c r="A19" s="2">
        <v>14</v>
      </c>
      <c r="B19" t="s">
        <v>2669</v>
      </c>
      <c r="C19" s="15" t="s">
        <v>2732</v>
      </c>
      <c r="D19" s="7" t="s">
        <v>3804</v>
      </c>
      <c r="E19" s="2" t="s">
        <v>67</v>
      </c>
      <c r="F19" s="2">
        <v>1</v>
      </c>
      <c r="G19" t="s">
        <v>4412</v>
      </c>
    </row>
    <row r="20" spans="1:7">
      <c r="C20" s="13"/>
    </row>
  </sheetData>
  <printOptions gridLines="1"/>
  <pageMargins left="0.25" right="0.25" top="0.75" bottom="0.75" header="0.3" footer="0.3"/>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25611-AB95-4885-A38D-18768D741DFA}">
  <sheetPr codeName="Sheet2">
    <pageSetUpPr fitToPage="1"/>
  </sheetPr>
  <dimension ref="A1:AK212"/>
  <sheetViews>
    <sheetView zoomScale="130" zoomScaleNormal="130" workbookViewId="0">
      <selection activeCell="H25" sqref="H25"/>
    </sheetView>
  </sheetViews>
  <sheetFormatPr baseColWidth="10" defaultColWidth="8.83203125" defaultRowHeight="15"/>
  <cols>
    <col min="1" max="1" width="2.5" customWidth="1"/>
    <col min="2" max="2" width="3.5" bestFit="1" customWidth="1"/>
    <col min="3" max="3" width="23.1640625" bestFit="1" customWidth="1"/>
    <col min="4" max="4" width="6" customWidth="1"/>
    <col min="5" max="5" width="11.1640625" customWidth="1"/>
    <col min="6" max="6" width="4.5" bestFit="1" customWidth="1"/>
    <col min="7" max="7" width="8.1640625" customWidth="1"/>
    <col min="8" max="8" width="4.5" bestFit="1" customWidth="1"/>
    <col min="9" max="9" width="7.5" customWidth="1"/>
    <col min="10" max="10" width="5.83203125" bestFit="1" customWidth="1"/>
    <col min="11" max="11" width="7.5" customWidth="1"/>
    <col min="12" max="12" width="7.5" hidden="1" customWidth="1"/>
    <col min="13" max="13" width="7.5" customWidth="1"/>
    <col min="14" max="14" width="7.5" hidden="1" customWidth="1"/>
    <col min="15" max="15" width="7.5" customWidth="1"/>
    <col min="16" max="16" width="7.5" hidden="1" customWidth="1"/>
    <col min="17" max="17" width="7.5" customWidth="1"/>
    <col min="18" max="18" width="7.5" hidden="1" customWidth="1"/>
    <col min="19" max="19" width="7.5" customWidth="1"/>
    <col min="20" max="20" width="7.5" hidden="1" customWidth="1"/>
    <col min="21" max="21" width="7.6640625" bestFit="1" customWidth="1"/>
    <col min="22" max="22" width="7.6640625" hidden="1" customWidth="1"/>
    <col min="23" max="23" width="8" customWidth="1"/>
    <col min="24" max="24" width="8" hidden="1" customWidth="1"/>
    <col min="25" max="25" width="7.5" customWidth="1"/>
    <col min="26" max="26" width="7.5" hidden="1" customWidth="1"/>
    <col min="27" max="27" width="0.1640625" customWidth="1"/>
    <col min="30" max="30" width="11.5" bestFit="1" customWidth="1"/>
    <col min="33" max="33" width="10.5" bestFit="1" customWidth="1"/>
    <col min="34" max="34" width="12" bestFit="1" customWidth="1"/>
    <col min="35" max="35" width="4.83203125" bestFit="1" customWidth="1"/>
    <col min="36" max="36" width="15.83203125" bestFit="1" customWidth="1"/>
    <col min="37" max="37" width="2.6640625" bestFit="1" customWidth="1"/>
  </cols>
  <sheetData>
    <row r="1" spans="1:37" ht="19">
      <c r="A1" s="67" t="s">
        <v>11</v>
      </c>
    </row>
    <row r="2" spans="1:37" s="24" customFormat="1" ht="14">
      <c r="A2" s="23" t="s">
        <v>12</v>
      </c>
    </row>
    <row r="3" spans="1:37" s="24" customFormat="1" ht="14">
      <c r="A3" s="44" t="s">
        <v>13</v>
      </c>
      <c r="AA3" s="62"/>
      <c r="AB3" s="62"/>
    </row>
    <row r="4" spans="1:37" s="42" customFormat="1" ht="15.75" customHeight="1">
      <c r="B4" s="418" t="s">
        <v>14</v>
      </c>
      <c r="C4" s="418"/>
      <c r="D4" s="423" t="s">
        <v>15</v>
      </c>
      <c r="E4" s="424"/>
      <c r="F4" s="424"/>
      <c r="G4" s="424"/>
      <c r="H4" s="425"/>
      <c r="I4" s="426" t="s">
        <v>16</v>
      </c>
      <c r="J4" s="427"/>
      <c r="K4" s="428" t="s">
        <v>17</v>
      </c>
      <c r="L4" s="429"/>
      <c r="M4" s="430"/>
      <c r="N4" s="363"/>
      <c r="O4" s="431" t="s">
        <v>18</v>
      </c>
      <c r="P4" s="432"/>
      <c r="Q4" s="433"/>
      <c r="R4" s="364"/>
      <c r="S4" s="412" t="s">
        <v>19</v>
      </c>
      <c r="T4" s="413"/>
      <c r="U4" s="414"/>
      <c r="V4" s="362"/>
      <c r="W4" s="415" t="s">
        <v>20</v>
      </c>
      <c r="X4" s="416"/>
      <c r="Y4" s="417"/>
      <c r="AB4" s="62"/>
      <c r="AC4" s="62"/>
      <c r="AD4" s="62"/>
      <c r="AE4" s="62"/>
      <c r="AF4" s="62"/>
      <c r="AG4" s="62"/>
      <c r="AH4" s="62"/>
      <c r="AI4" s="62"/>
      <c r="AJ4" s="62"/>
      <c r="AK4" s="62"/>
    </row>
    <row r="5" spans="1:37" s="42" customFormat="1" ht="7.5" customHeight="1" thickBot="1">
      <c r="B5" s="419"/>
      <c r="C5" s="419"/>
      <c r="K5" s="149"/>
      <c r="AB5" s="62"/>
      <c r="AC5" s="62"/>
      <c r="AD5" s="62"/>
      <c r="AE5" s="62"/>
      <c r="AF5" s="62"/>
      <c r="AG5" s="62"/>
      <c r="AH5" s="62"/>
      <c r="AI5" s="62"/>
      <c r="AJ5" s="62"/>
      <c r="AK5" s="62"/>
    </row>
    <row r="6" spans="1:37" s="25" customFormat="1" ht="11.25" customHeight="1">
      <c r="B6" s="437" t="s">
        <v>21</v>
      </c>
      <c r="C6" s="438"/>
      <c r="D6" s="365" t="s">
        <v>22</v>
      </c>
      <c r="E6" s="435" t="s">
        <v>23</v>
      </c>
      <c r="F6" s="436"/>
      <c r="G6" s="435" t="s">
        <v>24</v>
      </c>
      <c r="H6" s="444"/>
      <c r="I6" s="435" t="s">
        <v>25</v>
      </c>
      <c r="J6" s="444"/>
      <c r="K6" s="439" t="s">
        <v>26</v>
      </c>
      <c r="L6" s="434"/>
      <c r="M6" s="434" t="s">
        <v>27</v>
      </c>
      <c r="N6" s="434"/>
      <c r="O6" s="434" t="s">
        <v>28</v>
      </c>
      <c r="P6" s="434"/>
      <c r="Q6" s="434" t="s">
        <v>29</v>
      </c>
      <c r="R6" s="434"/>
      <c r="S6" s="434" t="s">
        <v>30</v>
      </c>
      <c r="T6" s="434"/>
      <c r="U6" s="434" t="s">
        <v>31</v>
      </c>
      <c r="V6" s="434"/>
      <c r="W6" s="434" t="s">
        <v>32</v>
      </c>
      <c r="X6" s="434"/>
      <c r="Y6" s="434" t="s">
        <v>33</v>
      </c>
      <c r="Z6" s="434"/>
      <c r="AA6" s="177"/>
      <c r="AB6" s="62"/>
      <c r="AC6" s="62"/>
      <c r="AD6" s="62"/>
      <c r="AE6" s="62"/>
      <c r="AF6" s="62"/>
      <c r="AG6" s="62"/>
      <c r="AH6" s="62"/>
      <c r="AI6" s="62"/>
      <c r="AJ6" s="62"/>
      <c r="AK6" s="62"/>
    </row>
    <row r="7" spans="1:37" s="25" customFormat="1" ht="12">
      <c r="B7" s="65"/>
      <c r="C7" s="66"/>
      <c r="D7" s="65"/>
      <c r="E7" s="180" t="s">
        <v>34</v>
      </c>
      <c r="F7" s="131" t="s">
        <v>35</v>
      </c>
      <c r="G7" s="130" t="s">
        <v>34</v>
      </c>
      <c r="H7" s="131" t="s">
        <v>35</v>
      </c>
      <c r="I7" s="130" t="s">
        <v>34</v>
      </c>
      <c r="J7" s="131" t="s">
        <v>35</v>
      </c>
      <c r="K7" s="168" t="s">
        <v>34</v>
      </c>
      <c r="L7" s="166" t="s">
        <v>35</v>
      </c>
      <c r="M7" s="166" t="s">
        <v>34</v>
      </c>
      <c r="N7" s="166" t="s">
        <v>35</v>
      </c>
      <c r="O7" s="166" t="s">
        <v>34</v>
      </c>
      <c r="P7" s="166" t="s">
        <v>35</v>
      </c>
      <c r="Q7" s="166" t="s">
        <v>34</v>
      </c>
      <c r="R7" s="166" t="s">
        <v>35</v>
      </c>
      <c r="S7" s="166" t="s">
        <v>34</v>
      </c>
      <c r="T7" s="166" t="s">
        <v>35</v>
      </c>
      <c r="U7" s="166" t="s">
        <v>34</v>
      </c>
      <c r="V7" s="166" t="s">
        <v>35</v>
      </c>
      <c r="W7" s="166" t="s">
        <v>34</v>
      </c>
      <c r="X7" s="166" t="s">
        <v>35</v>
      </c>
      <c r="Y7" s="166" t="s">
        <v>34</v>
      </c>
      <c r="Z7" s="166" t="s">
        <v>35</v>
      </c>
      <c r="AB7" s="62"/>
      <c r="AC7" s="62"/>
      <c r="AD7" s="62"/>
      <c r="AE7" s="62"/>
      <c r="AF7" s="62"/>
      <c r="AG7" s="62"/>
      <c r="AH7" s="62"/>
      <c r="AI7" s="62"/>
      <c r="AJ7" s="62"/>
      <c r="AK7" s="62"/>
    </row>
    <row r="8" spans="1:37" s="43" customFormat="1" ht="11">
      <c r="A8" s="420" t="s">
        <v>36</v>
      </c>
      <c r="B8" s="46">
        <v>1</v>
      </c>
      <c r="C8" s="47" t="str">
        <f>_xlfn.SINGLE(VLOOKUP(B8,DisplayOrder[#All],2,FALSE))</f>
        <v>Masks (N95)</v>
      </c>
      <c r="D8" s="116" t="str">
        <f>_xlfn.SINGLE(VLOOKUP(B8,DisplayOrder!A:C,3,FALSE))</f>
        <v>each</v>
      </c>
      <c r="E8" s="181">
        <f>IF(VLOOKUP(_xlfn.CONCAT(E$6,$C8),BurnRate!$G$3:$P$1102,10,FALSE)="NR",IF(SUMIF(FAS_Centralized!K:K,C8,FAS_Centralized!N:N)=0,"NR",SUMIF(FAS_Centralized!K:K,C8,FAS_Centralized!N:N)),SUMIF(FAS_Centralized!K:K,C8,FAS_Centralized!N:N))</f>
        <v>1450</v>
      </c>
      <c r="F8" s="148">
        <f>IF(VLOOKUP(_xlfn.CONCAT(E$6,$C8),BurnRate!$G$3:$P$1102,10,FALSE)="NR","NR",IF(E8="NR","NR",E8/(VLOOKUP(_xlfn.CONCAT(E$6,$C8),BurnRate!$G$3:$P$1102,10,FALSE)/90)))</f>
        <v>0.22307692307692309</v>
      </c>
      <c r="G8" s="169">
        <f>IF(SUM(VLOOKUP($C8,DATA_Depts[[#All],[COVID-19 Item List]:[SCL]],MATCH(G$6,DATA_Depts[[#Headers],[COVID-19 Item List]:[SCL]],0),FALSE)=0),IF(VLOOKUP(_xlfn.CONCAT(G$6,$C8),BurnRate!$G$3:$P$1102,10,FALSE)="NR","NR",0),VLOOKUP($C8,DATA_Depts[[#All],[COVID-19 Item List]:[SCL]],MATCH(G$6,DATA_Depts[[#Headers],[COVID-19 Item List]:[SCL]],0),FALSE))</f>
        <v>74840</v>
      </c>
      <c r="H8" s="167">
        <f>IF(VLOOKUP(_xlfn.CONCAT(G$6,$C8),BurnRate!$G$3:$P$1102,10,FALSE)="NR","NR",IF(G8="NR","NR",G8/(VLOOKUP(_xlfn.CONCAT(G$6,$C8),BurnRate!$G$3:$P$1102,10,FALSE)/90)))</f>
        <v>115.13846153846154</v>
      </c>
      <c r="I8" s="169">
        <f>IF(SUM(VLOOKUP($C8,DATA_Depts[[#All],[COVID-19 Item List]:[SCL]],MATCH(I$6,DATA_Depts[[#Headers],[COVID-19 Item List]:[SCL]],0),FALSE)=0),IF(VLOOKUP(_xlfn.CONCAT(I$6,$C8),BurnRate!$G$3:$P$1102,10,FALSE)="NR","NR",0),VLOOKUP($C8,DATA_Depts[[#All],[COVID-19 Item List]:[SCL]],MATCH(I$6,DATA_Depts[[#Headers],[COVID-19 Item List]:[SCL]],0),FALSE))</f>
        <v>62649</v>
      </c>
      <c r="J8" s="167">
        <f>IF(VLOOKUP(_xlfn.CONCAT(I$6,$C8),BurnRate!$G$3:$P$1102,10,FALSE)="NR","NR",IF(I8="NR","NR",I8/(VLOOKUP(_xlfn.CONCAT(I$6,$C8),BurnRate!$G$3:$P$1102,10,FALSE)/90)))</f>
        <v>156.6225</v>
      </c>
      <c r="K8" s="169">
        <f>IF(SUM(VLOOKUP($C8,DATA_Depts[[#All],[COVID-19 Item List]:[SCL]],MATCH(K$6,DATA_Depts[[#Headers],[COVID-19 Item List]:[SCL]],0),FALSE)=0),IF(VLOOKUP(_xlfn.CONCAT(K$6,$C8),BurnRate!$G$3:$P$1102,10,FALSE)="NR","NR",0),VLOOKUP($C8,DATA_Depts[[#All],[COVID-19 Item List]:[SCL]],MATCH(K$6,DATA_Depts[[#Headers],[COVID-19 Item List]:[SCL]],0),FALSE))</f>
        <v>350</v>
      </c>
      <c r="L8" s="167">
        <f>IF(VLOOKUP(_xlfn.CONCAT(K$6,$C8),BurnRate!$G$3:$P$1102,10,FALSE)="NR","NR",IF(K8="NR","NR",K8/(VLOOKUP(_xlfn.CONCAT(K$6,$C8),BurnRate!$G$3:$P$1102,10,FALSE)/90)))</f>
        <v>0.875</v>
      </c>
      <c r="M8" s="169">
        <f>IF(SUM(VLOOKUP($C8,DATA_Depts[[#All],[COVID-19 Item List]:[SCL]],MATCH(M$6,DATA_Depts[[#Headers],[COVID-19 Item List]:[SCL]],0),FALSE)=0),IF(VLOOKUP(_xlfn.CONCAT(M$6,$C8),BurnRate!$G$3:$P$1102,10,FALSE)="NR","NR",0),VLOOKUP($C8,DATA_Depts[[#All],[COVID-19 Item List]:[SCL]],MATCH(M$6,DATA_Depts[[#Headers],[COVID-19 Item List]:[SCL]],0),FALSE))</f>
        <v>136</v>
      </c>
      <c r="N8" s="167">
        <f>IF(VLOOKUP(_xlfn.CONCAT(M$6,$C8),BurnRate!$G$3:$P$1102,10,FALSE)="NR","NR",IF(M8="NR","NR",M8/(VLOOKUP(_xlfn.CONCAT(M$6,$C8),BurnRate!$G$3:$P$1102,10,FALSE)/90)))</f>
        <v>0.34</v>
      </c>
      <c r="O8" s="169">
        <f>IF(SUM(VLOOKUP($C8,DATA_Depts[[#All],[COVID-19 Item List]:[SCL]],MATCH(O$6,DATA_Depts[[#Headers],[COVID-19 Item List]:[SCL]],0),FALSE)=0),IF(VLOOKUP(_xlfn.CONCAT(O$6,$C8),BurnRate!$G$3:$P$1102,10,FALSE)="NR","NR",0),VLOOKUP($C8,DATA_Depts[[#All],[COVID-19 Item List]:[SCL]],MATCH(O$6,DATA_Depts[[#Headers],[COVID-19 Item List]:[SCL]],0),FALSE))</f>
        <v>6983</v>
      </c>
      <c r="P8" s="167">
        <f>IF(VLOOKUP(_xlfn.CONCAT(O$6,$C8),BurnRate!$G$3:$P$1102,10,FALSE)="NR","NR",IF(O8="NR","NR",O8/(VLOOKUP(_xlfn.CONCAT(O$6,$C8),BurnRate!$G$3:$P$1102,10,FALSE)/90)))</f>
        <v>6.3481818181818186</v>
      </c>
      <c r="Q8" s="169">
        <f>IF(SUM(VLOOKUP($C8,DATA_Depts[[#All],[COVID-19 Item List]:[SCL]],MATCH(Q$6,DATA_Depts[[#Headers],[COVID-19 Item List]:[SCL]],0),FALSE)=0),IF(VLOOKUP(_xlfn.CONCAT(Q$6,$C8),BurnRate!$G$3:$P$1102,10,FALSE)="NR","NR",0),VLOOKUP($C8,DATA_Depts[[#All],[COVID-19 Item List]:[SCL]],MATCH(Q$6,DATA_Depts[[#Headers],[COVID-19 Item List]:[SCL]],0),FALSE))</f>
        <v>150</v>
      </c>
      <c r="R8" s="167">
        <f>IF(VLOOKUP(_xlfn.CONCAT(Q$6,$C8),BurnRate!$G$3:$P$1102,10,FALSE)="NR","NR",IF(Q8="NR","NR",Q8/(VLOOKUP(_xlfn.CONCAT(Q$6,$C8),BurnRate!$G$3:$P$1102,10,FALSE)/90)))</f>
        <v>0.27272727272727271</v>
      </c>
      <c r="S8" s="169">
        <f>IF(SUM(VLOOKUP($C8,DATA_Depts[[#All],[COVID-19 Item List]:[SCL]],MATCH(S$6,DATA_Depts[[#Headers],[COVID-19 Item List]:[SCL]],0),FALSE)=0),IF(VLOOKUP(_xlfn.CONCAT(S$6,$C8),BurnRate!$G$3:$P$1102,10,FALSE)="NR","NR",0),VLOOKUP($C8,DATA_Depts[[#All],[COVID-19 Item List]:[SCL]],MATCH(S$6,DATA_Depts[[#Headers],[COVID-19 Item List]:[SCL]],0),FALSE))</f>
        <v>904</v>
      </c>
      <c r="T8" s="167">
        <f>IF(VLOOKUP(_xlfn.CONCAT(S$6,$C8),BurnRate!$G$3:$P$1102,10,FALSE)="NR","NR",IF(S8="NR","NR",S8/(VLOOKUP(_xlfn.CONCAT(S$6,$C8),BurnRate!$G$3:$P$1102,10,FALSE)/90)))</f>
        <v>3.0133333333333332</v>
      </c>
      <c r="U8" s="169">
        <f>IF(SUM(VLOOKUP($C8,DATA_Depts[[#All],[COVID-19 Item List]:[SCL]],MATCH(U$6,DATA_Depts[[#Headers],[COVID-19 Item List]:[SCL]],0),FALSE)=0),IF(VLOOKUP(_xlfn.CONCAT(U$6,$C8),BurnRate!$G$3:$P$1102,10,FALSE)="NR","NR",0),VLOOKUP($C8,DATA_Depts[[#All],[COVID-19 Item List]:[SCL]],MATCH(U$6,DATA_Depts[[#Headers],[COVID-19 Item List]:[SCL]],0),FALSE))</f>
        <v>343</v>
      </c>
      <c r="V8" s="167">
        <f>IF(VLOOKUP(_xlfn.CONCAT(U$6,$C8),BurnRate!$G$3:$P$1102,10,FALSE)="NR","NR",IF(U8="NR","NR",U8/(VLOOKUP(_xlfn.CONCAT(U$6,$C8),BurnRate!$G$3:$P$1102,10,FALSE)/90)))</f>
        <v>0.49</v>
      </c>
      <c r="W8" s="169">
        <f>IF(SUM(VLOOKUP($C8,DATA_Depts[[#All],[COVID-19 Item List]:[SCL]],MATCH(W$6,DATA_Depts[[#Headers],[COVID-19 Item List]:[SCL]],0),FALSE)=0),IF(VLOOKUP(_xlfn.CONCAT(W$6,$C8),BurnRate!$G$3:$P$1102,10,FALSE)="NR","NR",0),VLOOKUP($C8,DATA_Depts[[#All],[COVID-19 Item List]:[SCL]],MATCH(W$6,DATA_Depts[[#Headers],[COVID-19 Item List]:[SCL]],0),FALSE))</f>
        <v>760</v>
      </c>
      <c r="X8" s="167">
        <f>IF(VLOOKUP(_xlfn.CONCAT(W$6,$C8),BurnRate!$G$3:$P$1102,10,FALSE)="NR","NR",IF(W8="NR","NR",W8/(VLOOKUP(_xlfn.CONCAT(W$6,$C8),BurnRate!$G$3:$P$1102,10,FALSE)/90)))</f>
        <v>1.9</v>
      </c>
      <c r="Y8" s="169">
        <f>IF(SUM(VLOOKUP($C8,DATA_Depts[[#All],[COVID-19 Item List]:[SCL]],MATCH(Y$6,DATA_Depts[[#Headers],[COVID-19 Item List]:[SCL]],0),FALSE)=0),IF(VLOOKUP(_xlfn.CONCAT(Y$6,$C8),BurnRate!$G$3:$P$1102,10,FALSE)="NR","NR",0),VLOOKUP($C8,DATA_Depts[[#All],[COVID-19 Item List]:[SCL]],MATCH(Y$6,DATA_Depts[[#Headers],[COVID-19 Item List]:[SCL]],0),FALSE))</f>
        <v>300</v>
      </c>
      <c r="Z8" s="167">
        <f>IF(VLOOKUP(_xlfn.CONCAT(Y$6,$C8),BurnRate!$G$3:$P$1102,10,FALSE)="NR","NR",IF(Y8="NR","NR",Y8/(VLOOKUP(_xlfn.CONCAT(Y$6,$C8),BurnRate!$G$3:$P$1102,10,FALSE)/90)))</f>
        <v>0.75</v>
      </c>
      <c r="AB8" s="62"/>
      <c r="AC8" s="62"/>
      <c r="AD8" s="62"/>
      <c r="AE8" s="62"/>
      <c r="AF8" s="62"/>
      <c r="AG8" s="62"/>
      <c r="AH8" s="62"/>
      <c r="AI8" s="62"/>
      <c r="AJ8" s="62"/>
      <c r="AK8" s="62"/>
    </row>
    <row r="9" spans="1:37" s="43" customFormat="1" ht="11">
      <c r="A9" s="421"/>
      <c r="B9" s="46">
        <v>2</v>
      </c>
      <c r="C9" s="47" t="str">
        <f>_xlfn.SINGLE(VLOOKUP(B9,DisplayOrder[#All],2,FALSE))</f>
        <v>Masks (Surgical)</v>
      </c>
      <c r="D9" s="116" t="str">
        <f>_xlfn.SINGLE(VLOOKUP(B9,DisplayOrder!A:C,3,FALSE))</f>
        <v>each</v>
      </c>
      <c r="E9" s="181">
        <f>IF(VLOOKUP(_xlfn.CONCAT(E$6,$C9),BurnRate!$G$3:$P$1102,10,FALSE)="NR",IF(SUMIF(FAS_Centralized!K:K,C9,FAS_Centralized!N:N)=0,"NR",SUMIF(FAS_Centralized!K:K,C9,FAS_Centralized!N:N)),SUMIF(FAS_Centralized!K:K,C9,FAS_Centralized!N:N))</f>
        <v>5686550</v>
      </c>
      <c r="F9" s="148">
        <f>IF(VLOOKUP(_xlfn.CONCAT(E$6,$C9),BurnRate!$G$3:$P$1102,10,FALSE)="NR","NR",IF(E9="NR","NR",E9/(VLOOKUP(_xlfn.CONCAT(E$6,$C9),BurnRate!$G$3:$P$1102,10,FALSE)/90)))</f>
        <v>124.97912087912088</v>
      </c>
      <c r="G9" s="169">
        <f>IF(SUM(VLOOKUP($C9,DATA_Depts[[#All],[COVID-19 Item List]:[SCL]],MATCH(G$6,DATA_Depts[[#Headers],[COVID-19 Item List]:[SCL]],0),FALSE)=0),IF(VLOOKUP(_xlfn.CONCAT(G$6,$C9),BurnRate!$G$3:$P$1102,10,FALSE)="NR","NR",0),VLOOKUP($C9,DATA_Depts[[#All],[COVID-19 Item List]:[SCL]],MATCH(G$6,DATA_Depts[[#Headers],[COVID-19 Item List]:[SCL]],0),FALSE))</f>
        <v>57501</v>
      </c>
      <c r="H9" s="167">
        <f>IF(VLOOKUP(_xlfn.CONCAT(G$6,$C9),BurnRate!$G$3:$P$1102,10,FALSE)="NR","NR",IF(G9="NR","NR",G9/(VLOOKUP(_xlfn.CONCAT(G$6,$C9),BurnRate!$G$3:$P$1102,10,FALSE)/90)))</f>
        <v>95.834999999999994</v>
      </c>
      <c r="I9" s="169">
        <f>IF(SUM(VLOOKUP($C9,DATA_Depts[[#All],[COVID-19 Item List]:[SCL]],MATCH(I$6,DATA_Depts[[#Headers],[COVID-19 Item List]:[SCL]],0),FALSE)=0),IF(VLOOKUP(_xlfn.CONCAT(I$6,$C9),BurnRate!$G$3:$P$1102,10,FALSE)="NR","NR",0),VLOOKUP($C9,DATA_Depts[[#All],[COVID-19 Item List]:[SCL]],MATCH(I$6,DATA_Depts[[#Headers],[COVID-19 Item List]:[SCL]],0),FALSE))</f>
        <v>65820</v>
      </c>
      <c r="J9" s="167">
        <f>IF(VLOOKUP(_xlfn.CONCAT(I$6,$C9),BurnRate!$G$3:$P$1102,10,FALSE)="NR","NR",IF(I9="NR","NR",I9/(VLOOKUP(_xlfn.CONCAT(I$6,$C9),BurnRate!$G$3:$P$1102,10,FALSE)/90)))</f>
        <v>65.819999999999993</v>
      </c>
      <c r="K9" s="169">
        <f>IF(SUM(VLOOKUP($C9,DATA_Depts[[#All],[COVID-19 Item List]:[SCL]],MATCH(K$6,DATA_Depts[[#Headers],[COVID-19 Item List]:[SCL]],0),FALSE)=0),IF(VLOOKUP(_xlfn.CONCAT(K$6,$C9),BurnRate!$G$3:$P$1102,10,FALSE)="NR","NR",0),VLOOKUP($C9,DATA_Depts[[#All],[COVID-19 Item List]:[SCL]],MATCH(K$6,DATA_Depts[[#Headers],[COVID-19 Item List]:[SCL]],0),FALSE))</f>
        <v>95000</v>
      </c>
      <c r="L9" s="167">
        <f>IF(VLOOKUP(_xlfn.CONCAT(K$6,$C9),BurnRate!$G$3:$P$1102,10,FALSE)="NR","NR",IF(K9="NR","NR",K9/(VLOOKUP(_xlfn.CONCAT(K$6,$C9),BurnRate!$G$3:$P$1102,10,FALSE)/90)))</f>
        <v>79.166666666666671</v>
      </c>
      <c r="M9" s="169" t="str">
        <f>IF(SUM(VLOOKUP($C9,DATA_Depts[[#All],[COVID-19 Item List]:[SCL]],MATCH(M$6,DATA_Depts[[#Headers],[COVID-19 Item List]:[SCL]],0),FALSE)=0),IF(VLOOKUP(_xlfn.CONCAT(M$6,$C9),BurnRate!$G$3:$P$1102,10,FALSE)="NR","NR",0),VLOOKUP($C9,DATA_Depts[[#All],[COVID-19 Item List]:[SCL]],MATCH(M$6,DATA_Depts[[#Headers],[COVID-19 Item List]:[SCL]],0),FALSE))</f>
        <v>NR</v>
      </c>
      <c r="N9" s="167" t="str">
        <f>IF(VLOOKUP(_xlfn.CONCAT(M$6,$C9),BurnRate!$G$3:$P$1102,10,FALSE)="NR","NR",IF(M9="NR","NR",M9/(VLOOKUP(_xlfn.CONCAT(M$6,$C9),BurnRate!$G$3:$P$1102,10,FALSE)/90)))</f>
        <v>NR</v>
      </c>
      <c r="O9" s="169">
        <f>IF(SUM(VLOOKUP($C9,DATA_Depts[[#All],[COVID-19 Item List]:[SCL]],MATCH(O$6,DATA_Depts[[#Headers],[COVID-19 Item List]:[SCL]],0),FALSE)=0),IF(VLOOKUP(_xlfn.CONCAT(O$6,$C9),BurnRate!$G$3:$P$1102,10,FALSE)="NR","NR",0),VLOOKUP($C9,DATA_Depts[[#All],[COVID-19 Item List]:[SCL]],MATCH(O$6,DATA_Depts[[#Headers],[COVID-19 Item List]:[SCL]],0),FALSE))</f>
        <v>2200</v>
      </c>
      <c r="P9" s="167">
        <f>IF(VLOOKUP(_xlfn.CONCAT(O$6,$C9),BurnRate!$G$3:$P$1102,10,FALSE)="NR","NR",IF(O9="NR","NR",O9/(VLOOKUP(_xlfn.CONCAT(O$6,$C9),BurnRate!$G$3:$P$1102,10,FALSE)/90)))</f>
        <v>0.66666666666666663</v>
      </c>
      <c r="Q9" s="169">
        <f>IF(SUM(VLOOKUP($C9,DATA_Depts[[#All],[COVID-19 Item List]:[SCL]],MATCH(Q$6,DATA_Depts[[#Headers],[COVID-19 Item List]:[SCL]],0),FALSE)=0),IF(VLOOKUP(_xlfn.CONCAT(Q$6,$C9),BurnRate!$G$3:$P$1102,10,FALSE)="NR","NR",0),VLOOKUP($C9,DATA_Depts[[#All],[COVID-19 Item List]:[SCL]],MATCH(Q$6,DATA_Depts[[#Headers],[COVID-19 Item List]:[SCL]],0),FALSE))</f>
        <v>250</v>
      </c>
      <c r="R9" s="167">
        <f>IF(VLOOKUP(_xlfn.CONCAT(Q$6,$C9),BurnRate!$G$3:$P$1102,10,FALSE)="NR","NR",IF(Q9="NR","NR",Q9/(VLOOKUP(_xlfn.CONCAT(Q$6,$C9),BurnRate!$G$3:$P$1102,10,FALSE)/90)))</f>
        <v>0.15151515151515152</v>
      </c>
      <c r="S9" s="169">
        <f>IF(SUM(VLOOKUP($C9,DATA_Depts[[#All],[COVID-19 Item List]:[SCL]],MATCH(S$6,DATA_Depts[[#Headers],[COVID-19 Item List]:[SCL]],0),FALSE)=0),IF(VLOOKUP(_xlfn.CONCAT(S$6,$C9),BurnRate!$G$3:$P$1102,10,FALSE)="NR","NR",0),VLOOKUP($C9,DATA_Depts[[#All],[COVID-19 Item List]:[SCL]],MATCH(S$6,DATA_Depts[[#Headers],[COVID-19 Item List]:[SCL]],0),FALSE))</f>
        <v>682000</v>
      </c>
      <c r="T9" s="167">
        <f>IF(VLOOKUP(_xlfn.CONCAT(S$6,$C9),BurnRate!$G$3:$P$1102,10,FALSE)="NR","NR",IF(S9="NR","NR",S9/(VLOOKUP(_xlfn.CONCAT(S$6,$C9),BurnRate!$G$3:$P$1102,10,FALSE)/90)))</f>
        <v>757.77777777777783</v>
      </c>
      <c r="U9" s="169">
        <f>IF(SUM(VLOOKUP($C9,DATA_Depts[[#All],[COVID-19 Item List]:[SCL]],MATCH(U$6,DATA_Depts[[#Headers],[COVID-19 Item List]:[SCL]],0),FALSE)=0),IF(VLOOKUP(_xlfn.CONCAT(U$6,$C9),BurnRate!$G$3:$P$1102,10,FALSE)="NR","NR",0),VLOOKUP($C9,DATA_Depts[[#All],[COVID-19 Item List]:[SCL]],MATCH(U$6,DATA_Depts[[#Headers],[COVID-19 Item List]:[SCL]],0),FALSE))</f>
        <v>250</v>
      </c>
      <c r="V9" s="167">
        <f>IF(VLOOKUP(_xlfn.CONCAT(U$6,$C9),BurnRate!$G$3:$P$1102,10,FALSE)="NR","NR",IF(U9="NR","NR",U9/(VLOOKUP(_xlfn.CONCAT(U$6,$C9),BurnRate!$G$3:$P$1102,10,FALSE)/90)))</f>
        <v>0.11904761904761904</v>
      </c>
      <c r="W9" s="169">
        <f>IF(SUM(VLOOKUP($C9,DATA_Depts[[#All],[COVID-19 Item List]:[SCL]],MATCH(W$6,DATA_Depts[[#Headers],[COVID-19 Item List]:[SCL]],0),FALSE)=0),IF(VLOOKUP(_xlfn.CONCAT(W$6,$C9),BurnRate!$G$3:$P$1102,10,FALSE)="NR","NR",0),VLOOKUP($C9,DATA_Depts[[#All],[COVID-19 Item List]:[SCL]],MATCH(W$6,DATA_Depts[[#Headers],[COVID-19 Item List]:[SCL]],0),FALSE))</f>
        <v>4000</v>
      </c>
      <c r="X9" s="167">
        <f>IF(VLOOKUP(_xlfn.CONCAT(W$6,$C9),BurnRate!$G$3:$P$1102,10,FALSE)="NR","NR",IF(W9="NR","NR",W9/(VLOOKUP(_xlfn.CONCAT(W$6,$C9),BurnRate!$G$3:$P$1102,10,FALSE)/90)))</f>
        <v>3.3333333333333335</v>
      </c>
      <c r="Y9" s="169">
        <f>IF(SUM(VLOOKUP($C9,DATA_Depts[[#All],[COVID-19 Item List]:[SCL]],MATCH(Y$6,DATA_Depts[[#Headers],[COVID-19 Item List]:[SCL]],0),FALSE)=0),IF(VLOOKUP(_xlfn.CONCAT(Y$6,$C9),BurnRate!$G$3:$P$1102,10,FALSE)="NR","NR",0),VLOOKUP($C9,DATA_Depts[[#All],[COVID-19 Item List]:[SCL]],MATCH(Y$6,DATA_Depts[[#Headers],[COVID-19 Item List]:[SCL]],0),FALSE))</f>
        <v>10098</v>
      </c>
      <c r="Z9" s="167">
        <f>IF(VLOOKUP(_xlfn.CONCAT(Y$6,$C9),BurnRate!$G$3:$P$1102,10,FALSE)="NR","NR",IF(Y9="NR","NR",Y9/(VLOOKUP(_xlfn.CONCAT(Y$6,$C9),BurnRate!$G$3:$P$1102,10,FALSE)/90)))</f>
        <v>8.4149999999999991</v>
      </c>
      <c r="AB9" s="62"/>
      <c r="AC9" s="62"/>
      <c r="AD9" s="62"/>
      <c r="AE9" s="62"/>
      <c r="AF9" s="62"/>
      <c r="AG9" s="62"/>
      <c r="AH9" s="62"/>
      <c r="AI9" s="62"/>
      <c r="AJ9" s="62"/>
      <c r="AK9" s="62"/>
    </row>
    <row r="10" spans="1:37" s="43" customFormat="1" ht="11">
      <c r="A10" s="421"/>
      <c r="B10" s="46">
        <v>3</v>
      </c>
      <c r="C10" s="47" t="str">
        <f>_xlfn.SINGLE(VLOOKUP(B10,DisplayOrder[#All],2,FALSE))</f>
        <v>Masks (Cloth)</v>
      </c>
      <c r="D10" s="116" t="str">
        <f>_xlfn.SINGLE(VLOOKUP(B10,DisplayOrder!A:C,3,FALSE))</f>
        <v>each</v>
      </c>
      <c r="E10" s="181" t="str">
        <f>IF(VLOOKUP(_xlfn.CONCAT(E$6,$C10),BurnRate!$G$3:$P$1102,10,FALSE)="NR",IF(SUMIF(FAS_Centralized!K:K,C10,FAS_Centralized!N:N)=0,"NR",SUMIF(FAS_Centralized!K:K,C10,FAS_Centralized!N:N)),SUMIF(FAS_Centralized!K:K,C10,FAS_Centralized!N:N))</f>
        <v>NR</v>
      </c>
      <c r="F10" s="148" t="str">
        <f>IF(VLOOKUP(_xlfn.CONCAT(E$6,$C10),BurnRate!$G$3:$P$1102,10,FALSE)="NR","NR",IF(E10="NR","NR",E10/(VLOOKUP(_xlfn.CONCAT(E$6,$C10),BurnRate!$G$3:$P$1102,10,FALSE)/90)))</f>
        <v>NR</v>
      </c>
      <c r="G10" s="169" t="str">
        <f>IF(SUM(VLOOKUP($C10,DATA_Depts[[#All],[COVID-19 Item List]:[SCL]],MATCH(G$6,DATA_Depts[[#Headers],[COVID-19 Item List]:[SCL]],0),FALSE)=0),IF(VLOOKUP(_xlfn.CONCAT(G$6,$C10),BurnRate!$G$3:$P$1102,10,FALSE)="NR","NR",0),VLOOKUP($C10,DATA_Depts[[#All],[COVID-19 Item List]:[SCL]],MATCH(G$6,DATA_Depts[[#Headers],[COVID-19 Item List]:[SCL]],0),FALSE))</f>
        <v>NR</v>
      </c>
      <c r="H10" s="167" t="str">
        <f>IF(VLOOKUP(_xlfn.CONCAT(G$6,$C10),BurnRate!$G$3:$P$1102,10,FALSE)="NR","NR",IF(G10="NR","NR",G10/(VLOOKUP(_xlfn.CONCAT(G$6,$C10),BurnRate!$G$3:$P$1102,10,FALSE)/90)))</f>
        <v>NR</v>
      </c>
      <c r="I10" s="169" t="str">
        <f>IF(SUM(VLOOKUP($C10,DATA_Depts[[#All],[COVID-19 Item List]:[SCL]],MATCH(I$6,DATA_Depts[[#Headers],[COVID-19 Item List]:[SCL]],0),FALSE)=0),IF(VLOOKUP(_xlfn.CONCAT(I$6,$C10),BurnRate!$G$3:$P$1102,10,FALSE)="NR","NR",0),VLOOKUP($C10,DATA_Depts[[#All],[COVID-19 Item List]:[SCL]],MATCH(I$6,DATA_Depts[[#Headers],[COVID-19 Item List]:[SCL]],0),FALSE))</f>
        <v>NR</v>
      </c>
      <c r="J10" s="167" t="str">
        <f>IF(VLOOKUP(_xlfn.CONCAT(I$6,$C10),BurnRate!$G$3:$P$1102,10,FALSE)="NR","NR",IF(I10="NR","NR",I10/(VLOOKUP(_xlfn.CONCAT(I$6,$C10),BurnRate!$G$3:$P$1102,10,FALSE)/90)))</f>
        <v>NR</v>
      </c>
      <c r="K10" s="169" t="str">
        <f>IF(SUM(VLOOKUP($C10,DATA_Depts[[#All],[COVID-19 Item List]:[SCL]],MATCH(K$6,DATA_Depts[[#Headers],[COVID-19 Item List]:[SCL]],0),FALSE)=0),IF(VLOOKUP(_xlfn.CONCAT(K$6,$C10),BurnRate!$G$3:$P$1102,10,FALSE)="NR","NR",0),VLOOKUP($C10,DATA_Depts[[#All],[COVID-19 Item List]:[SCL]],MATCH(K$6,DATA_Depts[[#Headers],[COVID-19 Item List]:[SCL]],0),FALSE))</f>
        <v>NR</v>
      </c>
      <c r="L10" s="167" t="str">
        <f>IF(VLOOKUP(_xlfn.CONCAT(K$6,$C10),BurnRate!$G$3:$P$1102,10,FALSE)="NR","NR",IF(K10="NR","NR",K10/(VLOOKUP(_xlfn.CONCAT(K$6,$C10),BurnRate!$G$3:$P$1102,10,FALSE)/90)))</f>
        <v>NR</v>
      </c>
      <c r="M10" s="169" t="str">
        <f>IF(SUM(VLOOKUP($C10,DATA_Depts[[#All],[COVID-19 Item List]:[SCL]],MATCH(M$6,DATA_Depts[[#Headers],[COVID-19 Item List]:[SCL]],0),FALSE)=0),IF(VLOOKUP(_xlfn.CONCAT(M$6,$C10),BurnRate!$G$3:$P$1102,10,FALSE)="NR","NR",0),VLOOKUP($C10,DATA_Depts[[#All],[COVID-19 Item List]:[SCL]],MATCH(M$6,DATA_Depts[[#Headers],[COVID-19 Item List]:[SCL]],0),FALSE))</f>
        <v>NR</v>
      </c>
      <c r="N10" s="167" t="str">
        <f>IF(VLOOKUP(_xlfn.CONCAT(M$6,$C10),BurnRate!$G$3:$P$1102,10,FALSE)="NR","NR",IF(M10="NR","NR",M10/(VLOOKUP(_xlfn.CONCAT(M$6,$C10),BurnRate!$G$3:$P$1102,10,FALSE)/90)))</f>
        <v>NR</v>
      </c>
      <c r="O10" s="169" t="str">
        <f>IF(SUM(VLOOKUP($C10,DATA_Depts[[#All],[COVID-19 Item List]:[SCL]],MATCH(O$6,DATA_Depts[[#Headers],[COVID-19 Item List]:[SCL]],0),FALSE)=0),IF(VLOOKUP(_xlfn.CONCAT(O$6,$C10),BurnRate!$G$3:$P$1102,10,FALSE)="NR","NR",0),VLOOKUP($C10,DATA_Depts[[#All],[COVID-19 Item List]:[SCL]],MATCH(O$6,DATA_Depts[[#Headers],[COVID-19 Item List]:[SCL]],0),FALSE))</f>
        <v>NR</v>
      </c>
      <c r="P10" s="167" t="str">
        <f>IF(VLOOKUP(_xlfn.CONCAT(O$6,$C10),BurnRate!$G$3:$P$1102,10,FALSE)="NR","NR",IF(O10="NR","NR",O10/(VLOOKUP(_xlfn.CONCAT(O$6,$C10),BurnRate!$G$3:$P$1102,10,FALSE)/90)))</f>
        <v>NR</v>
      </c>
      <c r="Q10" s="169" t="str">
        <f>IF(SUM(VLOOKUP($C10,DATA_Depts[[#All],[COVID-19 Item List]:[SCL]],MATCH(Q$6,DATA_Depts[[#Headers],[COVID-19 Item List]:[SCL]],0),FALSE)=0),IF(VLOOKUP(_xlfn.CONCAT(Q$6,$C10),BurnRate!$G$3:$P$1102,10,FALSE)="NR","NR",0),VLOOKUP($C10,DATA_Depts[[#All],[COVID-19 Item List]:[SCL]],MATCH(Q$6,DATA_Depts[[#Headers],[COVID-19 Item List]:[SCL]],0),FALSE))</f>
        <v>NR</v>
      </c>
      <c r="R10" s="167" t="str">
        <f>IF(VLOOKUP(_xlfn.CONCAT(Q$6,$C10),BurnRate!$G$3:$P$1102,10,FALSE)="NR","NR",IF(Q10="NR","NR",Q10/(VLOOKUP(_xlfn.CONCAT(Q$6,$C10),BurnRate!$G$3:$P$1102,10,FALSE)/90)))</f>
        <v>NR</v>
      </c>
      <c r="S10" s="169" t="str">
        <f>IF(SUM(VLOOKUP($C10,DATA_Depts[[#All],[COVID-19 Item List]:[SCL]],MATCH(S$6,DATA_Depts[[#Headers],[COVID-19 Item List]:[SCL]],0),FALSE)=0),IF(VLOOKUP(_xlfn.CONCAT(S$6,$C10),BurnRate!$G$3:$P$1102,10,FALSE)="NR","NR",0),VLOOKUP($C10,DATA_Depts[[#All],[COVID-19 Item List]:[SCL]],MATCH(S$6,DATA_Depts[[#Headers],[COVID-19 Item List]:[SCL]],0),FALSE))</f>
        <v>NR</v>
      </c>
      <c r="T10" s="167" t="str">
        <f>IF(VLOOKUP(_xlfn.CONCAT(S$6,$C10),BurnRate!$G$3:$P$1102,10,FALSE)="NR","NR",IF(S10="NR","NR",S10/(VLOOKUP(_xlfn.CONCAT(S$6,$C10),BurnRate!$G$3:$P$1102,10,FALSE)/90)))</f>
        <v>NR</v>
      </c>
      <c r="U10" s="169" t="str">
        <f>IF(SUM(VLOOKUP($C10,DATA_Depts[[#All],[COVID-19 Item List]:[SCL]],MATCH(U$6,DATA_Depts[[#Headers],[COVID-19 Item List]:[SCL]],0),FALSE)=0),IF(VLOOKUP(_xlfn.CONCAT(U$6,$C10),BurnRate!$G$3:$P$1102,10,FALSE)="NR","NR",0),VLOOKUP($C10,DATA_Depts[[#All],[COVID-19 Item List]:[SCL]],MATCH(U$6,DATA_Depts[[#Headers],[COVID-19 Item List]:[SCL]],0),FALSE))</f>
        <v>NR</v>
      </c>
      <c r="V10" s="167" t="str">
        <f>IF(VLOOKUP(_xlfn.CONCAT(U$6,$C10),BurnRate!$G$3:$P$1102,10,FALSE)="NR","NR",IF(U10="NR","NR",U10/(VLOOKUP(_xlfn.CONCAT(U$6,$C10),BurnRate!$G$3:$P$1102,10,FALSE)/90)))</f>
        <v>NR</v>
      </c>
      <c r="W10" s="169" t="str">
        <f>IF(SUM(VLOOKUP($C10,DATA_Depts[[#All],[COVID-19 Item List]:[SCL]],MATCH(W$6,DATA_Depts[[#Headers],[COVID-19 Item List]:[SCL]],0),FALSE)=0),IF(VLOOKUP(_xlfn.CONCAT(W$6,$C10),BurnRate!$G$3:$P$1102,10,FALSE)="NR","NR",0),VLOOKUP($C10,DATA_Depts[[#All],[COVID-19 Item List]:[SCL]],MATCH(W$6,DATA_Depts[[#Headers],[COVID-19 Item List]:[SCL]],0),FALSE))</f>
        <v>NR</v>
      </c>
      <c r="X10" s="167" t="str">
        <f>IF(VLOOKUP(_xlfn.CONCAT(W$6,$C10),BurnRate!$G$3:$P$1102,10,FALSE)="NR","NR",IF(W10="NR","NR",W10/(VLOOKUP(_xlfn.CONCAT(W$6,$C10),BurnRate!$G$3:$P$1102,10,FALSE)/90)))</f>
        <v>NR</v>
      </c>
      <c r="Y10" s="169" t="str">
        <f>IF(SUM(VLOOKUP($C10,DATA_Depts[[#All],[COVID-19 Item List]:[SCL]],MATCH(Y$6,DATA_Depts[[#Headers],[COVID-19 Item List]:[SCL]],0),FALSE)=0),IF(VLOOKUP(_xlfn.CONCAT(Y$6,$C10),BurnRate!$G$3:$P$1102,10,FALSE)="NR","NR",0),VLOOKUP($C10,DATA_Depts[[#All],[COVID-19 Item List]:[SCL]],MATCH(Y$6,DATA_Depts[[#Headers],[COVID-19 Item List]:[SCL]],0),FALSE))</f>
        <v>NR</v>
      </c>
      <c r="Z10" s="167" t="str">
        <f>IF(VLOOKUP(_xlfn.CONCAT(Y$6,$C10),BurnRate!$G$3:$P$1102,10,FALSE)="NR","NR",IF(Y10="NR","NR",Y10/(VLOOKUP(_xlfn.CONCAT(Y$6,$C10),BurnRate!$G$3:$P$1102,10,FALSE)/90)))</f>
        <v>NR</v>
      </c>
      <c r="AB10" s="62"/>
      <c r="AC10" s="62"/>
      <c r="AD10" s="62"/>
      <c r="AE10" s="62"/>
      <c r="AF10" s="62"/>
      <c r="AG10" s="62"/>
      <c r="AH10" s="62"/>
      <c r="AI10" s="62"/>
      <c r="AJ10" s="62"/>
      <c r="AK10" s="62"/>
    </row>
    <row r="11" spans="1:37" s="43" customFormat="1" ht="11">
      <c r="A11" s="421"/>
      <c r="B11" s="46">
        <v>4</v>
      </c>
      <c r="C11" s="47" t="str">
        <f>_xlfn.SINGLE(VLOOKUP(B11,DisplayOrder[#All],2,FALSE))</f>
        <v>Nitrile Gloves (Public Safety)</v>
      </c>
      <c r="D11" s="116" t="str">
        <f>_xlfn.SINGLE(VLOOKUP(B11,DisplayOrder!A:C,3,FALSE))</f>
        <v>pair</v>
      </c>
      <c r="E11" s="181">
        <f>IF(VLOOKUP(_xlfn.CONCAT(E$6,$C11),BurnRate!$G$3:$P$1102,10,FALSE)="NR",IF(SUMIF(FAS_Centralized!K:K,C11,FAS_Centralized!N:N)=0,"NR",SUMIF(FAS_Centralized!K:K,C11,FAS_Centralized!N:N)),SUMIF(FAS_Centralized!K:K,C11,FAS_Centralized!N:N))</f>
        <v>396700</v>
      </c>
      <c r="F11" s="148">
        <f>IF(VLOOKUP(_xlfn.CONCAT(E$6,$C11),BurnRate!$G$3:$P$1102,10,FALSE)="NR","NR",IF(E11="NR","NR",E11/(VLOOKUP(_xlfn.CONCAT(E$6,$C11),BurnRate!$G$3:$P$1102,10,FALSE)/90)))</f>
        <v>20.343589743589742</v>
      </c>
      <c r="G11" s="169">
        <f>IF(SUM(VLOOKUP($C11,DATA_Depts[[#All],[COVID-19 Item List]:[SCL]],MATCH(G$6,DATA_Depts[[#Headers],[COVID-19 Item List]:[SCL]],0),FALSE)=0),IF(VLOOKUP(_xlfn.CONCAT(G$6,$C11),BurnRate!$G$3:$P$1102,10,FALSE)="NR","NR",0),VLOOKUP($C11,DATA_Depts[[#All],[COVID-19 Item List]:[SCL]],MATCH(G$6,DATA_Depts[[#Headers],[COVID-19 Item List]:[SCL]],0),FALSE))</f>
        <v>175650</v>
      </c>
      <c r="H11" s="167">
        <f>IF(VLOOKUP(_xlfn.CONCAT(G$6,$C11),BurnRate!$G$3:$P$1102,10,FALSE)="NR","NR",IF(G11="NR","NR",G11/(VLOOKUP(_xlfn.CONCAT(G$6,$C11),BurnRate!$G$3:$P$1102,10,FALSE)/90)))</f>
        <v>58.55</v>
      </c>
      <c r="I11" s="169">
        <f>IF(SUM(VLOOKUP($C11,DATA_Depts[[#All],[COVID-19 Item List]:[SCL]],MATCH(I$6,DATA_Depts[[#Headers],[COVID-19 Item List]:[SCL]],0),FALSE)=0),IF(VLOOKUP(_xlfn.CONCAT(I$6,$C11),BurnRate!$G$3:$P$1102,10,FALSE)="NR","NR",0),VLOOKUP($C11,DATA_Depts[[#All],[COVID-19 Item List]:[SCL]],MATCH(I$6,DATA_Depts[[#Headers],[COVID-19 Item List]:[SCL]],0),FALSE))</f>
        <v>192400</v>
      </c>
      <c r="J11" s="167">
        <f>IF(VLOOKUP(_xlfn.CONCAT(I$6,$C11),BurnRate!$G$3:$P$1102,10,FALSE)="NR","NR",IF(I11="NR","NR",I11/(VLOOKUP(_xlfn.CONCAT(I$6,$C11),BurnRate!$G$3:$P$1102,10,FALSE)/90)))</f>
        <v>240.5</v>
      </c>
      <c r="K11" s="169" t="str">
        <f>IF(SUM(VLOOKUP($C11,DATA_Depts[[#All],[COVID-19 Item List]:[SCL]],MATCH(K$6,DATA_Depts[[#Headers],[COVID-19 Item List]:[SCL]],0),FALSE)=0),IF(VLOOKUP(_xlfn.CONCAT(K$6,$C11),BurnRate!$G$3:$P$1102,10,FALSE)="NR","NR",0),VLOOKUP($C11,DATA_Depts[[#All],[COVID-19 Item List]:[SCL]],MATCH(K$6,DATA_Depts[[#Headers],[COVID-19 Item List]:[SCL]],0),FALSE))</f>
        <v>NR</v>
      </c>
      <c r="L11" s="167" t="str">
        <f>IF(VLOOKUP(_xlfn.CONCAT(K$6,$C11),BurnRate!$G$3:$P$1102,10,FALSE)="NR","NR",IF(K11="NR","NR",K11/(VLOOKUP(_xlfn.CONCAT(K$6,$C11),BurnRate!$G$3:$P$1102,10,FALSE)/90)))</f>
        <v>NR</v>
      </c>
      <c r="M11" s="169" t="str">
        <f>IF(SUM(VLOOKUP($C11,DATA_Depts[[#All],[COVID-19 Item List]:[SCL]],MATCH(M$6,DATA_Depts[[#Headers],[COVID-19 Item List]:[SCL]],0),FALSE)=0),IF(VLOOKUP(_xlfn.CONCAT(M$6,$C11),BurnRate!$G$3:$P$1102,10,FALSE)="NR","NR",0),VLOOKUP($C11,DATA_Depts[[#All],[COVID-19 Item List]:[SCL]],MATCH(M$6,DATA_Depts[[#Headers],[COVID-19 Item List]:[SCL]],0),FALSE))</f>
        <v>NR</v>
      </c>
      <c r="N11" s="167" t="str">
        <f>IF(VLOOKUP(_xlfn.CONCAT(M$6,$C11),BurnRate!$G$3:$P$1102,10,FALSE)="NR","NR",IF(M11="NR","NR",M11/(VLOOKUP(_xlfn.CONCAT(M$6,$C11),BurnRate!$G$3:$P$1102,10,FALSE)/90)))</f>
        <v>NR</v>
      </c>
      <c r="O11" s="169" t="str">
        <f>IF(SUM(VLOOKUP($C11,DATA_Depts[[#All],[COVID-19 Item List]:[SCL]],MATCH(O$6,DATA_Depts[[#Headers],[COVID-19 Item List]:[SCL]],0),FALSE)=0),IF(VLOOKUP(_xlfn.CONCAT(O$6,$C11),BurnRate!$G$3:$P$1102,10,FALSE)="NR","NR",0),VLOOKUP($C11,DATA_Depts[[#All],[COVID-19 Item List]:[SCL]],MATCH(O$6,DATA_Depts[[#Headers],[COVID-19 Item List]:[SCL]],0),FALSE))</f>
        <v>NR</v>
      </c>
      <c r="P11" s="167" t="str">
        <f>IF(VLOOKUP(_xlfn.CONCAT(O$6,$C11),BurnRate!$G$3:$P$1102,10,FALSE)="NR","NR",IF(O11="NR","NR",O11/(VLOOKUP(_xlfn.CONCAT(O$6,$C11),BurnRate!$G$3:$P$1102,10,FALSE)/90)))</f>
        <v>NR</v>
      </c>
      <c r="Q11" s="169" t="str">
        <f>IF(SUM(VLOOKUP($C11,DATA_Depts[[#All],[COVID-19 Item List]:[SCL]],MATCH(Q$6,DATA_Depts[[#Headers],[COVID-19 Item List]:[SCL]],0),FALSE)=0),IF(VLOOKUP(_xlfn.CONCAT(Q$6,$C11),BurnRate!$G$3:$P$1102,10,FALSE)="NR","NR",0),VLOOKUP($C11,DATA_Depts[[#All],[COVID-19 Item List]:[SCL]],MATCH(Q$6,DATA_Depts[[#Headers],[COVID-19 Item List]:[SCL]],0),FALSE))</f>
        <v>NR</v>
      </c>
      <c r="R11" s="167" t="str">
        <f>IF(VLOOKUP(_xlfn.CONCAT(Q$6,$C11),BurnRate!$G$3:$P$1102,10,FALSE)="NR","NR",IF(Q11="NR","NR",Q11/(VLOOKUP(_xlfn.CONCAT(Q$6,$C11),BurnRate!$G$3:$P$1102,10,FALSE)/90)))</f>
        <v>NR</v>
      </c>
      <c r="S11" s="169" t="str">
        <f>IF(SUM(VLOOKUP($C11,DATA_Depts[[#All],[COVID-19 Item List]:[SCL]],MATCH(S$6,DATA_Depts[[#Headers],[COVID-19 Item List]:[SCL]],0),FALSE)=0),IF(VLOOKUP(_xlfn.CONCAT(S$6,$C11),BurnRate!$G$3:$P$1102,10,FALSE)="NR","NR",0),VLOOKUP($C11,DATA_Depts[[#All],[COVID-19 Item List]:[SCL]],MATCH(S$6,DATA_Depts[[#Headers],[COVID-19 Item List]:[SCL]],0),FALSE))</f>
        <v>NR</v>
      </c>
      <c r="T11" s="167" t="str">
        <f>IF(VLOOKUP(_xlfn.CONCAT(S$6,$C11),BurnRate!$G$3:$P$1102,10,FALSE)="NR","NR",IF(S11="NR","NR",S11/(VLOOKUP(_xlfn.CONCAT(S$6,$C11),BurnRate!$G$3:$P$1102,10,FALSE)/90)))</f>
        <v>NR</v>
      </c>
      <c r="U11" s="169" t="str">
        <f>IF(SUM(VLOOKUP($C11,DATA_Depts[[#All],[COVID-19 Item List]:[SCL]],MATCH(U$6,DATA_Depts[[#Headers],[COVID-19 Item List]:[SCL]],0),FALSE)=0),IF(VLOOKUP(_xlfn.CONCAT(U$6,$C11),BurnRate!$G$3:$P$1102,10,FALSE)="NR","NR",0),VLOOKUP($C11,DATA_Depts[[#All],[COVID-19 Item List]:[SCL]],MATCH(U$6,DATA_Depts[[#Headers],[COVID-19 Item List]:[SCL]],0),FALSE))</f>
        <v>NR</v>
      </c>
      <c r="V11" s="167" t="str">
        <f>IF(VLOOKUP(_xlfn.CONCAT(U$6,$C11),BurnRate!$G$3:$P$1102,10,FALSE)="NR","NR",IF(U11="NR","NR",U11/(VLOOKUP(_xlfn.CONCAT(U$6,$C11),BurnRate!$G$3:$P$1102,10,FALSE)/90)))</f>
        <v>NR</v>
      </c>
      <c r="W11" s="169" t="str">
        <f>IF(SUM(VLOOKUP($C11,DATA_Depts[[#All],[COVID-19 Item List]:[SCL]],MATCH(W$6,DATA_Depts[[#Headers],[COVID-19 Item List]:[SCL]],0),FALSE)=0),IF(VLOOKUP(_xlfn.CONCAT(W$6,$C11),BurnRate!$G$3:$P$1102,10,FALSE)="NR","NR",0),VLOOKUP($C11,DATA_Depts[[#All],[COVID-19 Item List]:[SCL]],MATCH(W$6,DATA_Depts[[#Headers],[COVID-19 Item List]:[SCL]],0),FALSE))</f>
        <v>NR</v>
      </c>
      <c r="X11" s="167" t="str">
        <f>IF(VLOOKUP(_xlfn.CONCAT(W$6,$C11),BurnRate!$G$3:$P$1102,10,FALSE)="NR","NR",IF(W11="NR","NR",W11/(VLOOKUP(_xlfn.CONCAT(W$6,$C11),BurnRate!$G$3:$P$1102,10,FALSE)/90)))</f>
        <v>NR</v>
      </c>
      <c r="Y11" s="169" t="str">
        <f>IF(SUM(VLOOKUP($C11,DATA_Depts[[#All],[COVID-19 Item List]:[SCL]],MATCH(Y$6,DATA_Depts[[#Headers],[COVID-19 Item List]:[SCL]],0),FALSE)=0),IF(VLOOKUP(_xlfn.CONCAT(Y$6,$C11),BurnRate!$G$3:$P$1102,10,FALSE)="NR","NR",0),VLOOKUP($C11,DATA_Depts[[#All],[COVID-19 Item List]:[SCL]],MATCH(Y$6,DATA_Depts[[#Headers],[COVID-19 Item List]:[SCL]],0),FALSE))</f>
        <v>NR</v>
      </c>
      <c r="Z11" s="167" t="str">
        <f>IF(VLOOKUP(_xlfn.CONCAT(Y$6,$C11),BurnRate!$G$3:$P$1102,10,FALSE)="NR","NR",IF(Y11="NR","NR",Y11/(VLOOKUP(_xlfn.CONCAT(Y$6,$C11),BurnRate!$G$3:$P$1102,10,FALSE)/90)))</f>
        <v>NR</v>
      </c>
      <c r="AB11" s="62"/>
      <c r="AC11" s="62"/>
      <c r="AD11" s="62"/>
      <c r="AE11" s="62"/>
      <c r="AF11" s="62"/>
      <c r="AG11" s="62"/>
      <c r="AH11" s="62"/>
      <c r="AI11" s="62"/>
      <c r="AJ11" s="62"/>
      <c r="AK11" s="62"/>
    </row>
    <row r="12" spans="1:37" s="43" customFormat="1" ht="11">
      <c r="A12" s="421"/>
      <c r="B12" s="46">
        <v>5</v>
      </c>
      <c r="C12" s="47" t="str">
        <f>_xlfn.SINGLE(VLOOKUP(B12,DisplayOrder[#All],2,FALSE))</f>
        <v>Nitrile Gloves (General Use)</v>
      </c>
      <c r="D12" s="116" t="str">
        <f>_xlfn.SINGLE(VLOOKUP(B12,DisplayOrder!A:C,3,FALSE))</f>
        <v>pair</v>
      </c>
      <c r="E12" s="181">
        <f>IF(VLOOKUP(_xlfn.CONCAT(E$6,$C12),BurnRate!$G$3:$P$1102,10,FALSE)="NR",IF(SUMIF(FAS_Centralized!K:K,C12,FAS_Centralized!N:N)=0,"NR",SUMIF(FAS_Centralized!K:K,C12,FAS_Centralized!N:N)),SUMIF(FAS_Centralized!K:K,C12,FAS_Centralized!N:N))</f>
        <v>174600</v>
      </c>
      <c r="F12" s="148">
        <f>IF(VLOOKUP(_xlfn.CONCAT(E$6,$C12),BurnRate!$G$3:$P$1102,10,FALSE)="NR","NR",IF(E12="NR","NR",E12/(VLOOKUP(_xlfn.CONCAT(E$6,$C12),BurnRate!$G$3:$P$1102,10,FALSE)/90)))</f>
        <v>8.953846153846154</v>
      </c>
      <c r="G12" s="169" t="str">
        <f>IF(SUM(VLOOKUP($C12,DATA_Depts[[#All],[COVID-19 Item List]:[SCL]],MATCH(G$6,DATA_Depts[[#Headers],[COVID-19 Item List]:[SCL]],0),FALSE)=0),IF(VLOOKUP(_xlfn.CONCAT(G$6,$C12),BurnRate!$G$3:$P$1102,10,FALSE)="NR","NR",0),VLOOKUP($C12,DATA_Depts[[#All],[COVID-19 Item List]:[SCL]],MATCH(G$6,DATA_Depts[[#Headers],[COVID-19 Item List]:[SCL]],0),FALSE))</f>
        <v>NR</v>
      </c>
      <c r="H12" s="167" t="str">
        <f>IF(VLOOKUP(_xlfn.CONCAT(G$6,$C12),BurnRate!$G$3:$P$1102,10,FALSE)="NR","NR",IF(G12="NR","NR",G12/(VLOOKUP(_xlfn.CONCAT(G$6,$C12),BurnRate!$G$3:$P$1102,10,FALSE)/90)))</f>
        <v>NR</v>
      </c>
      <c r="I12" s="169">
        <f>IF(SUM(VLOOKUP($C12,DATA_Depts[[#All],[COVID-19 Item List]:[SCL]],MATCH(I$6,DATA_Depts[[#Headers],[COVID-19 Item List]:[SCL]],0),FALSE)=0),IF(VLOOKUP(_xlfn.CONCAT(I$6,$C12),BurnRate!$G$3:$P$1102,10,FALSE)="NR","NR",0),VLOOKUP($C12,DATA_Depts[[#All],[COVID-19 Item List]:[SCL]],MATCH(I$6,DATA_Depts[[#Headers],[COVID-19 Item List]:[SCL]],0),FALSE))</f>
        <v>100750</v>
      </c>
      <c r="J12" s="167">
        <f>IF(VLOOKUP(_xlfn.CONCAT(I$6,$C12),BurnRate!$G$3:$P$1102,10,FALSE)="NR","NR",IF(I12="NR","NR",I12/(VLOOKUP(_xlfn.CONCAT(I$6,$C12),BurnRate!$G$3:$P$1102,10,FALSE)/90)))</f>
        <v>251.875</v>
      </c>
      <c r="K12" s="169">
        <f>IF(SUM(VLOOKUP($C12,DATA_Depts[[#All],[COVID-19 Item List]:[SCL]],MATCH(K$6,DATA_Depts[[#Headers],[COVID-19 Item List]:[SCL]],0),FALSE)=0),IF(VLOOKUP(_xlfn.CONCAT(K$6,$C12),BurnRate!$G$3:$P$1102,10,FALSE)="NR","NR",0),VLOOKUP($C12,DATA_Depts[[#All],[COVID-19 Item List]:[SCL]],MATCH(K$6,DATA_Depts[[#Headers],[COVID-19 Item List]:[SCL]],0),FALSE))</f>
        <v>900</v>
      </c>
      <c r="L12" s="167">
        <f>IF(VLOOKUP(_xlfn.CONCAT(K$6,$C12),BurnRate!$G$3:$P$1102,10,FALSE)="NR","NR",IF(K12="NR","NR",K12/(VLOOKUP(_xlfn.CONCAT(K$6,$C12),BurnRate!$G$3:$P$1102,10,FALSE)/90)))</f>
        <v>11.25</v>
      </c>
      <c r="M12" s="169">
        <f>IF(SUM(VLOOKUP($C12,DATA_Depts[[#All],[COVID-19 Item List]:[SCL]],MATCH(M$6,DATA_Depts[[#Headers],[COVID-19 Item List]:[SCL]],0),FALSE)=0),IF(VLOOKUP(_xlfn.CONCAT(M$6,$C12),BurnRate!$G$3:$P$1102,10,FALSE)="NR","NR",0),VLOOKUP($C12,DATA_Depts[[#All],[COVID-19 Item List]:[SCL]],MATCH(M$6,DATA_Depts[[#Headers],[COVID-19 Item List]:[SCL]],0),FALSE))</f>
        <v>2647</v>
      </c>
      <c r="N12" s="167">
        <f>IF(VLOOKUP(_xlfn.CONCAT(M$6,$C12),BurnRate!$G$3:$P$1102,10,FALSE)="NR","NR",IF(M12="NR","NR",M12/(VLOOKUP(_xlfn.CONCAT(M$6,$C12),BurnRate!$G$3:$P$1102,10,FALSE)/90)))</f>
        <v>2.2058333333333335</v>
      </c>
      <c r="O12" s="169">
        <f>IF(SUM(VLOOKUP($C12,DATA_Depts[[#All],[COVID-19 Item List]:[SCL]],MATCH(O$6,DATA_Depts[[#Headers],[COVID-19 Item List]:[SCL]],0),FALSE)=0),IF(VLOOKUP(_xlfn.CONCAT(O$6,$C12),BurnRate!$G$3:$P$1102,10,FALSE)="NR","NR",0),VLOOKUP($C12,DATA_Depts[[#All],[COVID-19 Item List]:[SCL]],MATCH(O$6,DATA_Depts[[#Headers],[COVID-19 Item List]:[SCL]],0),FALSE))</f>
        <v>57650</v>
      </c>
      <c r="P12" s="167">
        <f>IF(VLOOKUP(_xlfn.CONCAT(O$6,$C12),BurnRate!$G$3:$P$1102,10,FALSE)="NR","NR",IF(O12="NR","NR",O12/(VLOOKUP(_xlfn.CONCAT(O$6,$C12),BurnRate!$G$3:$P$1102,10,FALSE)/90)))</f>
        <v>17.469696969696969</v>
      </c>
      <c r="Q12" s="169">
        <f>IF(SUM(VLOOKUP($C12,DATA_Depts[[#All],[COVID-19 Item List]:[SCL]],MATCH(Q$6,DATA_Depts[[#Headers],[COVID-19 Item List]:[SCL]],0),FALSE)=0),IF(VLOOKUP(_xlfn.CONCAT(Q$6,$C12),BurnRate!$G$3:$P$1102,10,FALSE)="NR","NR",0),VLOOKUP($C12,DATA_Depts[[#All],[COVID-19 Item List]:[SCL]],MATCH(Q$6,DATA_Depts[[#Headers],[COVID-19 Item List]:[SCL]],0),FALSE))</f>
        <v>150</v>
      </c>
      <c r="R12" s="167">
        <f>IF(VLOOKUP(_xlfn.CONCAT(Q$6,$C12),BurnRate!$G$3:$P$1102,10,FALSE)="NR","NR",IF(Q12="NR","NR",Q12/(VLOOKUP(_xlfn.CONCAT(Q$6,$C12),BurnRate!$G$3:$P$1102,10,FALSE)/90)))</f>
        <v>9.0909090909090912E-2</v>
      </c>
      <c r="S12" s="169">
        <f>IF(SUM(VLOOKUP($C12,DATA_Depts[[#All],[COVID-19 Item List]:[SCL]],MATCH(S$6,DATA_Depts[[#Headers],[COVID-19 Item List]:[SCL]],0),FALSE)=0),IF(VLOOKUP(_xlfn.CONCAT(S$6,$C12),BurnRate!$G$3:$P$1102,10,FALSE)="NR","NR",0),VLOOKUP($C12,DATA_Depts[[#All],[COVID-19 Item List]:[SCL]],MATCH(S$6,DATA_Depts[[#Headers],[COVID-19 Item List]:[SCL]],0),FALSE))</f>
        <v>56250</v>
      </c>
      <c r="T12" s="167">
        <f>IF(VLOOKUP(_xlfn.CONCAT(S$6,$C12),BurnRate!$G$3:$P$1102,10,FALSE)="NR","NR",IF(S12="NR","NR",S12/(VLOOKUP(_xlfn.CONCAT(S$6,$C12),BurnRate!$G$3:$P$1102,10,FALSE)/90)))</f>
        <v>62.5</v>
      </c>
      <c r="U12" s="169">
        <f>IF(SUM(VLOOKUP($C12,DATA_Depts[[#All],[COVID-19 Item List]:[SCL]],MATCH(U$6,DATA_Depts[[#Headers],[COVID-19 Item List]:[SCL]],0),FALSE)=0),IF(VLOOKUP(_xlfn.CONCAT(U$6,$C12),BurnRate!$G$3:$P$1102,10,FALSE)="NR","NR",0),VLOOKUP($C12,DATA_Depts[[#All],[COVID-19 Item List]:[SCL]],MATCH(U$6,DATA_Depts[[#Headers],[COVID-19 Item List]:[SCL]],0),FALSE))</f>
        <v>22400</v>
      </c>
      <c r="V12" s="167">
        <f>IF(VLOOKUP(_xlfn.CONCAT(U$6,$C12),BurnRate!$G$3:$P$1102,10,FALSE)="NR","NR",IF(U12="NR","NR",U12/(VLOOKUP(_xlfn.CONCAT(U$6,$C12),BurnRate!$G$3:$P$1102,10,FALSE)/90)))</f>
        <v>10.666666666666666</v>
      </c>
      <c r="W12" s="169">
        <f>IF(SUM(VLOOKUP($C12,DATA_Depts[[#All],[COVID-19 Item List]:[SCL]],MATCH(W$6,DATA_Depts[[#Headers],[COVID-19 Item List]:[SCL]],0),FALSE)=0),IF(VLOOKUP(_xlfn.CONCAT(W$6,$C12),BurnRate!$G$3:$P$1102,10,FALSE)="NR","NR",0),VLOOKUP($C12,DATA_Depts[[#All],[COVID-19 Item List]:[SCL]],MATCH(W$6,DATA_Depts[[#Headers],[COVID-19 Item List]:[SCL]],0),FALSE))</f>
        <v>30450</v>
      </c>
      <c r="X12" s="167">
        <f>IF(VLOOKUP(_xlfn.CONCAT(W$6,$C12),BurnRate!$G$3:$P$1102,10,FALSE)="NR","NR",IF(W12="NR","NR",W12/(VLOOKUP(_xlfn.CONCAT(W$6,$C12),BurnRate!$G$3:$P$1102,10,FALSE)/90)))</f>
        <v>380.625</v>
      </c>
      <c r="Y12" s="169">
        <f>IF(SUM(VLOOKUP($C12,DATA_Depts[[#All],[COVID-19 Item List]:[SCL]],MATCH(Y$6,DATA_Depts[[#Headers],[COVID-19 Item List]:[SCL]],0),FALSE)=0),IF(VLOOKUP(_xlfn.CONCAT(Y$6,$C12),BurnRate!$G$3:$P$1102,10,FALSE)="NR","NR",0),VLOOKUP($C12,DATA_Depts[[#All],[COVID-19 Item List]:[SCL]],MATCH(Y$6,DATA_Depts[[#Headers],[COVID-19 Item List]:[SCL]],0),FALSE))</f>
        <v>11850</v>
      </c>
      <c r="Z12" s="167">
        <f>IF(VLOOKUP(_xlfn.CONCAT(Y$6,$C12),BurnRate!$G$3:$P$1102,10,FALSE)="NR","NR",IF(Y12="NR","NR",Y12/(VLOOKUP(_xlfn.CONCAT(Y$6,$C12),BurnRate!$G$3:$P$1102,10,FALSE)/90)))</f>
        <v>9.875</v>
      </c>
      <c r="AB12" s="62"/>
      <c r="AC12" s="62"/>
      <c r="AD12" s="62"/>
      <c r="AE12" s="62"/>
      <c r="AF12" s="62"/>
      <c r="AG12" s="62"/>
      <c r="AH12" s="62"/>
      <c r="AI12" s="62"/>
      <c r="AJ12" s="62"/>
      <c r="AK12" s="62"/>
    </row>
    <row r="13" spans="1:37" s="43" customFormat="1" ht="11">
      <c r="A13" s="421"/>
      <c r="B13" s="46">
        <v>6</v>
      </c>
      <c r="C13" s="47" t="str">
        <f>_xlfn.SINGLE(VLOOKUP(B13,DisplayOrder[#All],2,FALSE))</f>
        <v>Surgical Gowns</v>
      </c>
      <c r="D13" s="116" t="str">
        <f>_xlfn.SINGLE(VLOOKUP(B13,DisplayOrder!A:C,3,FALSE))</f>
        <v>each</v>
      </c>
      <c r="E13" s="181">
        <f>IF(VLOOKUP(_xlfn.CONCAT(E$6,$C13),BurnRate!$G$3:$P$1102,10,FALSE)="NR",IF(SUMIF(FAS_Centralized!K:K,C13,FAS_Centralized!N:N)=0,"NR",SUMIF(FAS_Centralized!K:K,C13,FAS_Centralized!N:N)),SUMIF(FAS_Centralized!K:K,C13,FAS_Centralized!N:N))</f>
        <v>1872</v>
      </c>
      <c r="F13" s="148">
        <f>IF(VLOOKUP(_xlfn.CONCAT(E$6,$C13),BurnRate!$G$3:$P$1102,10,FALSE)="NR","NR",IF(E13="NR","NR",E13/(VLOOKUP(_xlfn.CONCAT(E$6,$C13),BurnRate!$G$3:$P$1102,10,FALSE)/90)))</f>
        <v>1.8720000000000001</v>
      </c>
      <c r="G13" s="169">
        <f>IF(SUM(VLOOKUP($C13,DATA_Depts[[#All],[COVID-19 Item List]:[SCL]],MATCH(G$6,DATA_Depts[[#Headers],[COVID-19 Item List]:[SCL]],0),FALSE)=0),IF(VLOOKUP(_xlfn.CONCAT(G$6,$C13),BurnRate!$G$3:$P$1102,10,FALSE)="NR","NR",0),VLOOKUP($C13,DATA_Depts[[#All],[COVID-19 Item List]:[SCL]],MATCH(G$6,DATA_Depts[[#Headers],[COVID-19 Item List]:[SCL]],0),FALSE))</f>
        <v>72892</v>
      </c>
      <c r="H13" s="167">
        <f>IF(VLOOKUP(_xlfn.CONCAT(G$6,$C13),BurnRate!$G$3:$P$1102,10,FALSE)="NR","NR",IF(G13="NR","NR",G13/(VLOOKUP(_xlfn.CONCAT(G$6,$C13),BurnRate!$G$3:$P$1102,10,FALSE)/90)))</f>
        <v>112.14153846153846</v>
      </c>
      <c r="I13" s="169">
        <f>IF(SUM(VLOOKUP($C13,DATA_Depts[[#All],[COVID-19 Item List]:[SCL]],MATCH(I$6,DATA_Depts[[#Headers],[COVID-19 Item List]:[SCL]],0),FALSE)=0),IF(VLOOKUP(_xlfn.CONCAT(I$6,$C13),BurnRate!$G$3:$P$1102,10,FALSE)="NR","NR",0),VLOOKUP($C13,DATA_Depts[[#All],[COVID-19 Item List]:[SCL]],MATCH(I$6,DATA_Depts[[#Headers],[COVID-19 Item List]:[SCL]],0),FALSE))</f>
        <v>3920</v>
      </c>
      <c r="J13" s="167">
        <f>IF(VLOOKUP(_xlfn.CONCAT(I$6,$C13),BurnRate!$G$3:$P$1102,10,FALSE)="NR","NR",IF(I13="NR","NR",I13/(VLOOKUP(_xlfn.CONCAT(I$6,$C13),BurnRate!$G$3:$P$1102,10,FALSE)/90)))</f>
        <v>245</v>
      </c>
      <c r="K13" s="169">
        <f>IF(SUM(VLOOKUP($C13,DATA_Depts[[#All],[COVID-19 Item List]:[SCL]],MATCH(K$6,DATA_Depts[[#Headers],[COVID-19 Item List]:[SCL]],0),FALSE)=0),IF(VLOOKUP(_xlfn.CONCAT(K$6,$C13),BurnRate!$G$3:$P$1102,10,FALSE)="NR","NR",0),VLOOKUP($C13,DATA_Depts[[#All],[COVID-19 Item List]:[SCL]],MATCH(K$6,DATA_Depts[[#Headers],[COVID-19 Item List]:[SCL]],0),FALSE))</f>
        <v>500</v>
      </c>
      <c r="L13" s="167" t="str">
        <f>IF(VLOOKUP(_xlfn.CONCAT(K$6,$C13),BurnRate!$G$3:$P$1102,10,FALSE)="NR","NR",IF(K13="NR","NR",K13/(VLOOKUP(_xlfn.CONCAT(K$6,$C13),BurnRate!$G$3:$P$1102,10,FALSE)/90)))</f>
        <v>NR</v>
      </c>
      <c r="M13" s="169" t="str">
        <f>IF(SUM(VLOOKUP($C13,DATA_Depts[[#All],[COVID-19 Item List]:[SCL]],MATCH(M$6,DATA_Depts[[#Headers],[COVID-19 Item List]:[SCL]],0),FALSE)=0),IF(VLOOKUP(_xlfn.CONCAT(M$6,$C13),BurnRate!$G$3:$P$1102,10,FALSE)="NR","NR",0),VLOOKUP($C13,DATA_Depts[[#All],[COVID-19 Item List]:[SCL]],MATCH(M$6,DATA_Depts[[#Headers],[COVID-19 Item List]:[SCL]],0),FALSE))</f>
        <v>NR</v>
      </c>
      <c r="N13" s="167" t="str">
        <f>IF(VLOOKUP(_xlfn.CONCAT(M$6,$C13),BurnRate!$G$3:$P$1102,10,FALSE)="NR","NR",IF(M13="NR","NR",M13/(VLOOKUP(_xlfn.CONCAT(M$6,$C13),BurnRate!$G$3:$P$1102,10,FALSE)/90)))</f>
        <v>NR</v>
      </c>
      <c r="O13" s="169" t="str">
        <f>IF(SUM(VLOOKUP($C13,DATA_Depts[[#All],[COVID-19 Item List]:[SCL]],MATCH(O$6,DATA_Depts[[#Headers],[COVID-19 Item List]:[SCL]],0),FALSE)=0),IF(VLOOKUP(_xlfn.CONCAT(O$6,$C13),BurnRate!$G$3:$P$1102,10,FALSE)="NR","NR",0),VLOOKUP($C13,DATA_Depts[[#All],[COVID-19 Item List]:[SCL]],MATCH(O$6,DATA_Depts[[#Headers],[COVID-19 Item List]:[SCL]],0),FALSE))</f>
        <v>NR</v>
      </c>
      <c r="P13" s="167" t="str">
        <f>IF(VLOOKUP(_xlfn.CONCAT(O$6,$C13),BurnRate!$G$3:$P$1102,10,FALSE)="NR","NR",IF(O13="NR","NR",O13/(VLOOKUP(_xlfn.CONCAT(O$6,$C13),BurnRate!$G$3:$P$1102,10,FALSE)/90)))</f>
        <v>NR</v>
      </c>
      <c r="Q13" s="169" t="str">
        <f>IF(SUM(VLOOKUP($C13,DATA_Depts[[#All],[COVID-19 Item List]:[SCL]],MATCH(Q$6,DATA_Depts[[#Headers],[COVID-19 Item List]:[SCL]],0),FALSE)=0),IF(VLOOKUP(_xlfn.CONCAT(Q$6,$C13),BurnRate!$G$3:$P$1102,10,FALSE)="NR","NR",0),VLOOKUP($C13,DATA_Depts[[#All],[COVID-19 Item List]:[SCL]],MATCH(Q$6,DATA_Depts[[#Headers],[COVID-19 Item List]:[SCL]],0),FALSE))</f>
        <v>NR</v>
      </c>
      <c r="R13" s="167" t="str">
        <f>IF(VLOOKUP(_xlfn.CONCAT(Q$6,$C13),BurnRate!$G$3:$P$1102,10,FALSE)="NR","NR",IF(Q13="NR","NR",Q13/(VLOOKUP(_xlfn.CONCAT(Q$6,$C13),BurnRate!$G$3:$P$1102,10,FALSE)/90)))</f>
        <v>NR</v>
      </c>
      <c r="S13" s="169">
        <f>IF(SUM(VLOOKUP($C13,DATA_Depts[[#All],[COVID-19 Item List]:[SCL]],MATCH(S$6,DATA_Depts[[#Headers],[COVID-19 Item List]:[SCL]],0),FALSE)=0),IF(VLOOKUP(_xlfn.CONCAT(S$6,$C13),BurnRate!$G$3:$P$1102,10,FALSE)="NR","NR",0),VLOOKUP($C13,DATA_Depts[[#All],[COVID-19 Item List]:[SCL]],MATCH(S$6,DATA_Depts[[#Headers],[COVID-19 Item List]:[SCL]],0),FALSE))</f>
        <v>150</v>
      </c>
      <c r="T13" s="167" t="str">
        <f>IF(VLOOKUP(_xlfn.CONCAT(S$6,$C13),BurnRate!$G$3:$P$1102,10,FALSE)="NR","NR",IF(S13="NR","NR",S13/(VLOOKUP(_xlfn.CONCAT(S$6,$C13),BurnRate!$G$3:$P$1102,10,FALSE)/90)))</f>
        <v>NR</v>
      </c>
      <c r="U13" s="169" t="str">
        <f>IF(SUM(VLOOKUP($C13,DATA_Depts[[#All],[COVID-19 Item List]:[SCL]],MATCH(U$6,DATA_Depts[[#Headers],[COVID-19 Item List]:[SCL]],0),FALSE)=0),IF(VLOOKUP(_xlfn.CONCAT(U$6,$C13),BurnRate!$G$3:$P$1102,10,FALSE)="NR","NR",0),VLOOKUP($C13,DATA_Depts[[#All],[COVID-19 Item List]:[SCL]],MATCH(U$6,DATA_Depts[[#Headers],[COVID-19 Item List]:[SCL]],0),FALSE))</f>
        <v>NR</v>
      </c>
      <c r="V13" s="167" t="str">
        <f>IF(VLOOKUP(_xlfn.CONCAT(U$6,$C13),BurnRate!$G$3:$P$1102,10,FALSE)="NR","NR",IF(U13="NR","NR",U13/(VLOOKUP(_xlfn.CONCAT(U$6,$C13),BurnRate!$G$3:$P$1102,10,FALSE)/90)))</f>
        <v>NR</v>
      </c>
      <c r="W13" s="169" t="str">
        <f>IF(SUM(VLOOKUP($C13,DATA_Depts[[#All],[COVID-19 Item List]:[SCL]],MATCH(W$6,DATA_Depts[[#Headers],[COVID-19 Item List]:[SCL]],0),FALSE)=0),IF(VLOOKUP(_xlfn.CONCAT(W$6,$C13),BurnRate!$G$3:$P$1102,10,FALSE)="NR","NR",0),VLOOKUP($C13,DATA_Depts[[#All],[COVID-19 Item List]:[SCL]],MATCH(W$6,DATA_Depts[[#Headers],[COVID-19 Item List]:[SCL]],0),FALSE))</f>
        <v>NR</v>
      </c>
      <c r="X13" s="167" t="str">
        <f>IF(VLOOKUP(_xlfn.CONCAT(W$6,$C13),BurnRate!$G$3:$P$1102,10,FALSE)="NR","NR",IF(W13="NR","NR",W13/(VLOOKUP(_xlfn.CONCAT(W$6,$C13),BurnRate!$G$3:$P$1102,10,FALSE)/90)))</f>
        <v>NR</v>
      </c>
      <c r="Y13" s="169" t="str">
        <f>IF(SUM(VLOOKUP($C13,DATA_Depts[[#All],[COVID-19 Item List]:[SCL]],MATCH(Y$6,DATA_Depts[[#Headers],[COVID-19 Item List]:[SCL]],0),FALSE)=0),IF(VLOOKUP(_xlfn.CONCAT(Y$6,$C13),BurnRate!$G$3:$P$1102,10,FALSE)="NR","NR",0),VLOOKUP($C13,DATA_Depts[[#All],[COVID-19 Item List]:[SCL]],MATCH(Y$6,DATA_Depts[[#Headers],[COVID-19 Item List]:[SCL]],0),FALSE))</f>
        <v>NR</v>
      </c>
      <c r="Z13" s="167" t="str">
        <f>IF(VLOOKUP(_xlfn.CONCAT(Y$6,$C13),BurnRate!$G$3:$P$1102,10,FALSE)="NR","NR",IF(Y13="NR","NR",Y13/(VLOOKUP(_xlfn.CONCAT(Y$6,$C13),BurnRate!$G$3:$P$1102,10,FALSE)/90)))</f>
        <v>NR</v>
      </c>
      <c r="AB13" s="62"/>
      <c r="AC13" s="62"/>
      <c r="AD13" s="62"/>
      <c r="AE13" s="62"/>
      <c r="AF13" s="62"/>
      <c r="AG13" s="62"/>
      <c r="AH13" s="62"/>
      <c r="AI13" s="62"/>
      <c r="AJ13" s="62"/>
      <c r="AK13" s="62"/>
    </row>
    <row r="14" spans="1:37" s="43" customFormat="1" ht="11">
      <c r="A14" s="421"/>
      <c r="B14" s="46">
        <v>7</v>
      </c>
      <c r="C14" s="47" t="str">
        <f>_xlfn.SINGLE(VLOOKUP(B14,DisplayOrder[#All],2,FALSE))</f>
        <v>Tyvek Suits</v>
      </c>
      <c r="D14" s="116" t="str">
        <f>_xlfn.SINGLE(VLOOKUP(B14,DisplayOrder!A:C,3,FALSE))</f>
        <v>each</v>
      </c>
      <c r="E14" s="181">
        <f>IF(VLOOKUP(_xlfn.CONCAT(E$6,$C14),BurnRate!$G$3:$P$1102,10,FALSE)="NR",IF(SUMIF(FAS_Centralized!K:K,C14,FAS_Centralized!N:N)=0,"NR",SUMIF(FAS_Centralized!K:K,C14,FAS_Centralized!N:N)),SUMIF(FAS_Centralized!K:K,C14,FAS_Centralized!N:N))</f>
        <v>2025</v>
      </c>
      <c r="F14" s="148">
        <f>IF(VLOOKUP(_xlfn.CONCAT(E$6,$C14),BurnRate!$G$3:$P$1102,10,FALSE)="NR","NR",IF(E14="NR","NR",E14/(VLOOKUP(_xlfn.CONCAT(E$6,$C14),BurnRate!$G$3:$P$1102,10,FALSE)/90)))</f>
        <v>303.75</v>
      </c>
      <c r="G14" s="169" t="str">
        <f>IF(SUM(VLOOKUP($C14,DATA_Depts[[#All],[COVID-19 Item List]:[SCL]],MATCH(G$6,DATA_Depts[[#Headers],[COVID-19 Item List]:[SCL]],0),FALSE)=0),IF(VLOOKUP(_xlfn.CONCAT(G$6,$C14),BurnRate!$G$3:$P$1102,10,FALSE)="NR","NR",0),VLOOKUP($C14,DATA_Depts[[#All],[COVID-19 Item List]:[SCL]],MATCH(G$6,DATA_Depts[[#Headers],[COVID-19 Item List]:[SCL]],0),FALSE))</f>
        <v>NR</v>
      </c>
      <c r="H14" s="167" t="str">
        <f>IF(VLOOKUP(_xlfn.CONCAT(G$6,$C14),BurnRate!$G$3:$P$1102,10,FALSE)="NR","NR",IF(G14="NR","NR",G14/(VLOOKUP(_xlfn.CONCAT(G$6,$C14),BurnRate!$G$3:$P$1102,10,FALSE)/90)))</f>
        <v>NR</v>
      </c>
      <c r="I14" s="169">
        <f>IF(SUM(VLOOKUP($C14,DATA_Depts[[#All],[COVID-19 Item List]:[SCL]],MATCH(I$6,DATA_Depts[[#Headers],[COVID-19 Item List]:[SCL]],0),FALSE)=0),IF(VLOOKUP(_xlfn.CONCAT(I$6,$C14),BurnRate!$G$3:$P$1102,10,FALSE)="NR","NR",0),VLOOKUP($C14,DATA_Depts[[#All],[COVID-19 Item List]:[SCL]],MATCH(I$6,DATA_Depts[[#Headers],[COVID-19 Item List]:[SCL]],0),FALSE))</f>
        <v>36</v>
      </c>
      <c r="J14" s="167" t="str">
        <f>IF(VLOOKUP(_xlfn.CONCAT(I$6,$C14),BurnRate!$G$3:$P$1102,10,FALSE)="NR","NR",IF(I14="NR","NR",I14/(VLOOKUP(_xlfn.CONCAT(I$6,$C14),BurnRate!$G$3:$P$1102,10,FALSE)/90)))</f>
        <v>NR</v>
      </c>
      <c r="K14" s="169">
        <f>IF(SUM(VLOOKUP($C14,DATA_Depts[[#All],[COVID-19 Item List]:[SCL]],MATCH(K$6,DATA_Depts[[#Headers],[COVID-19 Item List]:[SCL]],0),FALSE)=0),IF(VLOOKUP(_xlfn.CONCAT(K$6,$C14),BurnRate!$G$3:$P$1102,10,FALSE)="NR","NR",0),VLOOKUP($C14,DATA_Depts[[#All],[COVID-19 Item List]:[SCL]],MATCH(K$6,DATA_Depts[[#Headers],[COVID-19 Item List]:[SCL]],0),FALSE))</f>
        <v>300</v>
      </c>
      <c r="L14" s="167" t="str">
        <f>IF(VLOOKUP(_xlfn.CONCAT(K$6,$C14),BurnRate!$G$3:$P$1102,10,FALSE)="NR","NR",IF(K14="NR","NR",K14/(VLOOKUP(_xlfn.CONCAT(K$6,$C14),BurnRate!$G$3:$P$1102,10,FALSE)/90)))</f>
        <v>NR</v>
      </c>
      <c r="M14" s="169">
        <f>IF(SUM(VLOOKUP($C14,DATA_Depts[[#All],[COVID-19 Item List]:[SCL]],MATCH(M$6,DATA_Depts[[#Headers],[COVID-19 Item List]:[SCL]],0),FALSE)=0),IF(VLOOKUP(_xlfn.CONCAT(M$6,$C14),BurnRate!$G$3:$P$1102,10,FALSE)="NR","NR",0),VLOOKUP($C14,DATA_Depts[[#All],[COVID-19 Item List]:[SCL]],MATCH(M$6,DATA_Depts[[#Headers],[COVID-19 Item List]:[SCL]],0),FALSE))</f>
        <v>793</v>
      </c>
      <c r="N14" s="167" t="str">
        <f>IF(VLOOKUP(_xlfn.CONCAT(M$6,$C14),BurnRate!$G$3:$P$1102,10,FALSE)="NR","NR",IF(M14="NR","NR",M14/(VLOOKUP(_xlfn.CONCAT(M$6,$C14),BurnRate!$G$3:$P$1102,10,FALSE)/90)))</f>
        <v>NR</v>
      </c>
      <c r="O14" s="169">
        <f>IF(SUM(VLOOKUP($C14,DATA_Depts[[#All],[COVID-19 Item List]:[SCL]],MATCH(O$6,DATA_Depts[[#Headers],[COVID-19 Item List]:[SCL]],0),FALSE)=0),IF(VLOOKUP(_xlfn.CONCAT(O$6,$C14),BurnRate!$G$3:$P$1102,10,FALSE)="NR","NR",0),VLOOKUP($C14,DATA_Depts[[#All],[COVID-19 Item List]:[SCL]],MATCH(O$6,DATA_Depts[[#Headers],[COVID-19 Item List]:[SCL]],0),FALSE))</f>
        <v>141</v>
      </c>
      <c r="P14" s="167" t="str">
        <f>IF(VLOOKUP(_xlfn.CONCAT(O$6,$C14),BurnRate!$G$3:$P$1102,10,FALSE)="NR","NR",IF(O14="NR","NR",O14/(VLOOKUP(_xlfn.CONCAT(O$6,$C14),BurnRate!$G$3:$P$1102,10,FALSE)/90)))</f>
        <v>NR</v>
      </c>
      <c r="Q14" s="169" t="str">
        <f>IF(SUM(VLOOKUP($C14,DATA_Depts[[#All],[COVID-19 Item List]:[SCL]],MATCH(Q$6,DATA_Depts[[#Headers],[COVID-19 Item List]:[SCL]],0),FALSE)=0),IF(VLOOKUP(_xlfn.CONCAT(Q$6,$C14),BurnRate!$G$3:$P$1102,10,FALSE)="NR","NR",0),VLOOKUP($C14,DATA_Depts[[#All],[COVID-19 Item List]:[SCL]],MATCH(Q$6,DATA_Depts[[#Headers],[COVID-19 Item List]:[SCL]],0),FALSE))</f>
        <v>NR</v>
      </c>
      <c r="R14" s="167" t="str">
        <f>IF(VLOOKUP(_xlfn.CONCAT(Q$6,$C14),BurnRate!$G$3:$P$1102,10,FALSE)="NR","NR",IF(Q14="NR","NR",Q14/(VLOOKUP(_xlfn.CONCAT(Q$6,$C14),BurnRate!$G$3:$P$1102,10,FALSE)/90)))</f>
        <v>NR</v>
      </c>
      <c r="S14" s="169" t="str">
        <f>IF(SUM(VLOOKUP($C14,DATA_Depts[[#All],[COVID-19 Item List]:[SCL]],MATCH(S$6,DATA_Depts[[#Headers],[COVID-19 Item List]:[SCL]],0),FALSE)=0),IF(VLOOKUP(_xlfn.CONCAT(S$6,$C14),BurnRate!$G$3:$P$1102,10,FALSE)="NR","NR",0),VLOOKUP($C14,DATA_Depts[[#All],[COVID-19 Item List]:[SCL]],MATCH(S$6,DATA_Depts[[#Headers],[COVID-19 Item List]:[SCL]],0),FALSE))</f>
        <v>NR</v>
      </c>
      <c r="T14" s="167" t="str">
        <f>IF(VLOOKUP(_xlfn.CONCAT(S$6,$C14),BurnRate!$G$3:$P$1102,10,FALSE)="NR","NR",IF(S14="NR","NR",S14/(VLOOKUP(_xlfn.CONCAT(S$6,$C14),BurnRate!$G$3:$P$1102,10,FALSE)/90)))</f>
        <v>NR</v>
      </c>
      <c r="U14" s="169" t="str">
        <f>IF(SUM(VLOOKUP($C14,DATA_Depts[[#All],[COVID-19 Item List]:[SCL]],MATCH(U$6,DATA_Depts[[#Headers],[COVID-19 Item List]:[SCL]],0),FALSE)=0),IF(VLOOKUP(_xlfn.CONCAT(U$6,$C14),BurnRate!$G$3:$P$1102,10,FALSE)="NR","NR",0),VLOOKUP($C14,DATA_Depts[[#All],[COVID-19 Item List]:[SCL]],MATCH(U$6,DATA_Depts[[#Headers],[COVID-19 Item List]:[SCL]],0),FALSE))</f>
        <v>NR</v>
      </c>
      <c r="V14" s="167" t="str">
        <f>IF(VLOOKUP(_xlfn.CONCAT(U$6,$C14),BurnRate!$G$3:$P$1102,10,FALSE)="NR","NR",IF(U14="NR","NR",U14/(VLOOKUP(_xlfn.CONCAT(U$6,$C14),BurnRate!$G$3:$P$1102,10,FALSE)/90)))</f>
        <v>NR</v>
      </c>
      <c r="W14" s="169">
        <f>IF(SUM(VLOOKUP($C14,DATA_Depts[[#All],[COVID-19 Item List]:[SCL]],MATCH(W$6,DATA_Depts[[#Headers],[COVID-19 Item List]:[SCL]],0),FALSE)=0),IF(VLOOKUP(_xlfn.CONCAT(W$6,$C14),BurnRate!$G$3:$P$1102,10,FALSE)="NR","NR",0),VLOOKUP($C14,DATA_Depts[[#All],[COVID-19 Item List]:[SCL]],MATCH(W$6,DATA_Depts[[#Headers],[COVID-19 Item List]:[SCL]],0),FALSE))</f>
        <v>125</v>
      </c>
      <c r="X14" s="167" t="str">
        <f>IF(VLOOKUP(_xlfn.CONCAT(W$6,$C14),BurnRate!$G$3:$P$1102,10,FALSE)="NR","NR",IF(W14="NR","NR",W14/(VLOOKUP(_xlfn.CONCAT(W$6,$C14),BurnRate!$G$3:$P$1102,10,FALSE)/90)))</f>
        <v>NR</v>
      </c>
      <c r="Y14" s="169" t="str">
        <f>IF(SUM(VLOOKUP($C14,DATA_Depts[[#All],[COVID-19 Item List]:[SCL]],MATCH(Y$6,DATA_Depts[[#Headers],[COVID-19 Item List]:[SCL]],0),FALSE)=0),IF(VLOOKUP(_xlfn.CONCAT(Y$6,$C14),BurnRate!$G$3:$P$1102,10,FALSE)="NR","NR",0),VLOOKUP($C14,DATA_Depts[[#All],[COVID-19 Item List]:[SCL]],MATCH(Y$6,DATA_Depts[[#Headers],[COVID-19 Item List]:[SCL]],0),FALSE))</f>
        <v>NR</v>
      </c>
      <c r="Z14" s="167" t="str">
        <f>IF(VLOOKUP(_xlfn.CONCAT(Y$6,$C14),BurnRate!$G$3:$P$1102,10,FALSE)="NR","NR",IF(Y14="NR","NR",Y14/(VLOOKUP(_xlfn.CONCAT(Y$6,$C14),BurnRate!$G$3:$P$1102,10,FALSE)/90)))</f>
        <v>NR</v>
      </c>
      <c r="AB14" s="62"/>
      <c r="AC14" s="62"/>
      <c r="AD14" s="62"/>
      <c r="AE14" s="62"/>
      <c r="AF14" s="62"/>
      <c r="AG14" s="62"/>
      <c r="AH14" s="62"/>
      <c r="AI14" s="62"/>
      <c r="AJ14" s="62"/>
      <c r="AK14" s="62"/>
    </row>
    <row r="15" spans="1:37" s="43" customFormat="1" ht="11">
      <c r="A15" s="421"/>
      <c r="B15" s="46">
        <v>8</v>
      </c>
      <c r="C15" s="47" t="str">
        <f>_xlfn.SINGLE(VLOOKUP(B15,DisplayOrder[#All],2,FALSE))</f>
        <v>Tyvek Suits w/hoods</v>
      </c>
      <c r="D15" s="116" t="str">
        <f>_xlfn.SINGLE(VLOOKUP(B15,DisplayOrder!A:C,3,FALSE))</f>
        <v>each</v>
      </c>
      <c r="E15" s="181">
        <f>IF(VLOOKUP(_xlfn.CONCAT(E$6,$C15),BurnRate!$G$3:$P$1102,10,FALSE)="NR",IF(SUMIF(FAS_Centralized!K:K,C15,FAS_Centralized!N:N)=0,"NR",SUMIF(FAS_Centralized!K:K,C15,FAS_Centralized!N:N)),SUMIF(FAS_Centralized!K:K,C15,FAS_Centralized!N:N))</f>
        <v>1667</v>
      </c>
      <c r="F15" s="148">
        <f>IF(VLOOKUP(_xlfn.CONCAT(E$6,$C15),BurnRate!$G$3:$P$1102,10,FALSE)="NR","NR",IF(E15="NR","NR",E15/(VLOOKUP(_xlfn.CONCAT(E$6,$C15),BurnRate!$G$3:$P$1102,10,FALSE)/90)))</f>
        <v>250.04999999999998</v>
      </c>
      <c r="G15" s="169" t="str">
        <f>IF(SUM(VLOOKUP($C15,DATA_Depts[[#All],[COVID-19 Item List]:[SCL]],MATCH(G$6,DATA_Depts[[#Headers],[COVID-19 Item List]:[SCL]],0),FALSE)=0),IF(VLOOKUP(_xlfn.CONCAT(G$6,$C15),BurnRate!$G$3:$P$1102,10,FALSE)="NR","NR",0),VLOOKUP($C15,DATA_Depts[[#All],[COVID-19 Item List]:[SCL]],MATCH(G$6,DATA_Depts[[#Headers],[COVID-19 Item List]:[SCL]],0),FALSE))</f>
        <v>NR</v>
      </c>
      <c r="H15" s="167" t="str">
        <f>IF(VLOOKUP(_xlfn.CONCAT(G$6,$C15),BurnRate!$G$3:$P$1102,10,FALSE)="NR","NR",IF(G15="NR","NR",G15/(VLOOKUP(_xlfn.CONCAT(G$6,$C15),BurnRate!$G$3:$P$1102,10,FALSE)/90)))</f>
        <v>NR</v>
      </c>
      <c r="I15" s="169" t="str">
        <f>IF(SUM(VLOOKUP($C15,DATA_Depts[[#All],[COVID-19 Item List]:[SCL]],MATCH(I$6,DATA_Depts[[#Headers],[COVID-19 Item List]:[SCL]],0),FALSE)=0),IF(VLOOKUP(_xlfn.CONCAT(I$6,$C15),BurnRate!$G$3:$P$1102,10,FALSE)="NR","NR",0),VLOOKUP($C15,DATA_Depts[[#All],[COVID-19 Item List]:[SCL]],MATCH(I$6,DATA_Depts[[#Headers],[COVID-19 Item List]:[SCL]],0),FALSE))</f>
        <v>NR</v>
      </c>
      <c r="J15" s="167" t="str">
        <f>IF(VLOOKUP(_xlfn.CONCAT(I$6,$C15),BurnRate!$G$3:$P$1102,10,FALSE)="NR","NR",IF(I15="NR","NR",I15/(VLOOKUP(_xlfn.CONCAT(I$6,$C15),BurnRate!$G$3:$P$1102,10,FALSE)/90)))</f>
        <v>NR</v>
      </c>
      <c r="K15" s="169">
        <f>IF(SUM(VLOOKUP($C15,DATA_Depts[[#All],[COVID-19 Item List]:[SCL]],MATCH(K$6,DATA_Depts[[#Headers],[COVID-19 Item List]:[SCL]],0),FALSE)=0),IF(VLOOKUP(_xlfn.CONCAT(K$6,$C15),BurnRate!$G$3:$P$1102,10,FALSE)="NR","NR",0),VLOOKUP($C15,DATA_Depts[[#All],[COVID-19 Item List]:[SCL]],MATCH(K$6,DATA_Depts[[#Headers],[COVID-19 Item List]:[SCL]],0),FALSE))</f>
        <v>1950</v>
      </c>
      <c r="L15" s="167" t="str">
        <f>IF(VLOOKUP(_xlfn.CONCAT(K$6,$C15),BurnRate!$G$3:$P$1102,10,FALSE)="NR","NR",IF(K15="NR","NR",K15/(VLOOKUP(_xlfn.CONCAT(K$6,$C15),BurnRate!$G$3:$P$1102,10,FALSE)/90)))</f>
        <v>NR</v>
      </c>
      <c r="M15" s="169">
        <f>IF(SUM(VLOOKUP($C15,DATA_Depts[[#All],[COVID-19 Item List]:[SCL]],MATCH(M$6,DATA_Depts[[#Headers],[COVID-19 Item List]:[SCL]],0),FALSE)=0),IF(VLOOKUP(_xlfn.CONCAT(M$6,$C15),BurnRate!$G$3:$P$1102,10,FALSE)="NR","NR",0),VLOOKUP($C15,DATA_Depts[[#All],[COVID-19 Item List]:[SCL]],MATCH(M$6,DATA_Depts[[#Headers],[COVID-19 Item List]:[SCL]],0),FALSE))</f>
        <v>12800</v>
      </c>
      <c r="N15" s="167" t="str">
        <f>IF(VLOOKUP(_xlfn.CONCAT(M$6,$C15),BurnRate!$G$3:$P$1102,10,FALSE)="NR","NR",IF(M15="NR","NR",M15/(VLOOKUP(_xlfn.CONCAT(M$6,$C15),BurnRate!$G$3:$P$1102,10,FALSE)/90)))</f>
        <v>NR</v>
      </c>
      <c r="O15" s="169">
        <f>IF(SUM(VLOOKUP($C15,DATA_Depts[[#All],[COVID-19 Item List]:[SCL]],MATCH(O$6,DATA_Depts[[#Headers],[COVID-19 Item List]:[SCL]],0),FALSE)=0),IF(VLOOKUP(_xlfn.CONCAT(O$6,$C15),BurnRate!$G$3:$P$1102,10,FALSE)="NR","NR",0),VLOOKUP($C15,DATA_Depts[[#All],[COVID-19 Item List]:[SCL]],MATCH(O$6,DATA_Depts[[#Headers],[COVID-19 Item List]:[SCL]],0),FALSE))</f>
        <v>931</v>
      </c>
      <c r="P15" s="167" t="str">
        <f>IF(VLOOKUP(_xlfn.CONCAT(O$6,$C15),BurnRate!$G$3:$P$1102,10,FALSE)="NR","NR",IF(O15="NR","NR",O15/(VLOOKUP(_xlfn.CONCAT(O$6,$C15),BurnRate!$G$3:$P$1102,10,FALSE)/90)))</f>
        <v>NR</v>
      </c>
      <c r="Q15" s="169">
        <f>IF(SUM(VLOOKUP($C15,DATA_Depts[[#All],[COVID-19 Item List]:[SCL]],MATCH(Q$6,DATA_Depts[[#Headers],[COVID-19 Item List]:[SCL]],0),FALSE)=0),IF(VLOOKUP(_xlfn.CONCAT(Q$6,$C15),BurnRate!$G$3:$P$1102,10,FALSE)="NR","NR",0),VLOOKUP($C15,DATA_Depts[[#All],[COVID-19 Item List]:[SCL]],MATCH(Q$6,DATA_Depts[[#Headers],[COVID-19 Item List]:[SCL]],0),FALSE))</f>
        <v>400</v>
      </c>
      <c r="R15" s="167" t="str">
        <f>IF(VLOOKUP(_xlfn.CONCAT(Q$6,$C15),BurnRate!$G$3:$P$1102,10,FALSE)="NR","NR",IF(Q15="NR","NR",Q15/(VLOOKUP(_xlfn.CONCAT(Q$6,$C15),BurnRate!$G$3:$P$1102,10,FALSE)/90)))</f>
        <v>NR</v>
      </c>
      <c r="S15" s="169" t="str">
        <f>IF(SUM(VLOOKUP($C15,DATA_Depts[[#All],[COVID-19 Item List]:[SCL]],MATCH(S$6,DATA_Depts[[#Headers],[COVID-19 Item List]:[SCL]],0),FALSE)=0),IF(VLOOKUP(_xlfn.CONCAT(S$6,$C15),BurnRate!$G$3:$P$1102,10,FALSE)="NR","NR",0),VLOOKUP($C15,DATA_Depts[[#All],[COVID-19 Item List]:[SCL]],MATCH(S$6,DATA_Depts[[#Headers],[COVID-19 Item List]:[SCL]],0),FALSE))</f>
        <v>NR</v>
      </c>
      <c r="T15" s="167" t="str">
        <f>IF(VLOOKUP(_xlfn.CONCAT(S$6,$C15),BurnRate!$G$3:$P$1102,10,FALSE)="NR","NR",IF(S15="NR","NR",S15/(VLOOKUP(_xlfn.CONCAT(S$6,$C15),BurnRate!$G$3:$P$1102,10,FALSE)/90)))</f>
        <v>NR</v>
      </c>
      <c r="U15" s="169" t="str">
        <f>IF(SUM(VLOOKUP($C15,DATA_Depts[[#All],[COVID-19 Item List]:[SCL]],MATCH(U$6,DATA_Depts[[#Headers],[COVID-19 Item List]:[SCL]],0),FALSE)=0),IF(VLOOKUP(_xlfn.CONCAT(U$6,$C15),BurnRate!$G$3:$P$1102,10,FALSE)="NR","NR",0),VLOOKUP($C15,DATA_Depts[[#All],[COVID-19 Item List]:[SCL]],MATCH(U$6,DATA_Depts[[#Headers],[COVID-19 Item List]:[SCL]],0),FALSE))</f>
        <v>NR</v>
      </c>
      <c r="V15" s="167" t="str">
        <f>IF(VLOOKUP(_xlfn.CONCAT(U$6,$C15),BurnRate!$G$3:$P$1102,10,FALSE)="NR","NR",IF(U15="NR","NR",U15/(VLOOKUP(_xlfn.CONCAT(U$6,$C15),BurnRate!$G$3:$P$1102,10,FALSE)/90)))</f>
        <v>NR</v>
      </c>
      <c r="W15" s="169" t="str">
        <f>IF(SUM(VLOOKUP($C15,DATA_Depts[[#All],[COVID-19 Item List]:[SCL]],MATCH(W$6,DATA_Depts[[#Headers],[COVID-19 Item List]:[SCL]],0),FALSE)=0),IF(VLOOKUP(_xlfn.CONCAT(W$6,$C15),BurnRate!$G$3:$P$1102,10,FALSE)="NR","NR",0),VLOOKUP($C15,DATA_Depts[[#All],[COVID-19 Item List]:[SCL]],MATCH(W$6,DATA_Depts[[#Headers],[COVID-19 Item List]:[SCL]],0),FALSE))</f>
        <v>NR</v>
      </c>
      <c r="X15" s="167" t="str">
        <f>IF(VLOOKUP(_xlfn.CONCAT(W$6,$C15),BurnRate!$G$3:$P$1102,10,FALSE)="NR","NR",IF(W15="NR","NR",W15/(VLOOKUP(_xlfn.CONCAT(W$6,$C15),BurnRate!$G$3:$P$1102,10,FALSE)/90)))</f>
        <v>NR</v>
      </c>
      <c r="Y15" s="169">
        <f>IF(SUM(VLOOKUP($C15,DATA_Depts[[#All],[COVID-19 Item List]:[SCL]],MATCH(Y$6,DATA_Depts[[#Headers],[COVID-19 Item List]:[SCL]],0),FALSE)=0),IF(VLOOKUP(_xlfn.CONCAT(Y$6,$C15),BurnRate!$G$3:$P$1102,10,FALSE)="NR","NR",0),VLOOKUP($C15,DATA_Depts[[#All],[COVID-19 Item List]:[SCL]],MATCH(Y$6,DATA_Depts[[#Headers],[COVID-19 Item List]:[SCL]],0),FALSE))</f>
        <v>166</v>
      </c>
      <c r="Z15" s="167" t="str">
        <f>IF(VLOOKUP(_xlfn.CONCAT(Y$6,$C15),BurnRate!$G$3:$P$1102,10,FALSE)="NR","NR",IF(Y15="NR","NR",Y15/(VLOOKUP(_xlfn.CONCAT(Y$6,$C15),BurnRate!$G$3:$P$1102,10,FALSE)/90)))</f>
        <v>NR</v>
      </c>
      <c r="AB15" s="62"/>
      <c r="AC15" s="62"/>
      <c r="AD15" s="62"/>
      <c r="AE15" s="62"/>
      <c r="AF15" s="62"/>
      <c r="AG15" s="62"/>
      <c r="AH15" s="62"/>
      <c r="AI15" s="62"/>
      <c r="AJ15" s="62"/>
      <c r="AK15" s="62"/>
    </row>
    <row r="16" spans="1:37" s="43" customFormat="1" ht="11">
      <c r="A16" s="421"/>
      <c r="B16" s="46">
        <v>9</v>
      </c>
      <c r="C16" s="47" t="str">
        <f>_xlfn.SINGLE(VLOOKUP(B16,DisplayOrder[#All],2,FALSE))</f>
        <v>Face Shields</v>
      </c>
      <c r="D16" s="116" t="str">
        <f>_xlfn.SINGLE(VLOOKUP(B16,DisplayOrder!A:C,3,FALSE))</f>
        <v>each</v>
      </c>
      <c r="E16" s="181">
        <f>IF(VLOOKUP(_xlfn.CONCAT(E$6,$C16),BurnRate!$G$3:$P$1102,10,FALSE)="NR",IF(SUMIF(FAS_Centralized!K:K,C16,FAS_Centralized!N:N)=0,"NR",SUMIF(FAS_Centralized!K:K,C16,FAS_Centralized!N:N)),SUMIF(FAS_Centralized!K:K,C16,FAS_Centralized!N:N))</f>
        <v>3260</v>
      </c>
      <c r="F16" s="148" t="str">
        <f>IF(VLOOKUP(_xlfn.CONCAT(E$6,$C16),BurnRate!$G$3:$P$1102,10,FALSE)="NR","NR",IF(E16="NR","NR",E16/(VLOOKUP(_xlfn.CONCAT(E$6,$C16),BurnRate!$G$3:$P$1102,10,FALSE)/90)))</f>
        <v>NR</v>
      </c>
      <c r="G16" s="169" t="str">
        <f>IF(SUM(VLOOKUP($C16,DATA_Depts[[#All],[COVID-19 Item List]:[SCL]],MATCH(G$6,DATA_Depts[[#Headers],[COVID-19 Item List]:[SCL]],0),FALSE)=0),IF(VLOOKUP(_xlfn.CONCAT(G$6,$C16),BurnRate!$G$3:$P$1102,10,FALSE)="NR","NR",0),VLOOKUP($C16,DATA_Depts[[#All],[COVID-19 Item List]:[SCL]],MATCH(G$6,DATA_Depts[[#Headers],[COVID-19 Item List]:[SCL]],0),FALSE))</f>
        <v>NR</v>
      </c>
      <c r="H16" s="167" t="str">
        <f>IF(VLOOKUP(_xlfn.CONCAT(G$6,$C16),BurnRate!$G$3:$P$1102,10,FALSE)="NR","NR",IF(G16="NR","NR",G16/(VLOOKUP(_xlfn.CONCAT(G$6,$C16),BurnRate!$G$3:$P$1102,10,FALSE)/90)))</f>
        <v>NR</v>
      </c>
      <c r="I16" s="169" t="str">
        <f>IF(SUM(VLOOKUP($C16,DATA_Depts[[#All],[COVID-19 Item List]:[SCL]],MATCH(I$6,DATA_Depts[[#Headers],[COVID-19 Item List]:[SCL]],0),FALSE)=0),IF(VLOOKUP(_xlfn.CONCAT(I$6,$C16),BurnRate!$G$3:$P$1102,10,FALSE)="NR","NR",0),VLOOKUP($C16,DATA_Depts[[#All],[COVID-19 Item List]:[SCL]],MATCH(I$6,DATA_Depts[[#Headers],[COVID-19 Item List]:[SCL]],0),FALSE))</f>
        <v>NR</v>
      </c>
      <c r="J16" s="167" t="str">
        <f>IF(VLOOKUP(_xlfn.CONCAT(I$6,$C16),BurnRate!$G$3:$P$1102,10,FALSE)="NR","NR",IF(I16="NR","NR",I16/(VLOOKUP(_xlfn.CONCAT(I$6,$C16),BurnRate!$G$3:$P$1102,10,FALSE)/90)))</f>
        <v>NR</v>
      </c>
      <c r="K16" s="169">
        <f>IF(SUM(VLOOKUP($C16,DATA_Depts[[#All],[COVID-19 Item List]:[SCL]],MATCH(K$6,DATA_Depts[[#Headers],[COVID-19 Item List]:[SCL]],0),FALSE)=0),IF(VLOOKUP(_xlfn.CONCAT(K$6,$C16),BurnRate!$G$3:$P$1102,10,FALSE)="NR","NR",0),VLOOKUP($C16,DATA_Depts[[#All],[COVID-19 Item List]:[SCL]],MATCH(K$6,DATA_Depts[[#Headers],[COVID-19 Item List]:[SCL]],0),FALSE))</f>
        <v>150</v>
      </c>
      <c r="L16" s="167" t="str">
        <f>IF(VLOOKUP(_xlfn.CONCAT(K$6,$C16),BurnRate!$G$3:$P$1102,10,FALSE)="NR","NR",IF(K16="NR","NR",K16/(VLOOKUP(_xlfn.CONCAT(K$6,$C16),BurnRate!$G$3:$P$1102,10,FALSE)/90)))</f>
        <v>NR</v>
      </c>
      <c r="M16" s="169">
        <f>IF(SUM(VLOOKUP($C16,DATA_Depts[[#All],[COVID-19 Item List]:[SCL]],MATCH(M$6,DATA_Depts[[#Headers],[COVID-19 Item List]:[SCL]],0),FALSE)=0),IF(VLOOKUP(_xlfn.CONCAT(M$6,$C16),BurnRate!$G$3:$P$1102,10,FALSE)="NR","NR",0),VLOOKUP($C16,DATA_Depts[[#All],[COVID-19 Item List]:[SCL]],MATCH(M$6,DATA_Depts[[#Headers],[COVID-19 Item List]:[SCL]],0),FALSE))</f>
        <v>10</v>
      </c>
      <c r="N16" s="167" t="str">
        <f>IF(VLOOKUP(_xlfn.CONCAT(M$6,$C16),BurnRate!$G$3:$P$1102,10,FALSE)="NR","NR",IF(M16="NR","NR",M16/(VLOOKUP(_xlfn.CONCAT(M$6,$C16),BurnRate!$G$3:$P$1102,10,FALSE)/90)))</f>
        <v>NR</v>
      </c>
      <c r="O16" s="169">
        <f>IF(SUM(VLOOKUP($C16,DATA_Depts[[#All],[COVID-19 Item List]:[SCL]],MATCH(O$6,DATA_Depts[[#Headers],[COVID-19 Item List]:[SCL]],0),FALSE)=0),IF(VLOOKUP(_xlfn.CONCAT(O$6,$C16),BurnRate!$G$3:$P$1102,10,FALSE)="NR","NR",0),VLOOKUP($C16,DATA_Depts[[#All],[COVID-19 Item List]:[SCL]],MATCH(O$6,DATA_Depts[[#Headers],[COVID-19 Item List]:[SCL]],0),FALSE))</f>
        <v>60</v>
      </c>
      <c r="P16" s="167" t="str">
        <f>IF(VLOOKUP(_xlfn.CONCAT(O$6,$C16),BurnRate!$G$3:$P$1102,10,FALSE)="NR","NR",IF(O16="NR","NR",O16/(VLOOKUP(_xlfn.CONCAT(O$6,$C16),BurnRate!$G$3:$P$1102,10,FALSE)/90)))</f>
        <v>NR</v>
      </c>
      <c r="Q16" s="169" t="str">
        <f>IF(SUM(VLOOKUP($C16,DATA_Depts[[#All],[COVID-19 Item List]:[SCL]],MATCH(Q$6,DATA_Depts[[#Headers],[COVID-19 Item List]:[SCL]],0),FALSE)=0),IF(VLOOKUP(_xlfn.CONCAT(Q$6,$C16),BurnRate!$G$3:$P$1102,10,FALSE)="NR","NR",0),VLOOKUP($C16,DATA_Depts[[#All],[COVID-19 Item List]:[SCL]],MATCH(Q$6,DATA_Depts[[#Headers],[COVID-19 Item List]:[SCL]],0),FALSE))</f>
        <v>NR</v>
      </c>
      <c r="R16" s="167" t="str">
        <f>IF(VLOOKUP(_xlfn.CONCAT(Q$6,$C16),BurnRate!$G$3:$P$1102,10,FALSE)="NR","NR",IF(Q16="NR","NR",Q16/(VLOOKUP(_xlfn.CONCAT(Q$6,$C16),BurnRate!$G$3:$P$1102,10,FALSE)/90)))</f>
        <v>NR</v>
      </c>
      <c r="S16" s="169">
        <f>IF(SUM(VLOOKUP($C16,DATA_Depts[[#All],[COVID-19 Item List]:[SCL]],MATCH(S$6,DATA_Depts[[#Headers],[COVID-19 Item List]:[SCL]],0),FALSE)=0),IF(VLOOKUP(_xlfn.CONCAT(S$6,$C16),BurnRate!$G$3:$P$1102,10,FALSE)="NR","NR",0),VLOOKUP($C16,DATA_Depts[[#All],[COVID-19 Item List]:[SCL]],MATCH(S$6,DATA_Depts[[#Headers],[COVID-19 Item List]:[SCL]],0),FALSE))</f>
        <v>77</v>
      </c>
      <c r="T16" s="167" t="str">
        <f>IF(VLOOKUP(_xlfn.CONCAT(S$6,$C16),BurnRate!$G$3:$P$1102,10,FALSE)="NR","NR",IF(S16="NR","NR",S16/(VLOOKUP(_xlfn.CONCAT(S$6,$C16),BurnRate!$G$3:$P$1102,10,FALSE)/90)))</f>
        <v>NR</v>
      </c>
      <c r="U16" s="169">
        <f>IF(SUM(VLOOKUP($C16,DATA_Depts[[#All],[COVID-19 Item List]:[SCL]],MATCH(U$6,DATA_Depts[[#Headers],[COVID-19 Item List]:[SCL]],0),FALSE)=0),IF(VLOOKUP(_xlfn.CONCAT(U$6,$C16),BurnRate!$G$3:$P$1102,10,FALSE)="NR","NR",0),VLOOKUP($C16,DATA_Depts[[#All],[COVID-19 Item List]:[SCL]],MATCH(U$6,DATA_Depts[[#Headers],[COVID-19 Item List]:[SCL]],0),FALSE))</f>
        <v>5</v>
      </c>
      <c r="V16" s="167" t="str">
        <f>IF(VLOOKUP(_xlfn.CONCAT(U$6,$C16),BurnRate!$G$3:$P$1102,10,FALSE)="NR","NR",IF(U16="NR","NR",U16/(VLOOKUP(_xlfn.CONCAT(U$6,$C16),BurnRate!$G$3:$P$1102,10,FALSE)/90)))</f>
        <v>NR</v>
      </c>
      <c r="W16" s="169" t="str">
        <f>IF(SUM(VLOOKUP($C16,DATA_Depts[[#All],[COVID-19 Item List]:[SCL]],MATCH(W$6,DATA_Depts[[#Headers],[COVID-19 Item List]:[SCL]],0),FALSE)=0),IF(VLOOKUP(_xlfn.CONCAT(W$6,$C16),BurnRate!$G$3:$P$1102,10,FALSE)="NR","NR",0),VLOOKUP($C16,DATA_Depts[[#All],[COVID-19 Item List]:[SCL]],MATCH(W$6,DATA_Depts[[#Headers],[COVID-19 Item List]:[SCL]],0),FALSE))</f>
        <v>NR</v>
      </c>
      <c r="X16" s="167" t="str">
        <f>IF(VLOOKUP(_xlfn.CONCAT(W$6,$C16),BurnRate!$G$3:$P$1102,10,FALSE)="NR","NR",IF(W16="NR","NR",W16/(VLOOKUP(_xlfn.CONCAT(W$6,$C16),BurnRate!$G$3:$P$1102,10,FALSE)/90)))</f>
        <v>NR</v>
      </c>
      <c r="Y16" s="169" t="str">
        <f>IF(SUM(VLOOKUP($C16,DATA_Depts[[#All],[COVID-19 Item List]:[SCL]],MATCH(Y$6,DATA_Depts[[#Headers],[COVID-19 Item List]:[SCL]],0),FALSE)=0),IF(VLOOKUP(_xlfn.CONCAT(Y$6,$C16),BurnRate!$G$3:$P$1102,10,FALSE)="NR","NR",0),VLOOKUP($C16,DATA_Depts[[#All],[COVID-19 Item List]:[SCL]],MATCH(Y$6,DATA_Depts[[#Headers],[COVID-19 Item List]:[SCL]],0),FALSE))</f>
        <v>NR</v>
      </c>
      <c r="Z16" s="167" t="str">
        <f>IF(VLOOKUP(_xlfn.CONCAT(Y$6,$C16),BurnRate!$G$3:$P$1102,10,FALSE)="NR","NR",IF(Y16="NR","NR",Y16/(VLOOKUP(_xlfn.CONCAT(Y$6,$C16),BurnRate!$G$3:$P$1102,10,FALSE)/90)))</f>
        <v>NR</v>
      </c>
      <c r="AB16" s="62"/>
      <c r="AC16" s="62"/>
      <c r="AD16" s="62"/>
      <c r="AE16" s="62"/>
      <c r="AF16" s="62"/>
      <c r="AG16" s="62"/>
      <c r="AH16" s="62"/>
      <c r="AI16" s="62"/>
      <c r="AJ16" s="62"/>
      <c r="AK16" s="62"/>
    </row>
    <row r="17" spans="1:37" s="43" customFormat="1" ht="11">
      <c r="A17" s="422"/>
      <c r="B17" s="46">
        <v>10</v>
      </c>
      <c r="C17" s="47" t="str">
        <f>_xlfn.SINGLE(VLOOKUP(B17,DisplayOrder[#All],2,FALSE))</f>
        <v>Goggles</v>
      </c>
      <c r="D17" s="116" t="str">
        <f>_xlfn.SINGLE(VLOOKUP(B17,DisplayOrder!A:C,3,FALSE))</f>
        <v>each</v>
      </c>
      <c r="E17" s="181">
        <f>IF(VLOOKUP(_xlfn.CONCAT(E$6,$C17),BurnRate!$G$3:$P$1102,10,FALSE)="NR",IF(SUMIF(FAS_Centralized!K:K,C17,FAS_Centralized!N:N)=0,"NR",SUMIF(FAS_Centralized!K:K,C17,FAS_Centralized!N:N)),SUMIF(FAS_Centralized!K:K,C17,FAS_Centralized!N:N))</f>
        <v>2287</v>
      </c>
      <c r="F17" s="148" t="str">
        <f>IF(VLOOKUP(_xlfn.CONCAT(E$6,$C17),BurnRate!$G$3:$P$1102,10,FALSE)="NR","NR",IF(E17="NR","NR",E17/(VLOOKUP(_xlfn.CONCAT(E$6,$C17),BurnRate!$G$3:$P$1102,10,FALSE)/90)))</f>
        <v>NR</v>
      </c>
      <c r="G17" s="169">
        <f>IF(SUM(VLOOKUP($C17,DATA_Depts[[#All],[COVID-19 Item List]:[SCL]],MATCH(G$6,DATA_Depts[[#Headers],[COVID-19 Item List]:[SCL]],0),FALSE)=0),IF(VLOOKUP(_xlfn.CONCAT(G$6,$C17),BurnRate!$G$3:$P$1102,10,FALSE)="NR","NR",0),VLOOKUP($C17,DATA_Depts[[#All],[COVID-19 Item List]:[SCL]],MATCH(G$6,DATA_Depts[[#Headers],[COVID-19 Item List]:[SCL]],0),FALSE))</f>
        <v>9584</v>
      </c>
      <c r="H17" s="167">
        <f>IF(VLOOKUP(_xlfn.CONCAT(G$6,$C17),BurnRate!$G$3:$P$1102,10,FALSE)="NR","NR",IF(G17="NR","NR",G17/(VLOOKUP(_xlfn.CONCAT(G$6,$C17),BurnRate!$G$3:$P$1102,10,FALSE)/90)))</f>
        <v>191.68</v>
      </c>
      <c r="I17" s="169">
        <f>IF(SUM(VLOOKUP($C17,DATA_Depts[[#All],[COVID-19 Item List]:[SCL]],MATCH(I$6,DATA_Depts[[#Headers],[COVID-19 Item List]:[SCL]],0),FALSE)=0),IF(VLOOKUP(_xlfn.CONCAT(I$6,$C17),BurnRate!$G$3:$P$1102,10,FALSE)="NR","NR",0),VLOOKUP($C17,DATA_Depts[[#All],[COVID-19 Item List]:[SCL]],MATCH(I$6,DATA_Depts[[#Headers],[COVID-19 Item List]:[SCL]],0),FALSE))</f>
        <v>1163</v>
      </c>
      <c r="J17" s="167">
        <f>IF(VLOOKUP(_xlfn.CONCAT(I$6,$C17),BurnRate!$G$3:$P$1102,10,FALSE)="NR","NR",IF(I17="NR","NR",I17/(VLOOKUP(_xlfn.CONCAT(I$6,$C17),BurnRate!$G$3:$P$1102,10,FALSE)/90)))</f>
        <v>38.766666666666666</v>
      </c>
      <c r="K17" s="169">
        <f>IF(SUM(VLOOKUP($C17,DATA_Depts[[#All],[COVID-19 Item List]:[SCL]],MATCH(K$6,DATA_Depts[[#Headers],[COVID-19 Item List]:[SCL]],0),FALSE)=0),IF(VLOOKUP(_xlfn.CONCAT(K$6,$C17),BurnRate!$G$3:$P$1102,10,FALSE)="NR","NR",0),VLOOKUP($C17,DATA_Depts[[#All],[COVID-19 Item List]:[SCL]],MATCH(K$6,DATA_Depts[[#Headers],[COVID-19 Item List]:[SCL]],0),FALSE))</f>
        <v>10</v>
      </c>
      <c r="L17" s="167" t="str">
        <f>IF(VLOOKUP(_xlfn.CONCAT(K$6,$C17),BurnRate!$G$3:$P$1102,10,FALSE)="NR","NR",IF(K17="NR","NR",K17/(VLOOKUP(_xlfn.CONCAT(K$6,$C17),BurnRate!$G$3:$P$1102,10,FALSE)/90)))</f>
        <v>NR</v>
      </c>
      <c r="M17" s="169">
        <f>IF(SUM(VLOOKUP($C17,DATA_Depts[[#All],[COVID-19 Item List]:[SCL]],MATCH(M$6,DATA_Depts[[#Headers],[COVID-19 Item List]:[SCL]],0),FALSE)=0),IF(VLOOKUP(_xlfn.CONCAT(M$6,$C17),BurnRate!$G$3:$P$1102,10,FALSE)="NR","NR",0),VLOOKUP($C17,DATA_Depts[[#All],[COVID-19 Item List]:[SCL]],MATCH(M$6,DATA_Depts[[#Headers],[COVID-19 Item List]:[SCL]],0),FALSE))</f>
        <v>34</v>
      </c>
      <c r="N17" s="167" t="str">
        <f>IF(VLOOKUP(_xlfn.CONCAT(M$6,$C17),BurnRate!$G$3:$P$1102,10,FALSE)="NR","NR",IF(M17="NR","NR",M17/(VLOOKUP(_xlfn.CONCAT(M$6,$C17),BurnRate!$G$3:$P$1102,10,FALSE)/90)))</f>
        <v>NR</v>
      </c>
      <c r="O17" s="169" t="str">
        <f>IF(SUM(VLOOKUP($C17,DATA_Depts[[#All],[COVID-19 Item List]:[SCL]],MATCH(O$6,DATA_Depts[[#Headers],[COVID-19 Item List]:[SCL]],0),FALSE)=0),IF(VLOOKUP(_xlfn.CONCAT(O$6,$C17),BurnRate!$G$3:$P$1102,10,FALSE)="NR","NR",0),VLOOKUP($C17,DATA_Depts[[#All],[COVID-19 Item List]:[SCL]],MATCH(O$6,DATA_Depts[[#Headers],[COVID-19 Item List]:[SCL]],0),FALSE))</f>
        <v>NR</v>
      </c>
      <c r="P17" s="167" t="str">
        <f>IF(VLOOKUP(_xlfn.CONCAT(O$6,$C17),BurnRate!$G$3:$P$1102,10,FALSE)="NR","NR",IF(O17="NR","NR",O17/(VLOOKUP(_xlfn.CONCAT(O$6,$C17),BurnRate!$G$3:$P$1102,10,FALSE)/90)))</f>
        <v>NR</v>
      </c>
      <c r="Q17" s="169" t="str">
        <f>IF(SUM(VLOOKUP($C17,DATA_Depts[[#All],[COVID-19 Item List]:[SCL]],MATCH(Q$6,DATA_Depts[[#Headers],[COVID-19 Item List]:[SCL]],0),FALSE)=0),IF(VLOOKUP(_xlfn.CONCAT(Q$6,$C17),BurnRate!$G$3:$P$1102,10,FALSE)="NR","NR",0),VLOOKUP($C17,DATA_Depts[[#All],[COVID-19 Item List]:[SCL]],MATCH(Q$6,DATA_Depts[[#Headers],[COVID-19 Item List]:[SCL]],0),FALSE))</f>
        <v>NR</v>
      </c>
      <c r="R17" s="167" t="str">
        <f>IF(VLOOKUP(_xlfn.CONCAT(Q$6,$C17),BurnRate!$G$3:$P$1102,10,FALSE)="NR","NR",IF(Q17="NR","NR",Q17/(VLOOKUP(_xlfn.CONCAT(Q$6,$C17),BurnRate!$G$3:$P$1102,10,FALSE)/90)))</f>
        <v>NR</v>
      </c>
      <c r="S17" s="169" t="str">
        <f>IF(SUM(VLOOKUP($C17,DATA_Depts[[#All],[COVID-19 Item List]:[SCL]],MATCH(S$6,DATA_Depts[[#Headers],[COVID-19 Item List]:[SCL]],0),FALSE)=0),IF(VLOOKUP(_xlfn.CONCAT(S$6,$C17),BurnRate!$G$3:$P$1102,10,FALSE)="NR","NR",0),VLOOKUP($C17,DATA_Depts[[#All],[COVID-19 Item List]:[SCL]],MATCH(S$6,DATA_Depts[[#Headers],[COVID-19 Item List]:[SCL]],0),FALSE))</f>
        <v>NR</v>
      </c>
      <c r="T17" s="167" t="str">
        <f>IF(VLOOKUP(_xlfn.CONCAT(S$6,$C17),BurnRate!$G$3:$P$1102,10,FALSE)="NR","NR",IF(S17="NR","NR",S17/(VLOOKUP(_xlfn.CONCAT(S$6,$C17),BurnRate!$G$3:$P$1102,10,FALSE)/90)))</f>
        <v>NR</v>
      </c>
      <c r="U17" s="169">
        <f>IF(SUM(VLOOKUP($C17,DATA_Depts[[#All],[COVID-19 Item List]:[SCL]],MATCH(U$6,DATA_Depts[[#Headers],[COVID-19 Item List]:[SCL]],0),FALSE)=0),IF(VLOOKUP(_xlfn.CONCAT(U$6,$C17),BurnRate!$G$3:$P$1102,10,FALSE)="NR","NR",0),VLOOKUP($C17,DATA_Depts[[#All],[COVID-19 Item List]:[SCL]],MATCH(U$6,DATA_Depts[[#Headers],[COVID-19 Item List]:[SCL]],0),FALSE))</f>
        <v>40</v>
      </c>
      <c r="V17" s="167" t="str">
        <f>IF(VLOOKUP(_xlfn.CONCAT(U$6,$C17),BurnRate!$G$3:$P$1102,10,FALSE)="NR","NR",IF(U17="NR","NR",U17/(VLOOKUP(_xlfn.CONCAT(U$6,$C17),BurnRate!$G$3:$P$1102,10,FALSE)/90)))</f>
        <v>NR</v>
      </c>
      <c r="W17" s="169">
        <f>IF(SUM(VLOOKUP($C17,DATA_Depts[[#All],[COVID-19 Item List]:[SCL]],MATCH(W$6,DATA_Depts[[#Headers],[COVID-19 Item List]:[SCL]],0),FALSE)=0),IF(VLOOKUP(_xlfn.CONCAT(W$6,$C17),BurnRate!$G$3:$P$1102,10,FALSE)="NR","NR",0),VLOOKUP($C17,DATA_Depts[[#All],[COVID-19 Item List]:[SCL]],MATCH(W$6,DATA_Depts[[#Headers],[COVID-19 Item List]:[SCL]],0),FALSE))</f>
        <v>15</v>
      </c>
      <c r="X17" s="167" t="str">
        <f>IF(VLOOKUP(_xlfn.CONCAT(W$6,$C17),BurnRate!$G$3:$P$1102,10,FALSE)="NR","NR",IF(W17="NR","NR",W17/(VLOOKUP(_xlfn.CONCAT(W$6,$C17),BurnRate!$G$3:$P$1102,10,FALSE)/90)))</f>
        <v>NR</v>
      </c>
      <c r="Y17" s="169" t="str">
        <f>IF(SUM(VLOOKUP($C17,DATA_Depts[[#All],[COVID-19 Item List]:[SCL]],MATCH(Y$6,DATA_Depts[[#Headers],[COVID-19 Item List]:[SCL]],0),FALSE)=0),IF(VLOOKUP(_xlfn.CONCAT(Y$6,$C17),BurnRate!$G$3:$P$1102,10,FALSE)="NR","NR",0),VLOOKUP($C17,DATA_Depts[[#All],[COVID-19 Item List]:[SCL]],MATCH(Y$6,DATA_Depts[[#Headers],[COVID-19 Item List]:[SCL]],0),FALSE))</f>
        <v>NR</v>
      </c>
      <c r="Z17" s="167" t="str">
        <f>IF(VLOOKUP(_xlfn.CONCAT(Y$6,$C17),BurnRate!$G$3:$P$1102,10,FALSE)="NR","NR",IF(Y17="NR","NR",Y17/(VLOOKUP(_xlfn.CONCAT(Y$6,$C17),BurnRate!$G$3:$P$1102,10,FALSE)/90)))</f>
        <v>NR</v>
      </c>
      <c r="AB17" s="62"/>
      <c r="AC17" s="62"/>
      <c r="AD17" s="62"/>
      <c r="AE17" s="62"/>
      <c r="AF17" s="62"/>
      <c r="AG17" s="62"/>
      <c r="AH17" s="62"/>
      <c r="AI17" s="62"/>
      <c r="AJ17" s="62"/>
      <c r="AK17" s="62"/>
    </row>
    <row r="18" spans="1:37" s="43" customFormat="1" ht="11">
      <c r="A18" s="420" t="s">
        <v>37</v>
      </c>
      <c r="B18" s="46">
        <v>11</v>
      </c>
      <c r="C18" s="47" t="str">
        <f>_xlfn.SINGLE(VLOOKUP(B18,DisplayOrder[#All],2,FALSE))</f>
        <v>Disinfectant Wipes</v>
      </c>
      <c r="D18" s="116" t="str">
        <f>_xlfn.SINGLE(VLOOKUP(B18,DisplayOrder!A:C,3,FALSE))</f>
        <v>tube</v>
      </c>
      <c r="E18" s="181">
        <f>IF(VLOOKUP(_xlfn.CONCAT(E$6,$C18),BurnRate!$G$3:$P$1102,10,FALSE)="NR",IF(SUMIF(FAS_Centralized!K:K,C18,FAS_Centralized!N:N)=0,"NR",SUMIF(FAS_Centralized!K:K,C18,FAS_Centralized!N:N)),SUMIF(FAS_Centralized!K:K,C18,FAS_Centralized!N:N))</f>
        <v>465</v>
      </c>
      <c r="F18" s="148">
        <f>IF(VLOOKUP(_xlfn.CONCAT(E$6,$C18),BurnRate!$G$3:$P$1102,10,FALSE)="NR","NR",IF(E18="NR","NR",E18/(VLOOKUP(_xlfn.CONCAT(E$6,$C18),BurnRate!$G$3:$P$1102,10,FALSE)/90)))</f>
        <v>2.1461538461538461</v>
      </c>
      <c r="G18" s="169">
        <f>IF(SUM(VLOOKUP($C18,DATA_Depts[[#All],[COVID-19 Item List]:[SCL]],MATCH(G$6,DATA_Depts[[#Headers],[COVID-19 Item List]:[SCL]],0),FALSE)=0),IF(VLOOKUP(_xlfn.CONCAT(G$6,$C18),BurnRate!$G$3:$P$1102,10,FALSE)="NR","NR",0),VLOOKUP($C18,DATA_Depts[[#All],[COVID-19 Item List]:[SCL]],MATCH(G$6,DATA_Depts[[#Headers],[COVID-19 Item List]:[SCL]],0),FALSE))</f>
        <v>880</v>
      </c>
      <c r="H18" s="167">
        <f>IF(VLOOKUP(_xlfn.CONCAT(G$6,$C18),BurnRate!$G$3:$P$1102,10,FALSE)="NR","NR",IF(G18="NR","NR",G18/(VLOOKUP(_xlfn.CONCAT(G$6,$C18),BurnRate!$G$3:$P$1102,10,FALSE)/90)))</f>
        <v>24</v>
      </c>
      <c r="I18" s="169">
        <f>IF(SUM(VLOOKUP($C18,DATA_Depts[[#All],[COVID-19 Item List]:[SCL]],MATCH(I$6,DATA_Depts[[#Headers],[COVID-19 Item List]:[SCL]],0),FALSE)=0),IF(VLOOKUP(_xlfn.CONCAT(I$6,$C18),BurnRate!$G$3:$P$1102,10,FALSE)="NR","NR",0),VLOOKUP($C18,DATA_Depts[[#All],[COVID-19 Item List]:[SCL]],MATCH(I$6,DATA_Depts[[#Headers],[COVID-19 Item List]:[SCL]],0),FALSE))</f>
        <v>10529</v>
      </c>
      <c r="J18" s="167">
        <f>IF(VLOOKUP(_xlfn.CONCAT(I$6,$C18),BurnRate!$G$3:$P$1102,10,FALSE)="NR","NR",IF(I18="NR","NR",I18/(VLOOKUP(_xlfn.CONCAT(I$6,$C18),BurnRate!$G$3:$P$1102,10,FALSE)/90)))</f>
        <v>10529</v>
      </c>
      <c r="K18" s="169">
        <f>IF(SUM(VLOOKUP($C18,DATA_Depts[[#All],[COVID-19 Item List]:[SCL]],MATCH(K$6,DATA_Depts[[#Headers],[COVID-19 Item List]:[SCL]],0),FALSE)=0),IF(VLOOKUP(_xlfn.CONCAT(K$6,$C18),BurnRate!$G$3:$P$1102,10,FALSE)="NR","NR",0),VLOOKUP($C18,DATA_Depts[[#All],[COVID-19 Item List]:[SCL]],MATCH(K$6,DATA_Depts[[#Headers],[COVID-19 Item List]:[SCL]],0),FALSE))</f>
        <v>1150</v>
      </c>
      <c r="L18" s="167">
        <f>IF(VLOOKUP(_xlfn.CONCAT(K$6,$C18),BurnRate!$G$3:$P$1102,10,FALSE)="NR","NR",IF(K18="NR","NR",K18/(VLOOKUP(_xlfn.CONCAT(K$6,$C18),BurnRate!$G$3:$P$1102,10,FALSE)/90)))</f>
        <v>86.25</v>
      </c>
      <c r="M18" s="169">
        <f>IF(SUM(VLOOKUP($C18,DATA_Depts[[#All],[COVID-19 Item List]:[SCL]],MATCH(M$6,DATA_Depts[[#Headers],[COVID-19 Item List]:[SCL]],0),FALSE)=0),IF(VLOOKUP(_xlfn.CONCAT(M$6,$C18),BurnRate!$G$3:$P$1102,10,FALSE)="NR","NR",0),VLOOKUP($C18,DATA_Depts[[#All],[COVID-19 Item List]:[SCL]],MATCH(M$6,DATA_Depts[[#Headers],[COVID-19 Item List]:[SCL]],0),FALSE))</f>
        <v>4</v>
      </c>
      <c r="N18" s="167">
        <f>IF(VLOOKUP(_xlfn.CONCAT(M$6,$C18),BurnRate!$G$3:$P$1102,10,FALSE)="NR","NR",IF(M18="NR","NR",M18/(VLOOKUP(_xlfn.CONCAT(M$6,$C18),BurnRate!$G$3:$P$1102,10,FALSE)/90)))</f>
        <v>0.3</v>
      </c>
      <c r="O18" s="169">
        <f>IF(SUM(VLOOKUP($C18,DATA_Depts[[#All],[COVID-19 Item List]:[SCL]],MATCH(O$6,DATA_Depts[[#Headers],[COVID-19 Item List]:[SCL]],0),FALSE)=0),IF(VLOOKUP(_xlfn.CONCAT(O$6,$C18),BurnRate!$G$3:$P$1102,10,FALSE)="NR","NR",0),VLOOKUP($C18,DATA_Depts[[#All],[COVID-19 Item List]:[SCL]],MATCH(O$6,DATA_Depts[[#Headers],[COVID-19 Item List]:[SCL]],0),FALSE))</f>
        <v>3705</v>
      </c>
      <c r="P18" s="167">
        <f>IF(VLOOKUP(_xlfn.CONCAT(O$6,$C18),BurnRate!$G$3:$P$1102,10,FALSE)="NR","NR",IF(O18="NR","NR",O18/(VLOOKUP(_xlfn.CONCAT(O$6,$C18),BurnRate!$G$3:$P$1102,10,FALSE)/90)))</f>
        <v>101.04545454545455</v>
      </c>
      <c r="Q18" s="169">
        <f>IF(SUM(VLOOKUP($C18,DATA_Depts[[#All],[COVID-19 Item List]:[SCL]],MATCH(Q$6,DATA_Depts[[#Headers],[COVID-19 Item List]:[SCL]],0),FALSE)=0),IF(VLOOKUP(_xlfn.CONCAT(Q$6,$C18),BurnRate!$G$3:$P$1102,10,FALSE)="NR","NR",0),VLOOKUP($C18,DATA_Depts[[#All],[COVID-19 Item List]:[SCL]],MATCH(Q$6,DATA_Depts[[#Headers],[COVID-19 Item List]:[SCL]],0),FALSE))</f>
        <v>1250</v>
      </c>
      <c r="R18" s="167">
        <f>IF(VLOOKUP(_xlfn.CONCAT(Q$6,$C18),BurnRate!$G$3:$P$1102,10,FALSE)="NR","NR",IF(Q18="NR","NR",Q18/(VLOOKUP(_xlfn.CONCAT(Q$6,$C18),BurnRate!$G$3:$P$1102,10,FALSE)/90)))</f>
        <v>68.181818181818187</v>
      </c>
      <c r="S18" s="169">
        <f>IF(SUM(VLOOKUP($C18,DATA_Depts[[#All],[COVID-19 Item List]:[SCL]],MATCH(S$6,DATA_Depts[[#Headers],[COVID-19 Item List]:[SCL]],0),FALSE)=0),IF(VLOOKUP(_xlfn.CONCAT(S$6,$C18),BurnRate!$G$3:$P$1102,10,FALSE)="NR","NR",0),VLOOKUP($C18,DATA_Depts[[#All],[COVID-19 Item List]:[SCL]],MATCH(S$6,DATA_Depts[[#Headers],[COVID-19 Item List]:[SCL]],0),FALSE))</f>
        <v>150</v>
      </c>
      <c r="T18" s="167">
        <f>IF(VLOOKUP(_xlfn.CONCAT(S$6,$C18),BurnRate!$G$3:$P$1102,10,FALSE)="NR","NR",IF(S18="NR","NR",S18/(VLOOKUP(_xlfn.CONCAT(S$6,$C18),BurnRate!$G$3:$P$1102,10,FALSE)/90)))</f>
        <v>15</v>
      </c>
      <c r="U18" s="169">
        <f>IF(SUM(VLOOKUP($C18,DATA_Depts[[#All],[COVID-19 Item List]:[SCL]],MATCH(U$6,DATA_Depts[[#Headers],[COVID-19 Item List]:[SCL]],0),FALSE)=0),IF(VLOOKUP(_xlfn.CONCAT(U$6,$C18),BurnRate!$G$3:$P$1102,10,FALSE)="NR","NR",0),VLOOKUP($C18,DATA_Depts[[#All],[COVID-19 Item List]:[SCL]],MATCH(U$6,DATA_Depts[[#Headers],[COVID-19 Item List]:[SCL]],0),FALSE))</f>
        <v>68</v>
      </c>
      <c r="V18" s="167">
        <f>IF(VLOOKUP(_xlfn.CONCAT(U$6,$C18),BurnRate!$G$3:$P$1102,10,FALSE)="NR","NR",IF(U18="NR","NR",U18/(VLOOKUP(_xlfn.CONCAT(U$6,$C18),BurnRate!$G$3:$P$1102,10,FALSE)/90)))</f>
        <v>2.9142857142857146</v>
      </c>
      <c r="W18" s="169">
        <f>IF(SUM(VLOOKUP($C18,DATA_Depts[[#All],[COVID-19 Item List]:[SCL]],MATCH(W$6,DATA_Depts[[#Headers],[COVID-19 Item List]:[SCL]],0),FALSE)=0),IF(VLOOKUP(_xlfn.CONCAT(W$6,$C18),BurnRate!$G$3:$P$1102,10,FALSE)="NR","NR",0),VLOOKUP($C18,DATA_Depts[[#All],[COVID-19 Item List]:[SCL]],MATCH(W$6,DATA_Depts[[#Headers],[COVID-19 Item List]:[SCL]],0),FALSE))</f>
        <v>56</v>
      </c>
      <c r="X18" s="167">
        <f>IF(VLOOKUP(_xlfn.CONCAT(W$6,$C18),BurnRate!$G$3:$P$1102,10,FALSE)="NR","NR",IF(W18="NR","NR",W18/(VLOOKUP(_xlfn.CONCAT(W$6,$C18),BurnRate!$G$3:$P$1102,10,FALSE)/90)))</f>
        <v>4.2</v>
      </c>
      <c r="Y18" s="169">
        <f>IF(SUM(VLOOKUP($C18,DATA_Depts[[#All],[COVID-19 Item List]:[SCL]],MATCH(Y$6,DATA_Depts[[#Headers],[COVID-19 Item List]:[SCL]],0),FALSE)=0),IF(VLOOKUP(_xlfn.CONCAT(Y$6,$C18),BurnRate!$G$3:$P$1102,10,FALSE)="NR","NR",0),VLOOKUP($C18,DATA_Depts[[#All],[COVID-19 Item List]:[SCL]],MATCH(Y$6,DATA_Depts[[#Headers],[COVID-19 Item List]:[SCL]],0),FALSE))</f>
        <v>41</v>
      </c>
      <c r="Z18" s="167">
        <f>IF(VLOOKUP(_xlfn.CONCAT(Y$6,$C18),BurnRate!$G$3:$P$1102,10,FALSE)="NR","NR",IF(Y18="NR","NR",Y18/(VLOOKUP(_xlfn.CONCAT(Y$6,$C18),BurnRate!$G$3:$P$1102,10,FALSE)/90)))</f>
        <v>3.0749999999999997</v>
      </c>
      <c r="AB18" s="62"/>
      <c r="AC18" s="62"/>
      <c r="AD18" s="62"/>
      <c r="AE18" s="62"/>
      <c r="AF18" s="62"/>
      <c r="AG18" s="62"/>
      <c r="AH18" s="62"/>
      <c r="AI18" s="62"/>
      <c r="AJ18" s="62"/>
      <c r="AK18" s="62"/>
    </row>
    <row r="19" spans="1:37" s="43" customFormat="1" ht="11">
      <c r="A19" s="421"/>
      <c r="B19" s="46">
        <v>12</v>
      </c>
      <c r="C19" s="47" t="str">
        <f>_xlfn.SINGLE(VLOOKUP(B19,DisplayOrder[#All],2,FALSE))</f>
        <v>Antimicrobial (PAWS) Wipes</v>
      </c>
      <c r="D19" s="116" t="str">
        <f>_xlfn.SINGLE(VLOOKUP(B19,DisplayOrder!A:C,3,FALSE))</f>
        <v>packets</v>
      </c>
      <c r="E19" s="181">
        <f>IF(VLOOKUP(_xlfn.CONCAT(E$6,$C19),BurnRate!$G$3:$P$1102,10,FALSE)="NR",IF(SUMIF(FAS_Centralized!K:K,C19,FAS_Centralized!N:N)=0,"NR",SUMIF(FAS_Centralized!K:K,C19,FAS_Centralized!N:N)),SUMIF(FAS_Centralized!K:K,C19,FAS_Centralized!N:N))</f>
        <v>6000</v>
      </c>
      <c r="F19" s="148">
        <f>IF(VLOOKUP(_xlfn.CONCAT(E$6,$C19),BurnRate!$G$3:$P$1102,10,FALSE)="NR","NR",IF(E19="NR","NR",E19/(VLOOKUP(_xlfn.CONCAT(E$6,$C19),BurnRate!$G$3:$P$1102,10,FALSE)/90)))</f>
        <v>27.692307692307693</v>
      </c>
      <c r="G19" s="169" t="str">
        <f>IF(SUM(VLOOKUP($C19,DATA_Depts[[#All],[COVID-19 Item List]:[SCL]],MATCH(G$6,DATA_Depts[[#Headers],[COVID-19 Item List]:[SCL]],0),FALSE)=0),IF(VLOOKUP(_xlfn.CONCAT(G$6,$C19),BurnRate!$G$3:$P$1102,10,FALSE)="NR","NR",0),VLOOKUP($C19,DATA_Depts[[#All],[COVID-19 Item List]:[SCL]],MATCH(G$6,DATA_Depts[[#Headers],[COVID-19 Item List]:[SCL]],0),FALSE))</f>
        <v>NR</v>
      </c>
      <c r="H19" s="167" t="str">
        <f>IF(VLOOKUP(_xlfn.CONCAT(G$6,$C19),BurnRate!$G$3:$P$1102,10,FALSE)="NR","NR",IF(G19="NR","NR",G19/(VLOOKUP(_xlfn.CONCAT(G$6,$C19),BurnRate!$G$3:$P$1102,10,FALSE)/90)))</f>
        <v>NR</v>
      </c>
      <c r="I19" s="169">
        <f>IF(SUM(VLOOKUP($C19,DATA_Depts[[#All],[COVID-19 Item List]:[SCL]],MATCH(I$6,DATA_Depts[[#Headers],[COVID-19 Item List]:[SCL]],0),FALSE)=0),IF(VLOOKUP(_xlfn.CONCAT(I$6,$C19),BurnRate!$G$3:$P$1102,10,FALSE)="NR","NR",0),VLOOKUP($C19,DATA_Depts[[#All],[COVID-19 Item List]:[SCL]],MATCH(I$6,DATA_Depts[[#Headers],[COVID-19 Item List]:[SCL]],0),FALSE))</f>
        <v>94900</v>
      </c>
      <c r="J19" s="167">
        <f>IF(VLOOKUP(_xlfn.CONCAT(I$6,$C19),BurnRate!$G$3:$P$1102,10,FALSE)="NR","NR",IF(I19="NR","NR",I19/(VLOOKUP(_xlfn.CONCAT(I$6,$C19),BurnRate!$G$3:$P$1102,10,FALSE)/90)))</f>
        <v>158.16666666666666</v>
      </c>
      <c r="K19" s="169">
        <f>IF(SUM(VLOOKUP($C19,DATA_Depts[[#All],[COVID-19 Item List]:[SCL]],MATCH(K$6,DATA_Depts[[#Headers],[COVID-19 Item List]:[SCL]],0),FALSE)=0),IF(VLOOKUP(_xlfn.CONCAT(K$6,$C19),BurnRate!$G$3:$P$1102,10,FALSE)="NR","NR",0),VLOOKUP($C19,DATA_Depts[[#All],[COVID-19 Item List]:[SCL]],MATCH(K$6,DATA_Depts[[#Headers],[COVID-19 Item List]:[SCL]],0),FALSE))</f>
        <v>550</v>
      </c>
      <c r="L19" s="167" t="str">
        <f>IF(VLOOKUP(_xlfn.CONCAT(K$6,$C19),BurnRate!$G$3:$P$1102,10,FALSE)="NR","NR",IF(K19="NR","NR",K19/(VLOOKUP(_xlfn.CONCAT(K$6,$C19),BurnRate!$G$3:$P$1102,10,FALSE)/90)))</f>
        <v>NR</v>
      </c>
      <c r="M19" s="169" t="str">
        <f>IF(SUM(VLOOKUP($C19,DATA_Depts[[#All],[COVID-19 Item List]:[SCL]],MATCH(M$6,DATA_Depts[[#Headers],[COVID-19 Item List]:[SCL]],0),FALSE)=0),IF(VLOOKUP(_xlfn.CONCAT(M$6,$C19),BurnRate!$G$3:$P$1102,10,FALSE)="NR","NR",0),VLOOKUP($C19,DATA_Depts[[#All],[COVID-19 Item List]:[SCL]],MATCH(M$6,DATA_Depts[[#Headers],[COVID-19 Item List]:[SCL]],0),FALSE))</f>
        <v>NR</v>
      </c>
      <c r="N19" s="167" t="str">
        <f>IF(VLOOKUP(_xlfn.CONCAT(M$6,$C19),BurnRate!$G$3:$P$1102,10,FALSE)="NR","NR",IF(M19="NR","NR",M19/(VLOOKUP(_xlfn.CONCAT(M$6,$C19),BurnRate!$G$3:$P$1102,10,FALSE)/90)))</f>
        <v>NR</v>
      </c>
      <c r="O19" s="169" t="str">
        <f>IF(SUM(VLOOKUP($C19,DATA_Depts[[#All],[COVID-19 Item List]:[SCL]],MATCH(O$6,DATA_Depts[[#Headers],[COVID-19 Item List]:[SCL]],0),FALSE)=0),IF(VLOOKUP(_xlfn.CONCAT(O$6,$C19),BurnRate!$G$3:$P$1102,10,FALSE)="NR","NR",0),VLOOKUP($C19,DATA_Depts[[#All],[COVID-19 Item List]:[SCL]],MATCH(O$6,DATA_Depts[[#Headers],[COVID-19 Item List]:[SCL]],0),FALSE))</f>
        <v>NR</v>
      </c>
      <c r="P19" s="167" t="str">
        <f>IF(VLOOKUP(_xlfn.CONCAT(O$6,$C19),BurnRate!$G$3:$P$1102,10,FALSE)="NR","NR",IF(O19="NR","NR",O19/(VLOOKUP(_xlfn.CONCAT(O$6,$C19),BurnRate!$G$3:$P$1102,10,FALSE)/90)))</f>
        <v>NR</v>
      </c>
      <c r="Q19" s="169" t="str">
        <f>IF(SUM(VLOOKUP($C19,DATA_Depts[[#All],[COVID-19 Item List]:[SCL]],MATCH(Q$6,DATA_Depts[[#Headers],[COVID-19 Item List]:[SCL]],0),FALSE)=0),IF(VLOOKUP(_xlfn.CONCAT(Q$6,$C19),BurnRate!$G$3:$P$1102,10,FALSE)="NR","NR",0),VLOOKUP($C19,DATA_Depts[[#All],[COVID-19 Item List]:[SCL]],MATCH(Q$6,DATA_Depts[[#Headers],[COVID-19 Item List]:[SCL]],0),FALSE))</f>
        <v>NR</v>
      </c>
      <c r="R19" s="167" t="str">
        <f>IF(VLOOKUP(_xlfn.CONCAT(Q$6,$C19),BurnRate!$G$3:$P$1102,10,FALSE)="NR","NR",IF(Q19="NR","NR",Q19/(VLOOKUP(_xlfn.CONCAT(Q$6,$C19),BurnRate!$G$3:$P$1102,10,FALSE)/90)))</f>
        <v>NR</v>
      </c>
      <c r="S19" s="169" t="str">
        <f>IF(SUM(VLOOKUP($C19,DATA_Depts[[#All],[COVID-19 Item List]:[SCL]],MATCH(S$6,DATA_Depts[[#Headers],[COVID-19 Item List]:[SCL]],0),FALSE)=0),IF(VLOOKUP(_xlfn.CONCAT(S$6,$C19),BurnRate!$G$3:$P$1102,10,FALSE)="NR","NR",0),VLOOKUP($C19,DATA_Depts[[#All],[COVID-19 Item List]:[SCL]],MATCH(S$6,DATA_Depts[[#Headers],[COVID-19 Item List]:[SCL]],0),FALSE))</f>
        <v>NR</v>
      </c>
      <c r="T19" s="167" t="str">
        <f>IF(VLOOKUP(_xlfn.CONCAT(S$6,$C19),BurnRate!$G$3:$P$1102,10,FALSE)="NR","NR",IF(S19="NR","NR",S19/(VLOOKUP(_xlfn.CONCAT(S$6,$C19),BurnRate!$G$3:$P$1102,10,FALSE)/90)))</f>
        <v>NR</v>
      </c>
      <c r="U19" s="169" t="str">
        <f>IF(SUM(VLOOKUP($C19,DATA_Depts[[#All],[COVID-19 Item List]:[SCL]],MATCH(U$6,DATA_Depts[[#Headers],[COVID-19 Item List]:[SCL]],0),FALSE)=0),IF(VLOOKUP(_xlfn.CONCAT(U$6,$C19),BurnRate!$G$3:$P$1102,10,FALSE)="NR","NR",0),VLOOKUP($C19,DATA_Depts[[#All],[COVID-19 Item List]:[SCL]],MATCH(U$6,DATA_Depts[[#Headers],[COVID-19 Item List]:[SCL]],0),FALSE))</f>
        <v>NR</v>
      </c>
      <c r="V19" s="167" t="str">
        <f>IF(VLOOKUP(_xlfn.CONCAT(U$6,$C19),BurnRate!$G$3:$P$1102,10,FALSE)="NR","NR",IF(U19="NR","NR",U19/(VLOOKUP(_xlfn.CONCAT(U$6,$C19),BurnRate!$G$3:$P$1102,10,FALSE)/90)))</f>
        <v>NR</v>
      </c>
      <c r="W19" s="169" t="str">
        <f>IF(SUM(VLOOKUP($C19,DATA_Depts[[#All],[COVID-19 Item List]:[SCL]],MATCH(W$6,DATA_Depts[[#Headers],[COVID-19 Item List]:[SCL]],0),FALSE)=0),IF(VLOOKUP(_xlfn.CONCAT(W$6,$C19),BurnRate!$G$3:$P$1102,10,FALSE)="NR","NR",0),VLOOKUP($C19,DATA_Depts[[#All],[COVID-19 Item List]:[SCL]],MATCH(W$6,DATA_Depts[[#Headers],[COVID-19 Item List]:[SCL]],0),FALSE))</f>
        <v>NR</v>
      </c>
      <c r="X19" s="167" t="str">
        <f>IF(VLOOKUP(_xlfn.CONCAT(W$6,$C19),BurnRate!$G$3:$P$1102,10,FALSE)="NR","NR",IF(W19="NR","NR",W19/(VLOOKUP(_xlfn.CONCAT(W$6,$C19),BurnRate!$G$3:$P$1102,10,FALSE)/90)))</f>
        <v>NR</v>
      </c>
      <c r="Y19" s="169">
        <f>IF(SUM(VLOOKUP($C19,DATA_Depts[[#All],[COVID-19 Item List]:[SCL]],MATCH(Y$6,DATA_Depts[[#Headers],[COVID-19 Item List]:[SCL]],0),FALSE)=0),IF(VLOOKUP(_xlfn.CONCAT(Y$6,$C19),BurnRate!$G$3:$P$1102,10,FALSE)="NR","NR",0),VLOOKUP($C19,DATA_Depts[[#All],[COVID-19 Item List]:[SCL]],MATCH(Y$6,DATA_Depts[[#Headers],[COVID-19 Item List]:[SCL]],0),FALSE))</f>
        <v>226</v>
      </c>
      <c r="Z19" s="167" t="str">
        <f>IF(VLOOKUP(_xlfn.CONCAT(Y$6,$C19),BurnRate!$G$3:$P$1102,10,FALSE)="NR","NR",IF(Y19="NR","NR",Y19/(VLOOKUP(_xlfn.CONCAT(Y$6,$C19),BurnRate!$G$3:$P$1102,10,FALSE)/90)))</f>
        <v>NR</v>
      </c>
      <c r="AB19" s="62"/>
      <c r="AC19" s="62"/>
      <c r="AD19" s="62"/>
      <c r="AE19" s="62"/>
      <c r="AF19" s="62"/>
      <c r="AG19" s="62"/>
      <c r="AH19" s="62"/>
      <c r="AI19" s="62"/>
      <c r="AJ19" s="62"/>
      <c r="AK19" s="62"/>
    </row>
    <row r="20" spans="1:37" s="43" customFormat="1" ht="11">
      <c r="A20" s="421"/>
      <c r="B20" s="46">
        <v>13</v>
      </c>
      <c r="C20" s="47" t="str">
        <f>_xlfn.SINGLE(VLOOKUP(B20,DisplayOrder[#All],2,FALSE))</f>
        <v>Hand Sanitizer (12oz or equiv)</v>
      </c>
      <c r="D20" s="116" t="str">
        <f>_xlfn.SINGLE(VLOOKUP(B20,DisplayOrder!A:C,3,FALSE))</f>
        <v>bottle</v>
      </c>
      <c r="E20" s="181">
        <f>IF(VLOOKUP(_xlfn.CONCAT(E$6,$C20),BurnRate!$G$3:$P$1102,10,FALSE)="NR",IF(SUMIF(FAS_Centralized!K:K,C20,FAS_Centralized!N:N)=0,"NR",SUMIF(FAS_Centralized!K:K,C20,FAS_Centralized!N:N)),SUMIF(FAS_Centralized!K:K,C20,FAS_Centralized!N:N))</f>
        <v>17517</v>
      </c>
      <c r="F20" s="148">
        <f>IF(VLOOKUP(_xlfn.CONCAT(E$6,$C20),BurnRate!$G$3:$P$1102,10,FALSE)="NR","NR",IF(E20="NR","NR",E20/(VLOOKUP(_xlfn.CONCAT(E$6,$C20),BurnRate!$G$3:$P$1102,10,FALSE)/90)))</f>
        <v>60.635769230769228</v>
      </c>
      <c r="G20" s="169">
        <f>IF(SUM(VLOOKUP($C20,DATA_Depts[[#All],[COVID-19 Item List]:[SCL]],MATCH(G$6,DATA_Depts[[#Headers],[COVID-19 Item List]:[SCL]],0),FALSE)=0),IF(VLOOKUP(_xlfn.CONCAT(G$6,$C20),BurnRate!$G$3:$P$1102,10,FALSE)="NR","NR",0),VLOOKUP($C20,DATA_Depts[[#All],[COVID-19 Item List]:[SCL]],MATCH(G$6,DATA_Depts[[#Headers],[COVID-19 Item List]:[SCL]],0),FALSE))</f>
        <v>267</v>
      </c>
      <c r="H20" s="167">
        <f>IF(VLOOKUP(_xlfn.CONCAT(G$6,$C20),BurnRate!$G$3:$P$1102,10,FALSE)="NR","NR",IF(G20="NR","NR",G20/(VLOOKUP(_xlfn.CONCAT(G$6,$C20),BurnRate!$G$3:$P$1102,10,FALSE)/90)))</f>
        <v>5.4613636363636369</v>
      </c>
      <c r="I20" s="169">
        <f>IF(SUM(VLOOKUP($C20,DATA_Depts[[#All],[COVID-19 Item List]:[SCL]],MATCH(I$6,DATA_Depts[[#Headers],[COVID-19 Item List]:[SCL]],0),FALSE)=0),IF(VLOOKUP(_xlfn.CONCAT(I$6,$C20),BurnRate!$G$3:$P$1102,10,FALSE)="NR","NR",0),VLOOKUP($C20,DATA_Depts[[#All],[COVID-19 Item List]:[SCL]],MATCH(I$6,DATA_Depts[[#Headers],[COVID-19 Item List]:[SCL]],0),FALSE))</f>
        <v>1010</v>
      </c>
      <c r="J20" s="167">
        <f>IF(VLOOKUP(_xlfn.CONCAT(I$6,$C20),BurnRate!$G$3:$P$1102,10,FALSE)="NR","NR",IF(I20="NR","NR",I20/(VLOOKUP(_xlfn.CONCAT(I$6,$C20),BurnRate!$G$3:$P$1102,10,FALSE)/90)))</f>
        <v>57.714285714285715</v>
      </c>
      <c r="K20" s="169">
        <f>IF(SUM(VLOOKUP($C20,DATA_Depts[[#All],[COVID-19 Item List]:[SCL]],MATCH(K$6,DATA_Depts[[#Headers],[COVID-19 Item List]:[SCL]],0),FALSE)=0),IF(VLOOKUP(_xlfn.CONCAT(K$6,$C20),BurnRate!$G$3:$P$1102,10,FALSE)="NR","NR",0),VLOOKUP($C20,DATA_Depts[[#All],[COVID-19 Item List]:[SCL]],MATCH(K$6,DATA_Depts[[#Headers],[COVID-19 Item List]:[SCL]],0),FALSE))</f>
        <v>288</v>
      </c>
      <c r="L20" s="167" t="str">
        <f>IF(VLOOKUP(_xlfn.CONCAT(K$6,$C20),BurnRate!$G$3:$P$1102,10,FALSE)="NR","NR",IF(K20="NR","NR",K20/(VLOOKUP(_xlfn.CONCAT(K$6,$C20),BurnRate!$G$3:$P$1102,10,FALSE)/90)))</f>
        <v>NR</v>
      </c>
      <c r="M20" s="169">
        <f>IF(SUM(VLOOKUP($C20,DATA_Depts[[#All],[COVID-19 Item List]:[SCL]],MATCH(M$6,DATA_Depts[[#Headers],[COVID-19 Item List]:[SCL]],0),FALSE)=0),IF(VLOOKUP(_xlfn.CONCAT(M$6,$C20),BurnRate!$G$3:$P$1102,10,FALSE)="NR","NR",0),VLOOKUP($C20,DATA_Depts[[#All],[COVID-19 Item List]:[SCL]],MATCH(M$6,DATA_Depts[[#Headers],[COVID-19 Item List]:[SCL]],0),FALSE))</f>
        <v>0</v>
      </c>
      <c r="N20" s="167">
        <f>IF(VLOOKUP(_xlfn.CONCAT(M$6,$C20),BurnRate!$G$3:$P$1102,10,FALSE)="NR","NR",IF(M20="NR","NR",M20/(VLOOKUP(_xlfn.CONCAT(M$6,$C20),BurnRate!$G$3:$P$1102,10,FALSE)/90)))</f>
        <v>0</v>
      </c>
      <c r="O20" s="169">
        <f>IF(SUM(VLOOKUP($C20,DATA_Depts[[#All],[COVID-19 Item List]:[SCL]],MATCH(O$6,DATA_Depts[[#Headers],[COVID-19 Item List]:[SCL]],0),FALSE)=0),IF(VLOOKUP(_xlfn.CONCAT(O$6,$C20),BurnRate!$G$3:$P$1102,10,FALSE)="NR","NR",0),VLOOKUP($C20,DATA_Depts[[#All],[COVID-19 Item List]:[SCL]],MATCH(O$6,DATA_Depts[[#Headers],[COVID-19 Item List]:[SCL]],0),FALSE))</f>
        <v>1288</v>
      </c>
      <c r="P20" s="167">
        <f>IF(VLOOKUP(_xlfn.CONCAT(O$6,$C20),BurnRate!$G$3:$P$1102,10,FALSE)="NR","NR",IF(O20="NR","NR",O20/(VLOOKUP(_xlfn.CONCAT(O$6,$C20),BurnRate!$G$3:$P$1102,10,FALSE)/90)))</f>
        <v>26.345454545454547</v>
      </c>
      <c r="Q20" s="169">
        <f>IF(SUM(VLOOKUP($C20,DATA_Depts[[#All],[COVID-19 Item List]:[SCL]],MATCH(Q$6,DATA_Depts[[#Headers],[COVID-19 Item List]:[SCL]],0),FALSE)=0),IF(VLOOKUP(_xlfn.CONCAT(Q$6,$C20),BurnRate!$G$3:$P$1102,10,FALSE)="NR","NR",0),VLOOKUP($C20,DATA_Depts[[#All],[COVID-19 Item List]:[SCL]],MATCH(Q$6,DATA_Depts[[#Headers],[COVID-19 Item List]:[SCL]],0),FALSE))</f>
        <v>400</v>
      </c>
      <c r="R20" s="167">
        <f>IF(VLOOKUP(_xlfn.CONCAT(Q$6,$C20),BurnRate!$G$3:$P$1102,10,FALSE)="NR","NR",IF(Q20="NR","NR",Q20/(VLOOKUP(_xlfn.CONCAT(Q$6,$C20),BurnRate!$G$3:$P$1102,10,FALSE)/90)))</f>
        <v>16.363636363636363</v>
      </c>
      <c r="S20" s="169">
        <f>IF(SUM(VLOOKUP($C20,DATA_Depts[[#All],[COVID-19 Item List]:[SCL]],MATCH(S$6,DATA_Depts[[#Headers],[COVID-19 Item List]:[SCL]],0),FALSE)=0),IF(VLOOKUP(_xlfn.CONCAT(S$6,$C20),BurnRate!$G$3:$P$1102,10,FALSE)="NR","NR",0),VLOOKUP($C20,DATA_Depts[[#All],[COVID-19 Item List]:[SCL]],MATCH(S$6,DATA_Depts[[#Headers],[COVID-19 Item List]:[SCL]],0),FALSE))</f>
        <v>293</v>
      </c>
      <c r="T20" s="167">
        <f>IF(VLOOKUP(_xlfn.CONCAT(S$6,$C20),BurnRate!$G$3:$P$1102,10,FALSE)="NR","NR",IF(S20="NR","NR",S20/(VLOOKUP(_xlfn.CONCAT(S$6,$C20),BurnRate!$G$3:$P$1102,10,FALSE)/90)))</f>
        <v>21.974999999999998</v>
      </c>
      <c r="U20" s="169">
        <f>IF(SUM(VLOOKUP($C20,DATA_Depts[[#All],[COVID-19 Item List]:[SCL]],MATCH(U$6,DATA_Depts[[#Headers],[COVID-19 Item List]:[SCL]],0),FALSE)=0),IF(VLOOKUP(_xlfn.CONCAT(U$6,$C20),BurnRate!$G$3:$P$1102,10,FALSE)="NR","NR",0),VLOOKUP($C20,DATA_Depts[[#All],[COVID-19 Item List]:[SCL]],MATCH(U$6,DATA_Depts[[#Headers],[COVID-19 Item List]:[SCL]],0),FALSE))</f>
        <v>52</v>
      </c>
      <c r="V20" s="167">
        <f>IF(VLOOKUP(_xlfn.CONCAT(U$6,$C20),BurnRate!$G$3:$P$1102,10,FALSE)="NR","NR",IF(U20="NR","NR",U20/(VLOOKUP(_xlfn.CONCAT(U$6,$C20),BurnRate!$G$3:$P$1102,10,FALSE)/90)))</f>
        <v>1.6714285714285715</v>
      </c>
      <c r="W20" s="169">
        <f>IF(SUM(VLOOKUP($C20,DATA_Depts[[#All],[COVID-19 Item List]:[SCL]],MATCH(W$6,DATA_Depts[[#Headers],[COVID-19 Item List]:[SCL]],0),FALSE)=0),IF(VLOOKUP(_xlfn.CONCAT(W$6,$C20),BurnRate!$G$3:$P$1102,10,FALSE)="NR","NR",0),VLOOKUP($C20,DATA_Depts[[#All],[COVID-19 Item List]:[SCL]],MATCH(W$6,DATA_Depts[[#Headers],[COVID-19 Item List]:[SCL]],0),FALSE))</f>
        <v>190</v>
      </c>
      <c r="X20" s="167" t="str">
        <f>IF(VLOOKUP(_xlfn.CONCAT(W$6,$C20),BurnRate!$G$3:$P$1102,10,FALSE)="NR","NR",IF(W20="NR","NR",W20/(VLOOKUP(_xlfn.CONCAT(W$6,$C20),BurnRate!$G$3:$P$1102,10,FALSE)/90)))</f>
        <v>NR</v>
      </c>
      <c r="Y20" s="169">
        <f>IF(SUM(VLOOKUP($C20,DATA_Depts[[#All],[COVID-19 Item List]:[SCL]],MATCH(Y$6,DATA_Depts[[#Headers],[COVID-19 Item List]:[SCL]],0),FALSE)=0),IF(VLOOKUP(_xlfn.CONCAT(Y$6,$C20),BurnRate!$G$3:$P$1102,10,FALSE)="NR","NR",0),VLOOKUP($C20,DATA_Depts[[#All],[COVID-19 Item List]:[SCL]],MATCH(Y$6,DATA_Depts[[#Headers],[COVID-19 Item List]:[SCL]],0),FALSE))</f>
        <v>490.4</v>
      </c>
      <c r="Z20" s="167">
        <f>IF(VLOOKUP(_xlfn.CONCAT(Y$6,$C20),BurnRate!$G$3:$P$1102,10,FALSE)="NR","NR",IF(Y20="NR","NR",Y20/(VLOOKUP(_xlfn.CONCAT(Y$6,$C20),BurnRate!$G$3:$P$1102,10,FALSE)/90)))</f>
        <v>27.584999999999997</v>
      </c>
      <c r="AB20" s="62"/>
      <c r="AC20" s="62"/>
      <c r="AD20" s="62"/>
      <c r="AE20" s="62"/>
      <c r="AF20" s="62"/>
      <c r="AG20" s="62"/>
      <c r="AH20" s="62"/>
      <c r="AI20" s="62"/>
      <c r="AJ20" s="62"/>
      <c r="AK20" s="62"/>
    </row>
    <row r="21" spans="1:37" s="43" customFormat="1" ht="11">
      <c r="A21" s="421"/>
      <c r="B21" s="46">
        <v>14</v>
      </c>
      <c r="C21" s="47" t="str">
        <f>_xlfn.SINGLE(VLOOKUP(B21,DisplayOrder[#All],2,FALSE))</f>
        <v>Purell (1200 ml stand refill)</v>
      </c>
      <c r="D21" s="116" t="str">
        <f>_xlfn.SINGLE(VLOOKUP(B21,DisplayOrder!A:C,3,FALSE))</f>
        <v>box</v>
      </c>
      <c r="E21" s="181">
        <f>IF(VLOOKUP(_xlfn.CONCAT(E$6,$C21),BurnRate!$G$3:$P$1102,10,FALSE)="NR",IF(SUMIF(FAS_Centralized!K:K,C21,FAS_Centralized!N:N)=0,"NR",SUMIF(FAS_Centralized!K:K,C21,FAS_Centralized!N:N)),SUMIF(FAS_Centralized!K:K,C21,FAS_Centralized!N:N))</f>
        <v>0</v>
      </c>
      <c r="F21" s="148">
        <f>IF(VLOOKUP(_xlfn.CONCAT(E$6,$C21),BurnRate!$G$3:$P$1102,10,FALSE)="NR","NR",IF(E21="NR","NR",E21/(VLOOKUP(_xlfn.CONCAT(E$6,$C21),BurnRate!$G$3:$P$1102,10,FALSE)/90)))</f>
        <v>0</v>
      </c>
      <c r="G21" s="169" t="str">
        <f>IF(SUM(VLOOKUP($C21,DATA_Depts[[#All],[COVID-19 Item List]:[SCL]],MATCH(G$6,DATA_Depts[[#Headers],[COVID-19 Item List]:[SCL]],0),FALSE)=0),IF(VLOOKUP(_xlfn.CONCAT(G$6,$C21),BurnRate!$G$3:$P$1102,10,FALSE)="NR","NR",0),VLOOKUP($C21,DATA_Depts[[#All],[COVID-19 Item List]:[SCL]],MATCH(G$6,DATA_Depts[[#Headers],[COVID-19 Item List]:[SCL]],0),FALSE))</f>
        <v>NR</v>
      </c>
      <c r="H21" s="167" t="str">
        <f>IF(VLOOKUP(_xlfn.CONCAT(G$6,$C21),BurnRate!$G$3:$P$1102,10,FALSE)="NR","NR",IF(G21="NR","NR",G21/(VLOOKUP(_xlfn.CONCAT(G$6,$C21),BurnRate!$G$3:$P$1102,10,FALSE)/90)))</f>
        <v>NR</v>
      </c>
      <c r="I21" s="169" t="str">
        <f>IF(SUM(VLOOKUP($C21,DATA_Depts[[#All],[COVID-19 Item List]:[SCL]],MATCH(I$6,DATA_Depts[[#Headers],[COVID-19 Item List]:[SCL]],0),FALSE)=0),IF(VLOOKUP(_xlfn.CONCAT(I$6,$C21),BurnRate!$G$3:$P$1102,10,FALSE)="NR","NR",0),VLOOKUP($C21,DATA_Depts[[#All],[COVID-19 Item List]:[SCL]],MATCH(I$6,DATA_Depts[[#Headers],[COVID-19 Item List]:[SCL]],0),FALSE))</f>
        <v>NR</v>
      </c>
      <c r="J21" s="167" t="str">
        <f>IF(VLOOKUP(_xlfn.CONCAT(I$6,$C21),BurnRate!$G$3:$P$1102,10,FALSE)="NR","NR",IF(I21="NR","NR",I21/(VLOOKUP(_xlfn.CONCAT(I$6,$C21),BurnRate!$G$3:$P$1102,10,FALSE)/90)))</f>
        <v>NR</v>
      </c>
      <c r="K21" s="169">
        <f>IF(SUM(VLOOKUP($C21,DATA_Depts[[#All],[COVID-19 Item List]:[SCL]],MATCH(K$6,DATA_Depts[[#Headers],[COVID-19 Item List]:[SCL]],0),FALSE)=0),IF(VLOOKUP(_xlfn.CONCAT(K$6,$C21),BurnRate!$G$3:$P$1102,10,FALSE)="NR","NR",0),VLOOKUP($C21,DATA_Depts[[#All],[COVID-19 Item List]:[SCL]],MATCH(K$6,DATA_Depts[[#Headers],[COVID-19 Item List]:[SCL]],0),FALSE))</f>
        <v>0</v>
      </c>
      <c r="L21" s="167">
        <f>IF(VLOOKUP(_xlfn.CONCAT(K$6,$C21),BurnRate!$G$3:$P$1102,10,FALSE)="NR","NR",IF(K21="NR","NR",K21/(VLOOKUP(_xlfn.CONCAT(K$6,$C21),BurnRate!$G$3:$P$1102,10,FALSE)/90)))</f>
        <v>0</v>
      </c>
      <c r="M21" s="169" t="str">
        <f>IF(SUM(VLOOKUP($C21,DATA_Depts[[#All],[COVID-19 Item List]:[SCL]],MATCH(M$6,DATA_Depts[[#Headers],[COVID-19 Item List]:[SCL]],0),FALSE)=0),IF(VLOOKUP(_xlfn.CONCAT(M$6,$C21),BurnRate!$G$3:$P$1102,10,FALSE)="NR","NR",0),VLOOKUP($C21,DATA_Depts[[#All],[COVID-19 Item List]:[SCL]],MATCH(M$6,DATA_Depts[[#Headers],[COVID-19 Item List]:[SCL]],0),FALSE))</f>
        <v>NR</v>
      </c>
      <c r="N21" s="167" t="str">
        <f>IF(VLOOKUP(_xlfn.CONCAT(M$6,$C21),BurnRate!$G$3:$P$1102,10,FALSE)="NR","NR",IF(M21="NR","NR",M21/(VLOOKUP(_xlfn.CONCAT(M$6,$C21),BurnRate!$G$3:$P$1102,10,FALSE)/90)))</f>
        <v>NR</v>
      </c>
      <c r="O21" s="169">
        <f>IF(SUM(VLOOKUP($C21,DATA_Depts[[#All],[COVID-19 Item List]:[SCL]],MATCH(O$6,DATA_Depts[[#Headers],[COVID-19 Item List]:[SCL]],0),FALSE)=0),IF(VLOOKUP(_xlfn.CONCAT(O$6,$C21),BurnRate!$G$3:$P$1102,10,FALSE)="NR","NR",0),VLOOKUP($C21,DATA_Depts[[#All],[COVID-19 Item List]:[SCL]],MATCH(O$6,DATA_Depts[[#Headers],[COVID-19 Item List]:[SCL]],0),FALSE))</f>
        <v>22</v>
      </c>
      <c r="P21" s="167">
        <f>IF(VLOOKUP(_xlfn.CONCAT(O$6,$C21),BurnRate!$G$3:$P$1102,10,FALSE)="NR","NR",IF(O21="NR","NR",O21/(VLOOKUP(_xlfn.CONCAT(O$6,$C21),BurnRate!$G$3:$P$1102,10,FALSE)/90)))</f>
        <v>3.6</v>
      </c>
      <c r="Q21" s="169">
        <f>IF(SUM(VLOOKUP($C21,DATA_Depts[[#All],[COVID-19 Item List]:[SCL]],MATCH(Q$6,DATA_Depts[[#Headers],[COVID-19 Item List]:[SCL]],0),FALSE)=0),IF(VLOOKUP(_xlfn.CONCAT(Q$6,$C21),BurnRate!$G$3:$P$1102,10,FALSE)="NR","NR",0),VLOOKUP($C21,DATA_Depts[[#All],[COVID-19 Item List]:[SCL]],MATCH(Q$6,DATA_Depts[[#Headers],[COVID-19 Item List]:[SCL]],0),FALSE))</f>
        <v>5</v>
      </c>
      <c r="R21" s="167" t="str">
        <f>IF(VLOOKUP(_xlfn.CONCAT(Q$6,$C21),BurnRate!$G$3:$P$1102,10,FALSE)="NR","NR",IF(Q21="NR","NR",Q21/(VLOOKUP(_xlfn.CONCAT(Q$6,$C21),BurnRate!$G$3:$P$1102,10,FALSE)/90)))</f>
        <v>NR</v>
      </c>
      <c r="S21" s="169">
        <f>IF(SUM(VLOOKUP($C21,DATA_Depts[[#All],[COVID-19 Item List]:[SCL]],MATCH(S$6,DATA_Depts[[#Headers],[COVID-19 Item List]:[SCL]],0),FALSE)=0),IF(VLOOKUP(_xlfn.CONCAT(S$6,$C21),BurnRate!$G$3:$P$1102,10,FALSE)="NR","NR",0),VLOOKUP($C21,DATA_Depts[[#All],[COVID-19 Item List]:[SCL]],MATCH(S$6,DATA_Depts[[#Headers],[COVID-19 Item List]:[SCL]],0),FALSE))</f>
        <v>0</v>
      </c>
      <c r="T21" s="167">
        <f>IF(VLOOKUP(_xlfn.CONCAT(S$6,$C21),BurnRate!$G$3:$P$1102,10,FALSE)="NR","NR",IF(S21="NR","NR",S21/(VLOOKUP(_xlfn.CONCAT(S$6,$C21),BurnRate!$G$3:$P$1102,10,FALSE)/90)))</f>
        <v>0</v>
      </c>
      <c r="U21" s="169" t="str">
        <f>IF(SUM(VLOOKUP($C21,DATA_Depts[[#All],[COVID-19 Item List]:[SCL]],MATCH(U$6,DATA_Depts[[#Headers],[COVID-19 Item List]:[SCL]],0),FALSE)=0),IF(VLOOKUP(_xlfn.CONCAT(U$6,$C21),BurnRate!$G$3:$P$1102,10,FALSE)="NR","NR",0),VLOOKUP($C21,DATA_Depts[[#All],[COVID-19 Item List]:[SCL]],MATCH(U$6,DATA_Depts[[#Headers],[COVID-19 Item List]:[SCL]],0),FALSE))</f>
        <v>NR</v>
      </c>
      <c r="V21" s="167" t="str">
        <f>IF(VLOOKUP(_xlfn.CONCAT(U$6,$C21),BurnRate!$G$3:$P$1102,10,FALSE)="NR","NR",IF(U21="NR","NR",U21/(VLOOKUP(_xlfn.CONCAT(U$6,$C21),BurnRate!$G$3:$P$1102,10,FALSE)/90)))</f>
        <v>NR</v>
      </c>
      <c r="W21" s="169">
        <f>IF(SUM(VLOOKUP($C21,DATA_Depts[[#All],[COVID-19 Item List]:[SCL]],MATCH(W$6,DATA_Depts[[#Headers],[COVID-19 Item List]:[SCL]],0),FALSE)=0),IF(VLOOKUP(_xlfn.CONCAT(W$6,$C21),BurnRate!$G$3:$P$1102,10,FALSE)="NR","NR",0),VLOOKUP($C21,DATA_Depts[[#All],[COVID-19 Item List]:[SCL]],MATCH(W$6,DATA_Depts[[#Headers],[COVID-19 Item List]:[SCL]],0),FALSE))</f>
        <v>25</v>
      </c>
      <c r="X21" s="167">
        <f>IF(VLOOKUP(_xlfn.CONCAT(W$6,$C21),BurnRate!$G$3:$P$1102,10,FALSE)="NR","NR",IF(W21="NR","NR",W21/(VLOOKUP(_xlfn.CONCAT(W$6,$C21),BurnRate!$G$3:$P$1102,10,FALSE)/90)))</f>
        <v>9.615384615384615</v>
      </c>
      <c r="Y21" s="169" t="str">
        <f>IF(SUM(VLOOKUP($C21,DATA_Depts[[#All],[COVID-19 Item List]:[SCL]],MATCH(Y$6,DATA_Depts[[#Headers],[COVID-19 Item List]:[SCL]],0),FALSE)=0),IF(VLOOKUP(_xlfn.CONCAT(Y$6,$C21),BurnRate!$G$3:$P$1102,10,FALSE)="NR","NR",0),VLOOKUP($C21,DATA_Depts[[#All],[COVID-19 Item List]:[SCL]],MATCH(Y$6,DATA_Depts[[#Headers],[COVID-19 Item List]:[SCL]],0),FALSE))</f>
        <v>NR</v>
      </c>
      <c r="Z21" s="167" t="str">
        <f>IF(VLOOKUP(_xlfn.CONCAT(Y$6,$C21),BurnRate!$G$3:$P$1102,10,FALSE)="NR","NR",IF(Y21="NR","NR",Y21/(VLOOKUP(_xlfn.CONCAT(Y$6,$C21),BurnRate!$G$3:$P$1102,10,FALSE)/90)))</f>
        <v>NR</v>
      </c>
      <c r="AB21" s="62"/>
      <c r="AC21" s="62"/>
      <c r="AD21" s="62"/>
      <c r="AE21" s="62"/>
      <c r="AF21" s="62"/>
      <c r="AG21" s="62"/>
      <c r="AH21" s="62"/>
      <c r="AI21" s="62"/>
      <c r="AJ21" s="62"/>
      <c r="AK21" s="62"/>
    </row>
    <row r="22" spans="1:37" s="43" customFormat="1" ht="11">
      <c r="A22" s="421"/>
      <c r="B22" s="46">
        <v>15</v>
      </c>
      <c r="C22" s="47" t="str">
        <f>_xlfn.SINGLE(VLOOKUP(B22,DisplayOrder[#All],2,FALSE))</f>
        <v>Isopropyl Alcohol (16oz or equiv)</v>
      </c>
      <c r="D22" s="116" t="str">
        <f>_xlfn.SINGLE(VLOOKUP(B22,DisplayOrder!A:C,3,FALSE))</f>
        <v>bottle</v>
      </c>
      <c r="E22" s="181">
        <f>IF(VLOOKUP(_xlfn.CONCAT(E$6,$C22),BurnRate!$G$3:$P$1102,10,FALSE)="NR",IF(SUMIF(FAS_Centralized!K:K,C22,FAS_Centralized!N:N)=0,"NR",SUMIF(FAS_Centralized!K:K,C22,FAS_Centralized!N:N)),SUMIF(FAS_Centralized!K:K,C22,FAS_Centralized!N:N))</f>
        <v>25860</v>
      </c>
      <c r="F22" s="148">
        <f>IF(VLOOKUP(_xlfn.CONCAT(E$6,$C22),BurnRate!$G$3:$P$1102,10,FALSE)="NR","NR",IF(E22="NR","NR",E22/(VLOOKUP(_xlfn.CONCAT(E$6,$C22),BurnRate!$G$3:$P$1102,10,FALSE)/90)))</f>
        <v>59.676923076923082</v>
      </c>
      <c r="G22" s="169">
        <f>IF(SUM(VLOOKUP($C22,DATA_Depts[[#All],[COVID-19 Item List]:[SCL]],MATCH(G$6,DATA_Depts[[#Headers],[COVID-19 Item List]:[SCL]],0),FALSE)=0),IF(VLOOKUP(_xlfn.CONCAT(G$6,$C22),BurnRate!$G$3:$P$1102,10,FALSE)="NR","NR",0),VLOOKUP($C22,DATA_Depts[[#All],[COVID-19 Item List]:[SCL]],MATCH(G$6,DATA_Depts[[#Headers],[COVID-19 Item List]:[SCL]],0),FALSE))</f>
        <v>5228</v>
      </c>
      <c r="H22" s="167">
        <f>IF(VLOOKUP(_xlfn.CONCAT(G$6,$C22),BurnRate!$G$3:$P$1102,10,FALSE)="NR","NR",IF(G22="NR","NR",G22/(VLOOKUP(_xlfn.CONCAT(G$6,$C22),BurnRate!$G$3:$P$1102,10,FALSE)/90)))</f>
        <v>71.290909090909096</v>
      </c>
      <c r="I22" s="169" t="str">
        <f>IF(SUM(VLOOKUP($C22,DATA_Depts[[#All],[COVID-19 Item List]:[SCL]],MATCH(I$6,DATA_Depts[[#Headers],[COVID-19 Item List]:[SCL]],0),FALSE)=0),IF(VLOOKUP(_xlfn.CONCAT(I$6,$C22),BurnRate!$G$3:$P$1102,10,FALSE)="NR","NR",0),VLOOKUP($C22,DATA_Depts[[#All],[COVID-19 Item List]:[SCL]],MATCH(I$6,DATA_Depts[[#Headers],[COVID-19 Item List]:[SCL]],0),FALSE))</f>
        <v>NR</v>
      </c>
      <c r="J22" s="167" t="str">
        <f>IF(VLOOKUP(_xlfn.CONCAT(I$6,$C22),BurnRate!$G$3:$P$1102,10,FALSE)="NR","NR",IF(I22="NR","NR",I22/(VLOOKUP(_xlfn.CONCAT(I$6,$C22),BurnRate!$G$3:$P$1102,10,FALSE)/90)))</f>
        <v>NR</v>
      </c>
      <c r="K22" s="169" t="str">
        <f>IF(SUM(VLOOKUP($C22,DATA_Depts[[#All],[COVID-19 Item List]:[SCL]],MATCH(K$6,DATA_Depts[[#Headers],[COVID-19 Item List]:[SCL]],0),FALSE)=0),IF(VLOOKUP(_xlfn.CONCAT(K$6,$C22),BurnRate!$G$3:$P$1102,10,FALSE)="NR","NR",0),VLOOKUP($C22,DATA_Depts[[#All],[COVID-19 Item List]:[SCL]],MATCH(K$6,DATA_Depts[[#Headers],[COVID-19 Item List]:[SCL]],0),FALSE))</f>
        <v>NR</v>
      </c>
      <c r="L22" s="167" t="str">
        <f>IF(VLOOKUP(_xlfn.CONCAT(K$6,$C22),BurnRate!$G$3:$P$1102,10,FALSE)="NR","NR",IF(K22="NR","NR",K22/(VLOOKUP(_xlfn.CONCAT(K$6,$C22),BurnRate!$G$3:$P$1102,10,FALSE)/90)))</f>
        <v>NR</v>
      </c>
      <c r="M22" s="169" t="str">
        <f>IF(SUM(VLOOKUP($C22,DATA_Depts[[#All],[COVID-19 Item List]:[SCL]],MATCH(M$6,DATA_Depts[[#Headers],[COVID-19 Item List]:[SCL]],0),FALSE)=0),IF(VLOOKUP(_xlfn.CONCAT(M$6,$C22),BurnRate!$G$3:$P$1102,10,FALSE)="NR","NR",0),VLOOKUP($C22,DATA_Depts[[#All],[COVID-19 Item List]:[SCL]],MATCH(M$6,DATA_Depts[[#Headers],[COVID-19 Item List]:[SCL]],0),FALSE))</f>
        <v>NR</v>
      </c>
      <c r="N22" s="167" t="str">
        <f>IF(VLOOKUP(_xlfn.CONCAT(M$6,$C22),BurnRate!$G$3:$P$1102,10,FALSE)="NR","NR",IF(M22="NR","NR",M22/(VLOOKUP(_xlfn.CONCAT(M$6,$C22),BurnRate!$G$3:$P$1102,10,FALSE)/90)))</f>
        <v>NR</v>
      </c>
      <c r="O22" s="169" t="str">
        <f>IF(SUM(VLOOKUP($C22,DATA_Depts[[#All],[COVID-19 Item List]:[SCL]],MATCH(O$6,DATA_Depts[[#Headers],[COVID-19 Item List]:[SCL]],0),FALSE)=0),IF(VLOOKUP(_xlfn.CONCAT(O$6,$C22),BurnRate!$G$3:$P$1102,10,FALSE)="NR","NR",0),VLOOKUP($C22,DATA_Depts[[#All],[COVID-19 Item List]:[SCL]],MATCH(O$6,DATA_Depts[[#Headers],[COVID-19 Item List]:[SCL]],0),FALSE))</f>
        <v>NR</v>
      </c>
      <c r="P22" s="167" t="str">
        <f>IF(VLOOKUP(_xlfn.CONCAT(O$6,$C22),BurnRate!$G$3:$P$1102,10,FALSE)="NR","NR",IF(O22="NR","NR",O22/(VLOOKUP(_xlfn.CONCAT(O$6,$C22),BurnRate!$G$3:$P$1102,10,FALSE)/90)))</f>
        <v>NR</v>
      </c>
      <c r="Q22" s="169" t="str">
        <f>IF(SUM(VLOOKUP($C22,DATA_Depts[[#All],[COVID-19 Item List]:[SCL]],MATCH(Q$6,DATA_Depts[[#Headers],[COVID-19 Item List]:[SCL]],0),FALSE)=0),IF(VLOOKUP(_xlfn.CONCAT(Q$6,$C22),BurnRate!$G$3:$P$1102,10,FALSE)="NR","NR",0),VLOOKUP($C22,DATA_Depts[[#All],[COVID-19 Item List]:[SCL]],MATCH(Q$6,DATA_Depts[[#Headers],[COVID-19 Item List]:[SCL]],0),FALSE))</f>
        <v>NR</v>
      </c>
      <c r="R22" s="167" t="str">
        <f>IF(VLOOKUP(_xlfn.CONCAT(Q$6,$C22),BurnRate!$G$3:$P$1102,10,FALSE)="NR","NR",IF(Q22="NR","NR",Q22/(VLOOKUP(_xlfn.CONCAT(Q$6,$C22),BurnRate!$G$3:$P$1102,10,FALSE)/90)))</f>
        <v>NR</v>
      </c>
      <c r="S22" s="169" t="str">
        <f>IF(SUM(VLOOKUP($C22,DATA_Depts[[#All],[COVID-19 Item List]:[SCL]],MATCH(S$6,DATA_Depts[[#Headers],[COVID-19 Item List]:[SCL]],0),FALSE)=0),IF(VLOOKUP(_xlfn.CONCAT(S$6,$C22),BurnRate!$G$3:$P$1102,10,FALSE)="NR","NR",0),VLOOKUP($C22,DATA_Depts[[#All],[COVID-19 Item List]:[SCL]],MATCH(S$6,DATA_Depts[[#Headers],[COVID-19 Item List]:[SCL]],0),FALSE))</f>
        <v>NR</v>
      </c>
      <c r="T22" s="167" t="str">
        <f>IF(VLOOKUP(_xlfn.CONCAT(S$6,$C22),BurnRate!$G$3:$P$1102,10,FALSE)="NR","NR",IF(S22="NR","NR",S22/(VLOOKUP(_xlfn.CONCAT(S$6,$C22),BurnRate!$G$3:$P$1102,10,FALSE)/90)))</f>
        <v>NR</v>
      </c>
      <c r="U22" s="169" t="str">
        <f>IF(SUM(VLOOKUP($C22,DATA_Depts[[#All],[COVID-19 Item List]:[SCL]],MATCH(U$6,DATA_Depts[[#Headers],[COVID-19 Item List]:[SCL]],0),FALSE)=0),IF(VLOOKUP(_xlfn.CONCAT(U$6,$C22),BurnRate!$G$3:$P$1102,10,FALSE)="NR","NR",0),VLOOKUP($C22,DATA_Depts[[#All],[COVID-19 Item List]:[SCL]],MATCH(U$6,DATA_Depts[[#Headers],[COVID-19 Item List]:[SCL]],0),FALSE))</f>
        <v>NR</v>
      </c>
      <c r="V22" s="167" t="str">
        <f>IF(VLOOKUP(_xlfn.CONCAT(U$6,$C22),BurnRate!$G$3:$P$1102,10,FALSE)="NR","NR",IF(U22="NR","NR",U22/(VLOOKUP(_xlfn.CONCAT(U$6,$C22),BurnRate!$G$3:$P$1102,10,FALSE)/90)))</f>
        <v>NR</v>
      </c>
      <c r="W22" s="169" t="str">
        <f>IF(SUM(VLOOKUP($C22,DATA_Depts[[#All],[COVID-19 Item List]:[SCL]],MATCH(W$6,DATA_Depts[[#Headers],[COVID-19 Item List]:[SCL]],0),FALSE)=0),IF(VLOOKUP(_xlfn.CONCAT(W$6,$C22),BurnRate!$G$3:$P$1102,10,FALSE)="NR","NR",0),VLOOKUP($C22,DATA_Depts[[#All],[COVID-19 Item List]:[SCL]],MATCH(W$6,DATA_Depts[[#Headers],[COVID-19 Item List]:[SCL]],0),FALSE))</f>
        <v>NR</v>
      </c>
      <c r="X22" s="167" t="str">
        <f>IF(VLOOKUP(_xlfn.CONCAT(W$6,$C22),BurnRate!$G$3:$P$1102,10,FALSE)="NR","NR",IF(W22="NR","NR",W22/(VLOOKUP(_xlfn.CONCAT(W$6,$C22),BurnRate!$G$3:$P$1102,10,FALSE)/90)))</f>
        <v>NR</v>
      </c>
      <c r="Y22" s="169" t="str">
        <f>IF(SUM(VLOOKUP($C22,DATA_Depts[[#All],[COVID-19 Item List]:[SCL]],MATCH(Y$6,DATA_Depts[[#Headers],[COVID-19 Item List]:[SCL]],0),FALSE)=0),IF(VLOOKUP(_xlfn.CONCAT(Y$6,$C22),BurnRate!$G$3:$P$1102,10,FALSE)="NR","NR",0),VLOOKUP($C22,DATA_Depts[[#All],[COVID-19 Item List]:[SCL]],MATCH(Y$6,DATA_Depts[[#Headers],[COVID-19 Item List]:[SCL]],0),FALSE))</f>
        <v>NR</v>
      </c>
      <c r="Z22" s="167" t="str">
        <f>IF(VLOOKUP(_xlfn.CONCAT(Y$6,$C22),BurnRate!$G$3:$P$1102,10,FALSE)="NR","NR",IF(Y22="NR","NR",Y22/(VLOOKUP(_xlfn.CONCAT(Y$6,$C22),BurnRate!$G$3:$P$1102,10,FALSE)/90)))</f>
        <v>NR</v>
      </c>
    </row>
    <row r="23" spans="1:37" s="43" customFormat="1" ht="11">
      <c r="A23" s="422"/>
      <c r="B23" s="46">
        <v>16</v>
      </c>
      <c r="C23" s="47" t="str">
        <f>_xlfn.SINGLE(VLOOKUP(B23,DisplayOrder[#All],2,FALSE))</f>
        <v>Disinfecting Solution for Sprayers</v>
      </c>
      <c r="D23" s="116" t="str">
        <f>_xlfn.SINGLE(VLOOKUP(B23,DisplayOrder!A:C,3,FALSE))</f>
        <v>gal</v>
      </c>
      <c r="E23" s="181">
        <f>IF(VLOOKUP(_xlfn.CONCAT(E$6,$C23),BurnRate!$G$3:$P$1102,10,FALSE)="NR",IF(SUMIF(FAS_Centralized!K:K,C23,FAS_Centralized!N:N)=0,"NR",SUMIF(FAS_Centralized!K:K,C23,FAS_Centralized!N:N)),SUMIF(FAS_Centralized!K:K,C23,FAS_Centralized!N:N))</f>
        <v>135</v>
      </c>
      <c r="F23" s="148">
        <f>IF(VLOOKUP(_xlfn.CONCAT(E$6,$C23),BurnRate!$G$3:$P$1102,10,FALSE)="NR","NR",IF(E23="NR","NR",E23/(VLOOKUP(_xlfn.CONCAT(E$6,$C23),BurnRate!$G$3:$P$1102,10,FALSE)/90)))</f>
        <v>11.25</v>
      </c>
      <c r="G23" s="169" t="str">
        <f>IF(SUM(VLOOKUP($C23,DATA_Depts[[#All],[COVID-19 Item List]:[SCL]],MATCH(G$6,DATA_Depts[[#Headers],[COVID-19 Item List]:[SCL]],0),FALSE)=0),IF(VLOOKUP(_xlfn.CONCAT(G$6,$C23),BurnRate!$G$3:$P$1102,10,FALSE)="NR","NR",0),VLOOKUP($C23,DATA_Depts[[#All],[COVID-19 Item List]:[SCL]],MATCH(G$6,DATA_Depts[[#Headers],[COVID-19 Item List]:[SCL]],0),FALSE))</f>
        <v>NR</v>
      </c>
      <c r="H23" s="167" t="str">
        <f>IF(VLOOKUP(_xlfn.CONCAT(G$6,$C23),BurnRate!$G$3:$P$1102,10,FALSE)="NR","NR",IF(G23="NR","NR",G23/(VLOOKUP(_xlfn.CONCAT(G$6,$C23),BurnRate!$G$3:$P$1102,10,FALSE)/90)))</f>
        <v>NR</v>
      </c>
      <c r="I23" s="169" t="str">
        <f>IF(SUM(VLOOKUP($C23,DATA_Depts[[#All],[COVID-19 Item List]:[SCL]],MATCH(I$6,DATA_Depts[[#Headers],[COVID-19 Item List]:[SCL]],0),FALSE)=0),IF(VLOOKUP(_xlfn.CONCAT(I$6,$C23),BurnRate!$G$3:$P$1102,10,FALSE)="NR","NR",0),VLOOKUP($C23,DATA_Depts[[#All],[COVID-19 Item List]:[SCL]],MATCH(I$6,DATA_Depts[[#Headers],[COVID-19 Item List]:[SCL]],0),FALSE))</f>
        <v>NR</v>
      </c>
      <c r="J23" s="167" t="str">
        <f>IF(VLOOKUP(_xlfn.CONCAT(I$6,$C23),BurnRate!$G$3:$P$1102,10,FALSE)="NR","NR",IF(I23="NR","NR",I23/(VLOOKUP(_xlfn.CONCAT(I$6,$C23),BurnRate!$G$3:$P$1102,10,FALSE)/90)))</f>
        <v>NR</v>
      </c>
      <c r="K23" s="169" t="str">
        <f>IF(SUM(VLOOKUP($C23,DATA_Depts[[#All],[COVID-19 Item List]:[SCL]],MATCH(K$6,DATA_Depts[[#Headers],[COVID-19 Item List]:[SCL]],0),FALSE)=0),IF(VLOOKUP(_xlfn.CONCAT(K$6,$C23),BurnRate!$G$3:$P$1102,10,FALSE)="NR","NR",0),VLOOKUP($C23,DATA_Depts[[#All],[COVID-19 Item List]:[SCL]],MATCH(K$6,DATA_Depts[[#Headers],[COVID-19 Item List]:[SCL]],0),FALSE))</f>
        <v>NR</v>
      </c>
      <c r="L23" s="167" t="str">
        <f>IF(VLOOKUP(_xlfn.CONCAT(K$6,$C23),BurnRate!$G$3:$P$1102,10,FALSE)="NR","NR",IF(K23="NR","NR",K23/(VLOOKUP(_xlfn.CONCAT(K$6,$C23),BurnRate!$G$3:$P$1102,10,FALSE)/90)))</f>
        <v>NR</v>
      </c>
      <c r="M23" s="169" t="str">
        <f>IF(SUM(VLOOKUP($C23,DATA_Depts[[#All],[COVID-19 Item List]:[SCL]],MATCH(M$6,DATA_Depts[[#Headers],[COVID-19 Item List]:[SCL]],0),FALSE)=0),IF(VLOOKUP(_xlfn.CONCAT(M$6,$C23),BurnRate!$G$3:$P$1102,10,FALSE)="NR","NR",0),VLOOKUP($C23,DATA_Depts[[#All],[COVID-19 Item List]:[SCL]],MATCH(M$6,DATA_Depts[[#Headers],[COVID-19 Item List]:[SCL]],0),FALSE))</f>
        <v>NR</v>
      </c>
      <c r="N23" s="167" t="str">
        <f>IF(VLOOKUP(_xlfn.CONCAT(M$6,$C23),BurnRate!$G$3:$P$1102,10,FALSE)="NR","NR",IF(M23="NR","NR",M23/(VLOOKUP(_xlfn.CONCAT(M$6,$C23),BurnRate!$G$3:$P$1102,10,FALSE)/90)))</f>
        <v>NR</v>
      </c>
      <c r="O23" s="169" t="str">
        <f>IF(SUM(VLOOKUP($C23,DATA_Depts[[#All],[COVID-19 Item List]:[SCL]],MATCH(O$6,DATA_Depts[[#Headers],[COVID-19 Item List]:[SCL]],0),FALSE)=0),IF(VLOOKUP(_xlfn.CONCAT(O$6,$C23),BurnRate!$G$3:$P$1102,10,FALSE)="NR","NR",0),VLOOKUP($C23,DATA_Depts[[#All],[COVID-19 Item List]:[SCL]],MATCH(O$6,DATA_Depts[[#Headers],[COVID-19 Item List]:[SCL]],0),FALSE))</f>
        <v>NR</v>
      </c>
      <c r="P23" s="167" t="str">
        <f>IF(VLOOKUP(_xlfn.CONCAT(O$6,$C23),BurnRate!$G$3:$P$1102,10,FALSE)="NR","NR",IF(O23="NR","NR",O23/(VLOOKUP(_xlfn.CONCAT(O$6,$C23),BurnRate!$G$3:$P$1102,10,FALSE)/90)))</f>
        <v>NR</v>
      </c>
      <c r="Q23" s="169" t="str">
        <f>IF(SUM(VLOOKUP($C23,DATA_Depts[[#All],[COVID-19 Item List]:[SCL]],MATCH(Q$6,DATA_Depts[[#Headers],[COVID-19 Item List]:[SCL]],0),FALSE)=0),IF(VLOOKUP(_xlfn.CONCAT(Q$6,$C23),BurnRate!$G$3:$P$1102,10,FALSE)="NR","NR",0),VLOOKUP($C23,DATA_Depts[[#All],[COVID-19 Item List]:[SCL]],MATCH(Q$6,DATA_Depts[[#Headers],[COVID-19 Item List]:[SCL]],0),FALSE))</f>
        <v>NR</v>
      </c>
      <c r="R23" s="167" t="str">
        <f>IF(VLOOKUP(_xlfn.CONCAT(Q$6,$C23),BurnRate!$G$3:$P$1102,10,FALSE)="NR","NR",IF(Q23="NR","NR",Q23/(VLOOKUP(_xlfn.CONCAT(Q$6,$C23),BurnRate!$G$3:$P$1102,10,FALSE)/90)))</f>
        <v>NR</v>
      </c>
      <c r="S23" s="169" t="str">
        <f>IF(SUM(VLOOKUP($C23,DATA_Depts[[#All],[COVID-19 Item List]:[SCL]],MATCH(S$6,DATA_Depts[[#Headers],[COVID-19 Item List]:[SCL]],0),FALSE)=0),IF(VLOOKUP(_xlfn.CONCAT(S$6,$C23),BurnRate!$G$3:$P$1102,10,FALSE)="NR","NR",0),VLOOKUP($C23,DATA_Depts[[#All],[COVID-19 Item List]:[SCL]],MATCH(S$6,DATA_Depts[[#Headers],[COVID-19 Item List]:[SCL]],0),FALSE))</f>
        <v>NR</v>
      </c>
      <c r="T23" s="167" t="str">
        <f>IF(VLOOKUP(_xlfn.CONCAT(S$6,$C23),BurnRate!$G$3:$P$1102,10,FALSE)="NR","NR",IF(S23="NR","NR",S23/(VLOOKUP(_xlfn.CONCAT(S$6,$C23),BurnRate!$G$3:$P$1102,10,FALSE)/90)))</f>
        <v>NR</v>
      </c>
      <c r="U23" s="169" t="str">
        <f>IF(SUM(VLOOKUP($C23,DATA_Depts[[#All],[COVID-19 Item List]:[SCL]],MATCH(U$6,DATA_Depts[[#Headers],[COVID-19 Item List]:[SCL]],0),FALSE)=0),IF(VLOOKUP(_xlfn.CONCAT(U$6,$C23),BurnRate!$G$3:$P$1102,10,FALSE)="NR","NR",0),VLOOKUP($C23,DATA_Depts[[#All],[COVID-19 Item List]:[SCL]],MATCH(U$6,DATA_Depts[[#Headers],[COVID-19 Item List]:[SCL]],0),FALSE))</f>
        <v>NR</v>
      </c>
      <c r="V23" s="167" t="str">
        <f>IF(VLOOKUP(_xlfn.CONCAT(U$6,$C23),BurnRate!$G$3:$P$1102,10,FALSE)="NR","NR",IF(U23="NR","NR",U23/(VLOOKUP(_xlfn.CONCAT(U$6,$C23),BurnRate!$G$3:$P$1102,10,FALSE)/90)))</f>
        <v>NR</v>
      </c>
      <c r="W23" s="169" t="str">
        <f>IF(SUM(VLOOKUP($C23,DATA_Depts[[#All],[COVID-19 Item List]:[SCL]],MATCH(W$6,DATA_Depts[[#Headers],[COVID-19 Item List]:[SCL]],0),FALSE)=0),IF(VLOOKUP(_xlfn.CONCAT(W$6,$C23),BurnRate!$G$3:$P$1102,10,FALSE)="NR","NR",0),VLOOKUP($C23,DATA_Depts[[#All],[COVID-19 Item List]:[SCL]],MATCH(W$6,DATA_Depts[[#Headers],[COVID-19 Item List]:[SCL]],0),FALSE))</f>
        <v>NR</v>
      </c>
      <c r="X23" s="167" t="str">
        <f>IF(VLOOKUP(_xlfn.CONCAT(W$6,$C23),BurnRate!$G$3:$P$1102,10,FALSE)="NR","NR",IF(W23="NR","NR",W23/(VLOOKUP(_xlfn.CONCAT(W$6,$C23),BurnRate!$G$3:$P$1102,10,FALSE)/90)))</f>
        <v>NR</v>
      </c>
      <c r="Y23" s="169" t="str">
        <f>IF(SUM(VLOOKUP($C23,DATA_Depts[[#All],[COVID-19 Item List]:[SCL]],MATCH(Y$6,DATA_Depts[[#Headers],[COVID-19 Item List]:[SCL]],0),FALSE)=0),IF(VLOOKUP(_xlfn.CONCAT(Y$6,$C23),BurnRate!$G$3:$P$1102,10,FALSE)="NR","NR",0),VLOOKUP($C23,DATA_Depts[[#All],[COVID-19 Item List]:[SCL]],MATCH(Y$6,DATA_Depts[[#Headers],[COVID-19 Item List]:[SCL]],0),FALSE))</f>
        <v>NR</v>
      </c>
      <c r="Z23" s="167" t="str">
        <f>IF(VLOOKUP(_xlfn.CONCAT(Y$6,$C23),BurnRate!$G$3:$P$1102,10,FALSE)="NR","NR",IF(Y23="NR","NR",Y23/(VLOOKUP(_xlfn.CONCAT(Y$6,$C23),BurnRate!$G$3:$P$1102,10,FALSE)/90)))</f>
        <v>NR</v>
      </c>
    </row>
    <row r="24" spans="1:37" s="43" customFormat="1" ht="11">
      <c r="A24" s="420" t="s">
        <v>38</v>
      </c>
      <c r="B24" s="46">
        <v>17</v>
      </c>
      <c r="C24" s="47" t="str">
        <f>_xlfn.SINGLE(VLOOKUP(B24,DisplayOrder[#All],2,FALSE))</f>
        <v>Thermometers</v>
      </c>
      <c r="D24" s="116" t="str">
        <f>_xlfn.SINGLE(VLOOKUP(B24,DisplayOrder!A:C,3,FALSE))</f>
        <v>each</v>
      </c>
      <c r="E24" s="181">
        <f>IF(VLOOKUP(_xlfn.CONCAT(E$6,$C24),BurnRate!$G$3:$P$1102,10,FALSE)="NR",IF(SUMIF(FAS_Centralized!K:K,C24,FAS_Centralized!N:N)=0,"NR",SUMIF(FAS_Centralized!K:K,C24,FAS_Centralized!N:N)),SUMIF(FAS_Centralized!K:K,C24,FAS_Centralized!N:N))</f>
        <v>611</v>
      </c>
      <c r="F24" s="148">
        <f>IF(VLOOKUP(_xlfn.CONCAT(E$6,$C24),BurnRate!$G$3:$P$1102,10,FALSE)="NR","NR",IF(E24="NR","NR",E24/(VLOOKUP(_xlfn.CONCAT(E$6,$C24),BurnRate!$G$3:$P$1102,10,FALSE)/90)))</f>
        <v>183.29999999999998</v>
      </c>
      <c r="G24" s="169">
        <f>IF(SUM(VLOOKUP($C24,DATA_Depts[[#All],[COVID-19 Item List]:[SCL]],MATCH(G$6,DATA_Depts[[#Headers],[COVID-19 Item List]:[SCL]],0),FALSE)=0),IF(VLOOKUP(_xlfn.CONCAT(G$6,$C24),BurnRate!$G$3:$P$1102,10,FALSE)="NR","NR",0),VLOOKUP($C24,DATA_Depts[[#All],[COVID-19 Item List]:[SCL]],MATCH(G$6,DATA_Depts[[#Headers],[COVID-19 Item List]:[SCL]],0),FALSE))</f>
        <v>66</v>
      </c>
      <c r="H24" s="167" t="str">
        <f>IF(VLOOKUP(_xlfn.CONCAT(G$6,$C24),BurnRate!$G$3:$P$1102,10,FALSE)="NR","NR",IF(G24="NR","NR",G24/(VLOOKUP(_xlfn.CONCAT(G$6,$C24),BurnRate!$G$3:$P$1102,10,FALSE)/90)))</f>
        <v>NR</v>
      </c>
      <c r="I24" s="169" t="str">
        <f>IF(SUM(VLOOKUP($C24,DATA_Depts[[#All],[COVID-19 Item List]:[SCL]],MATCH(I$6,DATA_Depts[[#Headers],[COVID-19 Item List]:[SCL]],0),FALSE)=0),IF(VLOOKUP(_xlfn.CONCAT(I$6,$C24),BurnRate!$G$3:$P$1102,10,FALSE)="NR","NR",0),VLOOKUP($C24,DATA_Depts[[#All],[COVID-19 Item List]:[SCL]],MATCH(I$6,DATA_Depts[[#Headers],[COVID-19 Item List]:[SCL]],0),FALSE))</f>
        <v>NR</v>
      </c>
      <c r="J24" s="167" t="str">
        <f>IF(VLOOKUP(_xlfn.CONCAT(I$6,$C24),BurnRate!$G$3:$P$1102,10,FALSE)="NR","NR",IF(I24="NR","NR",I24/(VLOOKUP(_xlfn.CONCAT(I$6,$C24),BurnRate!$G$3:$P$1102,10,FALSE)/90)))</f>
        <v>NR</v>
      </c>
      <c r="K24" s="169">
        <f>IF(SUM(VLOOKUP($C24,DATA_Depts[[#All],[COVID-19 Item List]:[SCL]],MATCH(K$6,DATA_Depts[[#Headers],[COVID-19 Item List]:[SCL]],0),FALSE)=0),IF(VLOOKUP(_xlfn.CONCAT(K$6,$C24),BurnRate!$G$3:$P$1102,10,FALSE)="NR","NR",0),VLOOKUP($C24,DATA_Depts[[#All],[COVID-19 Item List]:[SCL]],MATCH(K$6,DATA_Depts[[#Headers],[COVID-19 Item List]:[SCL]],0),FALSE))</f>
        <v>20</v>
      </c>
      <c r="L24" s="167" t="str">
        <f>IF(VLOOKUP(_xlfn.CONCAT(K$6,$C24),BurnRate!$G$3:$P$1102,10,FALSE)="NR","NR",IF(K24="NR","NR",K24/(VLOOKUP(_xlfn.CONCAT(K$6,$C24),BurnRate!$G$3:$P$1102,10,FALSE)/90)))</f>
        <v>NR</v>
      </c>
      <c r="M24" s="169" t="str">
        <f>IF(SUM(VLOOKUP($C24,DATA_Depts[[#All],[COVID-19 Item List]:[SCL]],MATCH(M$6,DATA_Depts[[#Headers],[COVID-19 Item List]:[SCL]],0),FALSE)=0),IF(VLOOKUP(_xlfn.CONCAT(M$6,$C24),BurnRate!$G$3:$P$1102,10,FALSE)="NR","NR",0),VLOOKUP($C24,DATA_Depts[[#All],[COVID-19 Item List]:[SCL]],MATCH(M$6,DATA_Depts[[#Headers],[COVID-19 Item List]:[SCL]],0),FALSE))</f>
        <v>NR</v>
      </c>
      <c r="N24" s="167" t="str">
        <f>IF(VLOOKUP(_xlfn.CONCAT(M$6,$C24),BurnRate!$G$3:$P$1102,10,FALSE)="NR","NR",IF(M24="NR","NR",M24/(VLOOKUP(_xlfn.CONCAT(M$6,$C24),BurnRate!$G$3:$P$1102,10,FALSE)/90)))</f>
        <v>NR</v>
      </c>
      <c r="O24" s="169">
        <f>IF(SUM(VLOOKUP($C24,DATA_Depts[[#All],[COVID-19 Item List]:[SCL]],MATCH(O$6,DATA_Depts[[#Headers],[COVID-19 Item List]:[SCL]],0),FALSE)=0),IF(VLOOKUP(_xlfn.CONCAT(O$6,$C24),BurnRate!$G$3:$P$1102,10,FALSE)="NR","NR",0),VLOOKUP($C24,DATA_Depts[[#All],[COVID-19 Item List]:[SCL]],MATCH(O$6,DATA_Depts[[#Headers],[COVID-19 Item List]:[SCL]],0),FALSE))</f>
        <v>162</v>
      </c>
      <c r="P24" s="167" t="str">
        <f>IF(VLOOKUP(_xlfn.CONCAT(O$6,$C24),BurnRate!$G$3:$P$1102,10,FALSE)="NR","NR",IF(O24="NR","NR",O24/(VLOOKUP(_xlfn.CONCAT(O$6,$C24),BurnRate!$G$3:$P$1102,10,FALSE)/90)))</f>
        <v>NR</v>
      </c>
      <c r="Q24" s="169" t="str">
        <f>IF(SUM(VLOOKUP($C24,DATA_Depts[[#All],[COVID-19 Item List]:[SCL]],MATCH(Q$6,DATA_Depts[[#Headers],[COVID-19 Item List]:[SCL]],0),FALSE)=0),IF(VLOOKUP(_xlfn.CONCAT(Q$6,$C24),BurnRate!$G$3:$P$1102,10,FALSE)="NR","NR",0),VLOOKUP($C24,DATA_Depts[[#All],[COVID-19 Item List]:[SCL]],MATCH(Q$6,DATA_Depts[[#Headers],[COVID-19 Item List]:[SCL]],0),FALSE))</f>
        <v>NR</v>
      </c>
      <c r="R24" s="167" t="str">
        <f>IF(VLOOKUP(_xlfn.CONCAT(Q$6,$C24),BurnRate!$G$3:$P$1102,10,FALSE)="NR","NR",IF(Q24="NR","NR",Q24/(VLOOKUP(_xlfn.CONCAT(Q$6,$C24),BurnRate!$G$3:$P$1102,10,FALSE)/90)))</f>
        <v>NR</v>
      </c>
      <c r="S24" s="169">
        <f>IF(SUM(VLOOKUP($C24,DATA_Depts[[#All],[COVID-19 Item List]:[SCL]],MATCH(S$6,DATA_Depts[[#Headers],[COVID-19 Item List]:[SCL]],0),FALSE)=0),IF(VLOOKUP(_xlfn.CONCAT(S$6,$C24),BurnRate!$G$3:$P$1102,10,FALSE)="NR","NR",0),VLOOKUP($C24,DATA_Depts[[#All],[COVID-19 Item List]:[SCL]],MATCH(S$6,DATA_Depts[[#Headers],[COVID-19 Item List]:[SCL]],0),FALSE))</f>
        <v>90</v>
      </c>
      <c r="T24" s="167" t="str">
        <f>IF(VLOOKUP(_xlfn.CONCAT(S$6,$C24),BurnRate!$G$3:$P$1102,10,FALSE)="NR","NR",IF(S24="NR","NR",S24/(VLOOKUP(_xlfn.CONCAT(S$6,$C24),BurnRate!$G$3:$P$1102,10,FALSE)/90)))</f>
        <v>NR</v>
      </c>
      <c r="U24" s="169">
        <f>IF(SUM(VLOOKUP($C24,DATA_Depts[[#All],[COVID-19 Item List]:[SCL]],MATCH(U$6,DATA_Depts[[#Headers],[COVID-19 Item List]:[SCL]],0),FALSE)=0),IF(VLOOKUP(_xlfn.CONCAT(U$6,$C24),BurnRate!$G$3:$P$1102,10,FALSE)="NR","NR",0),VLOOKUP($C24,DATA_Depts[[#All],[COVID-19 Item List]:[SCL]],MATCH(U$6,DATA_Depts[[#Headers],[COVID-19 Item List]:[SCL]],0),FALSE))</f>
        <v>40</v>
      </c>
      <c r="V24" s="167" t="str">
        <f>IF(VLOOKUP(_xlfn.CONCAT(U$6,$C24),BurnRate!$G$3:$P$1102,10,FALSE)="NR","NR",IF(U24="NR","NR",U24/(VLOOKUP(_xlfn.CONCAT(U$6,$C24),BurnRate!$G$3:$P$1102,10,FALSE)/90)))</f>
        <v>NR</v>
      </c>
      <c r="W24" s="169" t="str">
        <f>IF(SUM(VLOOKUP($C24,DATA_Depts[[#All],[COVID-19 Item List]:[SCL]],MATCH(W$6,DATA_Depts[[#Headers],[COVID-19 Item List]:[SCL]],0),FALSE)=0),IF(VLOOKUP(_xlfn.CONCAT(W$6,$C24),BurnRate!$G$3:$P$1102,10,FALSE)="NR","NR",0),VLOOKUP($C24,DATA_Depts[[#All],[COVID-19 Item List]:[SCL]],MATCH(W$6,DATA_Depts[[#Headers],[COVID-19 Item List]:[SCL]],0),FALSE))</f>
        <v>NR</v>
      </c>
      <c r="X24" s="167" t="str">
        <f>IF(VLOOKUP(_xlfn.CONCAT(W$6,$C24),BurnRate!$G$3:$P$1102,10,FALSE)="NR","NR",IF(W24="NR","NR",W24/(VLOOKUP(_xlfn.CONCAT(W$6,$C24),BurnRate!$G$3:$P$1102,10,FALSE)/90)))</f>
        <v>NR</v>
      </c>
      <c r="Y24" s="169">
        <f>IF(SUM(VLOOKUP($C24,DATA_Depts[[#All],[COVID-19 Item List]:[SCL]],MATCH(Y$6,DATA_Depts[[#Headers],[COVID-19 Item List]:[SCL]],0),FALSE)=0),IF(VLOOKUP(_xlfn.CONCAT(Y$6,$C24),BurnRate!$G$3:$P$1102,10,FALSE)="NR","NR",0),VLOOKUP($C24,DATA_Depts[[#All],[COVID-19 Item List]:[SCL]],MATCH(Y$6,DATA_Depts[[#Headers],[COVID-19 Item List]:[SCL]],0),FALSE))</f>
        <v>242</v>
      </c>
      <c r="Z24" s="167" t="str">
        <f>IF(VLOOKUP(_xlfn.CONCAT(Y$6,$C24),BurnRate!$G$3:$P$1102,10,FALSE)="NR","NR",IF(Y24="NR","NR",Y24/(VLOOKUP(_xlfn.CONCAT(Y$6,$C24),BurnRate!$G$3:$P$1102,10,FALSE)/90)))</f>
        <v>NR</v>
      </c>
    </row>
    <row r="25" spans="1:37" s="43" customFormat="1" ht="11">
      <c r="A25" s="421"/>
      <c r="B25" s="46">
        <v>18</v>
      </c>
      <c r="C25" s="47" t="str">
        <f>_xlfn.SINGLE(VLOOKUP(B25,DisplayOrder[#All],2,FALSE))</f>
        <v>Purell Stands/Dispensers</v>
      </c>
      <c r="D25" s="116" t="str">
        <f>_xlfn.SINGLE(VLOOKUP(B25,DisplayOrder!A:C,3,FALSE))</f>
        <v>each</v>
      </c>
      <c r="E25" s="181" t="str">
        <f>IF(VLOOKUP(_xlfn.CONCAT(E$6,$C25),BurnRate!$G$3:$P$1102,10,FALSE)="NR",IF(SUMIF(FAS_Centralized!K:K,C25,FAS_Centralized!N:N)=0,"NR",SUMIF(FAS_Centralized!K:K,C25,FAS_Centralized!N:N)),SUMIF(FAS_Centralized!K:K,C25,FAS_Centralized!N:N))</f>
        <v>NR</v>
      </c>
      <c r="F25" s="148" t="str">
        <f>IF(VLOOKUP(_xlfn.CONCAT(E$6,$C25),BurnRate!$G$3:$P$1102,10,FALSE)="NR","NR",IF(E25="NR","NR",E25/(VLOOKUP(_xlfn.CONCAT(E$6,$C25),BurnRate!$G$3:$P$1102,10,FALSE)/90)))</f>
        <v>NR</v>
      </c>
      <c r="G25" s="169" t="str">
        <f>IF(SUM(VLOOKUP($C25,DATA_Depts[[#All],[COVID-19 Item List]:[SCL]],MATCH(G$6,DATA_Depts[[#Headers],[COVID-19 Item List]:[SCL]],0),FALSE)=0),IF(VLOOKUP(_xlfn.CONCAT(G$6,$C25),BurnRate!$G$3:$P$1102,10,FALSE)="NR","NR",0),VLOOKUP($C25,DATA_Depts[[#All],[COVID-19 Item List]:[SCL]],MATCH(G$6,DATA_Depts[[#Headers],[COVID-19 Item List]:[SCL]],0),FALSE))</f>
        <v>NR</v>
      </c>
      <c r="H25" s="167" t="str">
        <f>IF(VLOOKUP(_xlfn.CONCAT(G$6,$C25),BurnRate!$G$3:$P$1102,10,FALSE)="NR","NR",IF(G25="NR","NR",G25/(VLOOKUP(_xlfn.CONCAT(G$6,$C25),BurnRate!$G$3:$P$1102,10,FALSE)/90)))</f>
        <v>NR</v>
      </c>
      <c r="I25" s="169" t="str">
        <f>IF(SUM(VLOOKUP($C25,DATA_Depts[[#All],[COVID-19 Item List]:[SCL]],MATCH(I$6,DATA_Depts[[#Headers],[COVID-19 Item List]:[SCL]],0),FALSE)=0),IF(VLOOKUP(_xlfn.CONCAT(I$6,$C25),BurnRate!$G$3:$P$1102,10,FALSE)="NR","NR",0),VLOOKUP($C25,DATA_Depts[[#All],[COVID-19 Item List]:[SCL]],MATCH(I$6,DATA_Depts[[#Headers],[COVID-19 Item List]:[SCL]],0),FALSE))</f>
        <v>NR</v>
      </c>
      <c r="J25" s="167" t="str">
        <f>IF(VLOOKUP(_xlfn.CONCAT(I$6,$C25),BurnRate!$G$3:$P$1102,10,FALSE)="NR","NR",IF(I25="NR","NR",I25/(VLOOKUP(_xlfn.CONCAT(I$6,$C25),BurnRate!$G$3:$P$1102,10,FALSE)/90)))</f>
        <v>NR</v>
      </c>
      <c r="K25" s="169" t="str">
        <f>IF(SUM(VLOOKUP($C25,DATA_Depts[[#All],[COVID-19 Item List]:[SCL]],MATCH(K$6,DATA_Depts[[#Headers],[COVID-19 Item List]:[SCL]],0),FALSE)=0),IF(VLOOKUP(_xlfn.CONCAT(K$6,$C25),BurnRate!$G$3:$P$1102,10,FALSE)="NR","NR",0),VLOOKUP($C25,DATA_Depts[[#All],[COVID-19 Item List]:[SCL]],MATCH(K$6,DATA_Depts[[#Headers],[COVID-19 Item List]:[SCL]],0),FALSE))</f>
        <v>NR</v>
      </c>
      <c r="L25" s="167" t="str">
        <f>IF(VLOOKUP(_xlfn.CONCAT(K$6,$C25),BurnRate!$G$3:$P$1102,10,FALSE)="NR","NR",IF(K25="NR","NR",K25/(VLOOKUP(_xlfn.CONCAT(K$6,$C25),BurnRate!$G$3:$P$1102,10,FALSE)/90)))</f>
        <v>NR</v>
      </c>
      <c r="M25" s="169" t="str">
        <f>IF(SUM(VLOOKUP($C25,DATA_Depts[[#All],[COVID-19 Item List]:[SCL]],MATCH(M$6,DATA_Depts[[#Headers],[COVID-19 Item List]:[SCL]],0),FALSE)=0),IF(VLOOKUP(_xlfn.CONCAT(M$6,$C25),BurnRate!$G$3:$P$1102,10,FALSE)="NR","NR",0),VLOOKUP($C25,DATA_Depts[[#All],[COVID-19 Item List]:[SCL]],MATCH(M$6,DATA_Depts[[#Headers],[COVID-19 Item List]:[SCL]],0),FALSE))</f>
        <v>NR</v>
      </c>
      <c r="N25" s="167" t="str">
        <f>IF(VLOOKUP(_xlfn.CONCAT(M$6,$C25),BurnRate!$G$3:$P$1102,10,FALSE)="NR","NR",IF(M25="NR","NR",M25/(VLOOKUP(_xlfn.CONCAT(M$6,$C25),BurnRate!$G$3:$P$1102,10,FALSE)/90)))</f>
        <v>NR</v>
      </c>
      <c r="O25" s="169" t="str">
        <f>IF(SUM(VLOOKUP($C25,DATA_Depts[[#All],[COVID-19 Item List]:[SCL]],MATCH(O$6,DATA_Depts[[#Headers],[COVID-19 Item List]:[SCL]],0),FALSE)=0),IF(VLOOKUP(_xlfn.CONCAT(O$6,$C25),BurnRate!$G$3:$P$1102,10,FALSE)="NR","NR",0),VLOOKUP($C25,DATA_Depts[[#All],[COVID-19 Item List]:[SCL]],MATCH(O$6,DATA_Depts[[#Headers],[COVID-19 Item List]:[SCL]],0),FALSE))</f>
        <v>NR</v>
      </c>
      <c r="P25" s="167" t="str">
        <f>IF(VLOOKUP(_xlfn.CONCAT(O$6,$C25),BurnRate!$G$3:$P$1102,10,FALSE)="NR","NR",IF(O25="NR","NR",O25/(VLOOKUP(_xlfn.CONCAT(O$6,$C25),BurnRate!$G$3:$P$1102,10,FALSE)/90)))</f>
        <v>NR</v>
      </c>
      <c r="Q25" s="169" t="str">
        <f>IF(SUM(VLOOKUP($C25,DATA_Depts[[#All],[COVID-19 Item List]:[SCL]],MATCH(Q$6,DATA_Depts[[#Headers],[COVID-19 Item List]:[SCL]],0),FALSE)=0),IF(VLOOKUP(_xlfn.CONCAT(Q$6,$C25),BurnRate!$G$3:$P$1102,10,FALSE)="NR","NR",0),VLOOKUP($C25,DATA_Depts[[#All],[COVID-19 Item List]:[SCL]],MATCH(Q$6,DATA_Depts[[#Headers],[COVID-19 Item List]:[SCL]],0),FALSE))</f>
        <v>NR</v>
      </c>
      <c r="R25" s="167" t="str">
        <f>IF(VLOOKUP(_xlfn.CONCAT(Q$6,$C25),BurnRate!$G$3:$P$1102,10,FALSE)="NR","NR",IF(Q25="NR","NR",Q25/(VLOOKUP(_xlfn.CONCAT(Q$6,$C25),BurnRate!$G$3:$P$1102,10,FALSE)/90)))</f>
        <v>NR</v>
      </c>
      <c r="S25" s="169" t="str">
        <f>IF(SUM(VLOOKUP($C25,DATA_Depts[[#All],[COVID-19 Item List]:[SCL]],MATCH(S$6,DATA_Depts[[#Headers],[COVID-19 Item List]:[SCL]],0),FALSE)=0),IF(VLOOKUP(_xlfn.CONCAT(S$6,$C25),BurnRate!$G$3:$P$1102,10,FALSE)="NR","NR",0),VLOOKUP($C25,DATA_Depts[[#All],[COVID-19 Item List]:[SCL]],MATCH(S$6,DATA_Depts[[#Headers],[COVID-19 Item List]:[SCL]],0),FALSE))</f>
        <v>NR</v>
      </c>
      <c r="T25" s="167" t="str">
        <f>IF(VLOOKUP(_xlfn.CONCAT(S$6,$C25),BurnRate!$G$3:$P$1102,10,FALSE)="NR","NR",IF(S25="NR","NR",S25/(VLOOKUP(_xlfn.CONCAT(S$6,$C25),BurnRate!$G$3:$P$1102,10,FALSE)/90)))</f>
        <v>NR</v>
      </c>
      <c r="U25" s="169" t="str">
        <f>IF(SUM(VLOOKUP($C25,DATA_Depts[[#All],[COVID-19 Item List]:[SCL]],MATCH(U$6,DATA_Depts[[#Headers],[COVID-19 Item List]:[SCL]],0),FALSE)=0),IF(VLOOKUP(_xlfn.CONCAT(U$6,$C25),BurnRate!$G$3:$P$1102,10,FALSE)="NR","NR",0),VLOOKUP($C25,DATA_Depts[[#All],[COVID-19 Item List]:[SCL]],MATCH(U$6,DATA_Depts[[#Headers],[COVID-19 Item List]:[SCL]],0),FALSE))</f>
        <v>NR</v>
      </c>
      <c r="V25" s="167" t="str">
        <f>IF(VLOOKUP(_xlfn.CONCAT(U$6,$C25),BurnRate!$G$3:$P$1102,10,FALSE)="NR","NR",IF(U25="NR","NR",U25/(VLOOKUP(_xlfn.CONCAT(U$6,$C25),BurnRate!$G$3:$P$1102,10,FALSE)/90)))</f>
        <v>NR</v>
      </c>
      <c r="W25" s="169" t="str">
        <f>IF(SUM(VLOOKUP($C25,DATA_Depts[[#All],[COVID-19 Item List]:[SCL]],MATCH(W$6,DATA_Depts[[#Headers],[COVID-19 Item List]:[SCL]],0),FALSE)=0),IF(VLOOKUP(_xlfn.CONCAT(W$6,$C25),BurnRate!$G$3:$P$1102,10,FALSE)="NR","NR",0),VLOOKUP($C25,DATA_Depts[[#All],[COVID-19 Item List]:[SCL]],MATCH(W$6,DATA_Depts[[#Headers],[COVID-19 Item List]:[SCL]],0),FALSE))</f>
        <v>NR</v>
      </c>
      <c r="X25" s="167" t="str">
        <f>IF(VLOOKUP(_xlfn.CONCAT(W$6,$C25),BurnRate!$G$3:$P$1102,10,FALSE)="NR","NR",IF(W25="NR","NR",W25/(VLOOKUP(_xlfn.CONCAT(W$6,$C25),BurnRate!$G$3:$P$1102,10,FALSE)/90)))</f>
        <v>NR</v>
      </c>
      <c r="Y25" s="169" t="str">
        <f>IF(SUM(VLOOKUP($C25,DATA_Depts[[#All],[COVID-19 Item List]:[SCL]],MATCH(Y$6,DATA_Depts[[#Headers],[COVID-19 Item List]:[SCL]],0),FALSE)=0),IF(VLOOKUP(_xlfn.CONCAT(Y$6,$C25),BurnRate!$G$3:$P$1102,10,FALSE)="NR","NR",0),VLOOKUP($C25,DATA_Depts[[#All],[COVID-19 Item List]:[SCL]],MATCH(Y$6,DATA_Depts[[#Headers],[COVID-19 Item List]:[SCL]],0),FALSE))</f>
        <v>NR</v>
      </c>
      <c r="Z25" s="167" t="str">
        <f>IF(VLOOKUP(_xlfn.CONCAT(Y$6,$C25),BurnRate!$G$3:$P$1102,10,FALSE)="NR","NR",IF(Y25="NR","NR",Y25/(VLOOKUP(_xlfn.CONCAT(Y$6,$C25),BurnRate!$G$3:$P$1102,10,FALSE)/90)))</f>
        <v>NR</v>
      </c>
    </row>
    <row r="26" spans="1:37" s="43" customFormat="1" ht="11">
      <c r="A26" s="421"/>
      <c r="B26" s="46">
        <v>19</v>
      </c>
      <c r="C26" s="47" t="str">
        <f>_xlfn.SINGLE(VLOOKUP(B26,DisplayOrder[#All],2,FALSE))</f>
        <v>Mask Holders for Dispensers</v>
      </c>
      <c r="D26" s="116" t="str">
        <f>_xlfn.SINGLE(VLOOKUP(B26,DisplayOrder!A:C,3,FALSE))</f>
        <v>each</v>
      </c>
      <c r="E26" s="181" t="str">
        <f>IF(VLOOKUP(_xlfn.CONCAT(E$6,$C26),BurnRate!$G$3:$P$1102,10,FALSE)="NR",IF(SUMIF(FAS_Centralized!K:K,C26,FAS_Centralized!N:N)=0,"NR",SUMIF(FAS_Centralized!K:K,C26,FAS_Centralized!N:N)),SUMIF(FAS_Centralized!K:K,C26,FAS_Centralized!N:N))</f>
        <v>NR</v>
      </c>
      <c r="F26" s="148" t="str">
        <f>IF(VLOOKUP(_xlfn.CONCAT(E$6,$C26),BurnRate!$G$3:$P$1102,10,FALSE)="NR","NR",IF(E26="NR","NR",E26/(VLOOKUP(_xlfn.CONCAT(E$6,$C26),BurnRate!$G$3:$P$1102,10,FALSE)/90)))</f>
        <v>NR</v>
      </c>
      <c r="G26" s="169" t="str">
        <f>IF(SUM(VLOOKUP($C26,DATA_Depts[[#All],[COVID-19 Item List]:[SCL]],MATCH(G$6,DATA_Depts[[#Headers],[COVID-19 Item List]:[SCL]],0),FALSE)=0),IF(VLOOKUP(_xlfn.CONCAT(G$6,$C26),BurnRate!$G$3:$P$1102,10,FALSE)="NR","NR",0),VLOOKUP($C26,DATA_Depts[[#All],[COVID-19 Item List]:[SCL]],MATCH(G$6,DATA_Depts[[#Headers],[COVID-19 Item List]:[SCL]],0),FALSE))</f>
        <v>NR</v>
      </c>
      <c r="H26" s="167" t="str">
        <f>IF(VLOOKUP(_xlfn.CONCAT(G$6,$C26),BurnRate!$G$3:$P$1102,10,FALSE)="NR","NR",IF(G26="NR","NR",G26/(VLOOKUP(_xlfn.CONCAT(G$6,$C26),BurnRate!$G$3:$P$1102,10,FALSE)/90)))</f>
        <v>NR</v>
      </c>
      <c r="I26" s="169" t="str">
        <f>IF(SUM(VLOOKUP($C26,DATA_Depts[[#All],[COVID-19 Item List]:[SCL]],MATCH(I$6,DATA_Depts[[#Headers],[COVID-19 Item List]:[SCL]],0),FALSE)=0),IF(VLOOKUP(_xlfn.CONCAT(I$6,$C26),BurnRate!$G$3:$P$1102,10,FALSE)="NR","NR",0),VLOOKUP($C26,DATA_Depts[[#All],[COVID-19 Item List]:[SCL]],MATCH(I$6,DATA_Depts[[#Headers],[COVID-19 Item List]:[SCL]],0),FALSE))</f>
        <v>NR</v>
      </c>
      <c r="J26" s="167" t="str">
        <f>IF(VLOOKUP(_xlfn.CONCAT(I$6,$C26),BurnRate!$G$3:$P$1102,10,FALSE)="NR","NR",IF(I26="NR","NR",I26/(VLOOKUP(_xlfn.CONCAT(I$6,$C26),BurnRate!$G$3:$P$1102,10,FALSE)/90)))</f>
        <v>NR</v>
      </c>
      <c r="K26" s="169" t="str">
        <f>IF(SUM(VLOOKUP($C26,DATA_Depts[[#All],[COVID-19 Item List]:[SCL]],MATCH(K$6,DATA_Depts[[#Headers],[COVID-19 Item List]:[SCL]],0),FALSE)=0),IF(VLOOKUP(_xlfn.CONCAT(K$6,$C26),BurnRate!$G$3:$P$1102,10,FALSE)="NR","NR",0),VLOOKUP($C26,DATA_Depts[[#All],[COVID-19 Item List]:[SCL]],MATCH(K$6,DATA_Depts[[#Headers],[COVID-19 Item List]:[SCL]],0),FALSE))</f>
        <v>NR</v>
      </c>
      <c r="L26" s="167" t="str">
        <f>IF(VLOOKUP(_xlfn.CONCAT(K$6,$C26),BurnRate!$G$3:$P$1102,10,FALSE)="NR","NR",IF(K26="NR","NR",K26/(VLOOKUP(_xlfn.CONCAT(K$6,$C26),BurnRate!$G$3:$P$1102,10,FALSE)/90)))</f>
        <v>NR</v>
      </c>
      <c r="M26" s="169" t="str">
        <f>IF(SUM(VLOOKUP($C26,DATA_Depts[[#All],[COVID-19 Item List]:[SCL]],MATCH(M$6,DATA_Depts[[#Headers],[COVID-19 Item List]:[SCL]],0),FALSE)=0),IF(VLOOKUP(_xlfn.CONCAT(M$6,$C26),BurnRate!$G$3:$P$1102,10,FALSE)="NR","NR",0),VLOOKUP($C26,DATA_Depts[[#All],[COVID-19 Item List]:[SCL]],MATCH(M$6,DATA_Depts[[#Headers],[COVID-19 Item List]:[SCL]],0),FALSE))</f>
        <v>NR</v>
      </c>
      <c r="N26" s="167" t="str">
        <f>IF(VLOOKUP(_xlfn.CONCAT(M$6,$C26),BurnRate!$G$3:$P$1102,10,FALSE)="NR","NR",IF(M26="NR","NR",M26/(VLOOKUP(_xlfn.CONCAT(M$6,$C26),BurnRate!$G$3:$P$1102,10,FALSE)/90)))</f>
        <v>NR</v>
      </c>
      <c r="O26" s="169" t="str">
        <f>IF(SUM(VLOOKUP($C26,DATA_Depts[[#All],[COVID-19 Item List]:[SCL]],MATCH(O$6,DATA_Depts[[#Headers],[COVID-19 Item List]:[SCL]],0),FALSE)=0),IF(VLOOKUP(_xlfn.CONCAT(O$6,$C26),BurnRate!$G$3:$P$1102,10,FALSE)="NR","NR",0),VLOOKUP($C26,DATA_Depts[[#All],[COVID-19 Item List]:[SCL]],MATCH(O$6,DATA_Depts[[#Headers],[COVID-19 Item List]:[SCL]],0),FALSE))</f>
        <v>NR</v>
      </c>
      <c r="P26" s="167" t="str">
        <f>IF(VLOOKUP(_xlfn.CONCAT(O$6,$C26),BurnRate!$G$3:$P$1102,10,FALSE)="NR","NR",IF(O26="NR","NR",O26/(VLOOKUP(_xlfn.CONCAT(O$6,$C26),BurnRate!$G$3:$P$1102,10,FALSE)/90)))</f>
        <v>NR</v>
      </c>
      <c r="Q26" s="169" t="str">
        <f>IF(SUM(VLOOKUP($C26,DATA_Depts[[#All],[COVID-19 Item List]:[SCL]],MATCH(Q$6,DATA_Depts[[#Headers],[COVID-19 Item List]:[SCL]],0),FALSE)=0),IF(VLOOKUP(_xlfn.CONCAT(Q$6,$C26),BurnRate!$G$3:$P$1102,10,FALSE)="NR","NR",0),VLOOKUP($C26,DATA_Depts[[#All],[COVID-19 Item List]:[SCL]],MATCH(Q$6,DATA_Depts[[#Headers],[COVID-19 Item List]:[SCL]],0),FALSE))</f>
        <v>NR</v>
      </c>
      <c r="R26" s="167" t="str">
        <f>IF(VLOOKUP(_xlfn.CONCAT(Q$6,$C26),BurnRate!$G$3:$P$1102,10,FALSE)="NR","NR",IF(Q26="NR","NR",Q26/(VLOOKUP(_xlfn.CONCAT(Q$6,$C26),BurnRate!$G$3:$P$1102,10,FALSE)/90)))</f>
        <v>NR</v>
      </c>
      <c r="S26" s="169" t="str">
        <f>IF(SUM(VLOOKUP($C26,DATA_Depts[[#All],[COVID-19 Item List]:[SCL]],MATCH(S$6,DATA_Depts[[#Headers],[COVID-19 Item List]:[SCL]],0),FALSE)=0),IF(VLOOKUP(_xlfn.CONCAT(S$6,$C26),BurnRate!$G$3:$P$1102,10,FALSE)="NR","NR",0),VLOOKUP($C26,DATA_Depts[[#All],[COVID-19 Item List]:[SCL]],MATCH(S$6,DATA_Depts[[#Headers],[COVID-19 Item List]:[SCL]],0),FALSE))</f>
        <v>NR</v>
      </c>
      <c r="T26" s="167" t="str">
        <f>IF(VLOOKUP(_xlfn.CONCAT(S$6,$C26),BurnRate!$G$3:$P$1102,10,FALSE)="NR","NR",IF(S26="NR","NR",S26/(VLOOKUP(_xlfn.CONCAT(S$6,$C26),BurnRate!$G$3:$P$1102,10,FALSE)/90)))</f>
        <v>NR</v>
      </c>
      <c r="U26" s="169" t="str">
        <f>IF(SUM(VLOOKUP($C26,DATA_Depts[[#All],[COVID-19 Item List]:[SCL]],MATCH(U$6,DATA_Depts[[#Headers],[COVID-19 Item List]:[SCL]],0),FALSE)=0),IF(VLOOKUP(_xlfn.CONCAT(U$6,$C26),BurnRate!$G$3:$P$1102,10,FALSE)="NR","NR",0),VLOOKUP($C26,DATA_Depts[[#All],[COVID-19 Item List]:[SCL]],MATCH(U$6,DATA_Depts[[#Headers],[COVID-19 Item List]:[SCL]],0),FALSE))</f>
        <v>NR</v>
      </c>
      <c r="V26" s="167" t="str">
        <f>IF(VLOOKUP(_xlfn.CONCAT(U$6,$C26),BurnRate!$G$3:$P$1102,10,FALSE)="NR","NR",IF(U26="NR","NR",U26/(VLOOKUP(_xlfn.CONCAT(U$6,$C26),BurnRate!$G$3:$P$1102,10,FALSE)/90)))</f>
        <v>NR</v>
      </c>
      <c r="W26" s="169" t="str">
        <f>IF(SUM(VLOOKUP($C26,DATA_Depts[[#All],[COVID-19 Item List]:[SCL]],MATCH(W$6,DATA_Depts[[#Headers],[COVID-19 Item List]:[SCL]],0),FALSE)=0),IF(VLOOKUP(_xlfn.CONCAT(W$6,$C26),BurnRate!$G$3:$P$1102,10,FALSE)="NR","NR",0),VLOOKUP($C26,DATA_Depts[[#All],[COVID-19 Item List]:[SCL]],MATCH(W$6,DATA_Depts[[#Headers],[COVID-19 Item List]:[SCL]],0),FALSE))</f>
        <v>NR</v>
      </c>
      <c r="X26" s="167" t="str">
        <f>IF(VLOOKUP(_xlfn.CONCAT(W$6,$C26),BurnRate!$G$3:$P$1102,10,FALSE)="NR","NR",IF(W26="NR","NR",W26/(VLOOKUP(_xlfn.CONCAT(W$6,$C26),BurnRate!$G$3:$P$1102,10,FALSE)/90)))</f>
        <v>NR</v>
      </c>
      <c r="Y26" s="169" t="str">
        <f>IF(SUM(VLOOKUP($C26,DATA_Depts[[#All],[COVID-19 Item List]:[SCL]],MATCH(Y$6,DATA_Depts[[#Headers],[COVID-19 Item List]:[SCL]],0),FALSE)=0),IF(VLOOKUP(_xlfn.CONCAT(Y$6,$C26),BurnRate!$G$3:$P$1102,10,FALSE)="NR","NR",0),VLOOKUP($C26,DATA_Depts[[#All],[COVID-19 Item List]:[SCL]],MATCH(Y$6,DATA_Depts[[#Headers],[COVID-19 Item List]:[SCL]],0),FALSE))</f>
        <v>NR</v>
      </c>
      <c r="Z26" s="167" t="str">
        <f>IF(VLOOKUP(_xlfn.CONCAT(Y$6,$C26),BurnRate!$G$3:$P$1102,10,FALSE)="NR","NR",IF(Y26="NR","NR",Y26/(VLOOKUP(_xlfn.CONCAT(Y$6,$C26),BurnRate!$G$3:$P$1102,10,FALSE)/90)))</f>
        <v>NR</v>
      </c>
    </row>
    <row r="27" spans="1:37" s="43" customFormat="1" ht="11">
      <c r="A27" s="421"/>
      <c r="B27" s="46">
        <v>20</v>
      </c>
      <c r="C27" s="47" t="str">
        <f>_xlfn.SINGLE(VLOOKUP(B27,DisplayOrder[#All],2,FALSE))</f>
        <v>Disinfecting Sprayers</v>
      </c>
      <c r="D27" s="116" t="str">
        <f>_xlfn.SINGLE(VLOOKUP(B27,DisplayOrder!A:C,3,FALSE))</f>
        <v>each</v>
      </c>
      <c r="E27" s="181">
        <f>IF(VLOOKUP(_xlfn.CONCAT(E$6,$C27),BurnRate!$G$3:$P$1102,10,FALSE)="NR",IF(SUMIF(FAS_Centralized!K:K,C27,FAS_Centralized!N:N)=0,"NR",SUMIF(FAS_Centralized!K:K,C27,FAS_Centralized!N:N)),SUMIF(FAS_Centralized!K:K,C27,FAS_Centralized!N:N))</f>
        <v>6</v>
      </c>
      <c r="F27" s="148">
        <f>IF(VLOOKUP(_xlfn.CONCAT(E$6,$C27),BurnRate!$G$3:$P$1102,10,FALSE)="NR","NR",IF(E27="NR","NR",E27/(VLOOKUP(_xlfn.CONCAT(E$6,$C27),BurnRate!$G$3:$P$1102,10,FALSE)/90)))</f>
        <v>135</v>
      </c>
      <c r="G27" s="169" t="str">
        <f>IF(SUM(VLOOKUP($C27,DATA_Depts[[#All],[COVID-19 Item List]:[SCL]],MATCH(G$6,DATA_Depts[[#Headers],[COVID-19 Item List]:[SCL]],0),FALSE)=0),IF(VLOOKUP(_xlfn.CONCAT(G$6,$C27),BurnRate!$G$3:$P$1102,10,FALSE)="NR","NR",0),VLOOKUP($C27,DATA_Depts[[#All],[COVID-19 Item List]:[SCL]],MATCH(G$6,DATA_Depts[[#Headers],[COVID-19 Item List]:[SCL]],0),FALSE))</f>
        <v>NR</v>
      </c>
      <c r="H27" s="167" t="str">
        <f>IF(VLOOKUP(_xlfn.CONCAT(G$6,$C27),BurnRate!$G$3:$P$1102,10,FALSE)="NR","NR",IF(G27="NR","NR",G27/(VLOOKUP(_xlfn.CONCAT(G$6,$C27),BurnRate!$G$3:$P$1102,10,FALSE)/90)))</f>
        <v>NR</v>
      </c>
      <c r="I27" s="169" t="str">
        <f>IF(SUM(VLOOKUP($C27,DATA_Depts[[#All],[COVID-19 Item List]:[SCL]],MATCH(I$6,DATA_Depts[[#Headers],[COVID-19 Item List]:[SCL]],0),FALSE)=0),IF(VLOOKUP(_xlfn.CONCAT(I$6,$C27),BurnRate!$G$3:$P$1102,10,FALSE)="NR","NR",0),VLOOKUP($C27,DATA_Depts[[#All],[COVID-19 Item List]:[SCL]],MATCH(I$6,DATA_Depts[[#Headers],[COVID-19 Item List]:[SCL]],0),FALSE))</f>
        <v>NR</v>
      </c>
      <c r="J27" s="167" t="str">
        <f>IF(VLOOKUP(_xlfn.CONCAT(I$6,$C27),BurnRate!$G$3:$P$1102,10,FALSE)="NR","NR",IF(I27="NR","NR",I27/(VLOOKUP(_xlfn.CONCAT(I$6,$C27),BurnRate!$G$3:$P$1102,10,FALSE)/90)))</f>
        <v>NR</v>
      </c>
      <c r="K27" s="169" t="str">
        <f>IF(SUM(VLOOKUP($C27,DATA_Depts[[#All],[COVID-19 Item List]:[SCL]],MATCH(K$6,DATA_Depts[[#Headers],[COVID-19 Item List]:[SCL]],0),FALSE)=0),IF(VLOOKUP(_xlfn.CONCAT(K$6,$C27),BurnRate!$G$3:$P$1102,10,FALSE)="NR","NR",0),VLOOKUP($C27,DATA_Depts[[#All],[COVID-19 Item List]:[SCL]],MATCH(K$6,DATA_Depts[[#Headers],[COVID-19 Item List]:[SCL]],0),FALSE))</f>
        <v>NR</v>
      </c>
      <c r="L27" s="167" t="str">
        <f>IF(VLOOKUP(_xlfn.CONCAT(K$6,$C27),BurnRate!$G$3:$P$1102,10,FALSE)="NR","NR",IF(K27="NR","NR",K27/(VLOOKUP(_xlfn.CONCAT(K$6,$C27),BurnRate!$G$3:$P$1102,10,FALSE)/90)))</f>
        <v>NR</v>
      </c>
      <c r="M27" s="169" t="str">
        <f>IF(SUM(VLOOKUP($C27,DATA_Depts[[#All],[COVID-19 Item List]:[SCL]],MATCH(M$6,DATA_Depts[[#Headers],[COVID-19 Item List]:[SCL]],0),FALSE)=0),IF(VLOOKUP(_xlfn.CONCAT(M$6,$C27),BurnRate!$G$3:$P$1102,10,FALSE)="NR","NR",0),VLOOKUP($C27,DATA_Depts[[#All],[COVID-19 Item List]:[SCL]],MATCH(M$6,DATA_Depts[[#Headers],[COVID-19 Item List]:[SCL]],0),FALSE))</f>
        <v>NR</v>
      </c>
      <c r="N27" s="167" t="str">
        <f>IF(VLOOKUP(_xlfn.CONCAT(M$6,$C27),BurnRate!$G$3:$P$1102,10,FALSE)="NR","NR",IF(M27="NR","NR",M27/(VLOOKUP(_xlfn.CONCAT(M$6,$C27),BurnRate!$G$3:$P$1102,10,FALSE)/90)))</f>
        <v>NR</v>
      </c>
      <c r="O27" s="169" t="str">
        <f>IF(SUM(VLOOKUP($C27,DATA_Depts[[#All],[COVID-19 Item List]:[SCL]],MATCH(O$6,DATA_Depts[[#Headers],[COVID-19 Item List]:[SCL]],0),FALSE)=0),IF(VLOOKUP(_xlfn.CONCAT(O$6,$C27),BurnRate!$G$3:$P$1102,10,FALSE)="NR","NR",0),VLOOKUP($C27,DATA_Depts[[#All],[COVID-19 Item List]:[SCL]],MATCH(O$6,DATA_Depts[[#Headers],[COVID-19 Item List]:[SCL]],0),FALSE))</f>
        <v>NR</v>
      </c>
      <c r="P27" s="167" t="str">
        <f>IF(VLOOKUP(_xlfn.CONCAT(O$6,$C27),BurnRate!$G$3:$P$1102,10,FALSE)="NR","NR",IF(O27="NR","NR",O27/(VLOOKUP(_xlfn.CONCAT(O$6,$C27),BurnRate!$G$3:$P$1102,10,FALSE)/90)))</f>
        <v>NR</v>
      </c>
      <c r="Q27" s="169" t="str">
        <f>IF(SUM(VLOOKUP($C27,DATA_Depts[[#All],[COVID-19 Item List]:[SCL]],MATCH(Q$6,DATA_Depts[[#Headers],[COVID-19 Item List]:[SCL]],0),FALSE)=0),IF(VLOOKUP(_xlfn.CONCAT(Q$6,$C27),BurnRate!$G$3:$P$1102,10,FALSE)="NR","NR",0),VLOOKUP($C27,DATA_Depts[[#All],[COVID-19 Item List]:[SCL]],MATCH(Q$6,DATA_Depts[[#Headers],[COVID-19 Item List]:[SCL]],0),FALSE))</f>
        <v>NR</v>
      </c>
      <c r="R27" s="167" t="str">
        <f>IF(VLOOKUP(_xlfn.CONCAT(Q$6,$C27),BurnRate!$G$3:$P$1102,10,FALSE)="NR","NR",IF(Q27="NR","NR",Q27/(VLOOKUP(_xlfn.CONCAT(Q$6,$C27),BurnRate!$G$3:$P$1102,10,FALSE)/90)))</f>
        <v>NR</v>
      </c>
      <c r="S27" s="169" t="str">
        <f>IF(SUM(VLOOKUP($C27,DATA_Depts[[#All],[COVID-19 Item List]:[SCL]],MATCH(S$6,DATA_Depts[[#Headers],[COVID-19 Item List]:[SCL]],0),FALSE)=0),IF(VLOOKUP(_xlfn.CONCAT(S$6,$C27),BurnRate!$G$3:$P$1102,10,FALSE)="NR","NR",0),VLOOKUP($C27,DATA_Depts[[#All],[COVID-19 Item List]:[SCL]],MATCH(S$6,DATA_Depts[[#Headers],[COVID-19 Item List]:[SCL]],0),FALSE))</f>
        <v>NR</v>
      </c>
      <c r="T27" s="167" t="str">
        <f>IF(VLOOKUP(_xlfn.CONCAT(S$6,$C27),BurnRate!$G$3:$P$1102,10,FALSE)="NR","NR",IF(S27="NR","NR",S27/(VLOOKUP(_xlfn.CONCAT(S$6,$C27),BurnRate!$G$3:$P$1102,10,FALSE)/90)))</f>
        <v>NR</v>
      </c>
      <c r="U27" s="169" t="str">
        <f>IF(SUM(VLOOKUP($C27,DATA_Depts[[#All],[COVID-19 Item List]:[SCL]],MATCH(U$6,DATA_Depts[[#Headers],[COVID-19 Item List]:[SCL]],0),FALSE)=0),IF(VLOOKUP(_xlfn.CONCAT(U$6,$C27),BurnRate!$G$3:$P$1102,10,FALSE)="NR","NR",0),VLOOKUP($C27,DATA_Depts[[#All],[COVID-19 Item List]:[SCL]],MATCH(U$6,DATA_Depts[[#Headers],[COVID-19 Item List]:[SCL]],0),FALSE))</f>
        <v>NR</v>
      </c>
      <c r="V27" s="167" t="str">
        <f>IF(VLOOKUP(_xlfn.CONCAT(U$6,$C27),BurnRate!$G$3:$P$1102,10,FALSE)="NR","NR",IF(U27="NR","NR",U27/(VLOOKUP(_xlfn.CONCAT(U$6,$C27),BurnRate!$G$3:$P$1102,10,FALSE)/90)))</f>
        <v>NR</v>
      </c>
      <c r="W27" s="169" t="str">
        <f>IF(SUM(VLOOKUP($C27,DATA_Depts[[#All],[COVID-19 Item List]:[SCL]],MATCH(W$6,DATA_Depts[[#Headers],[COVID-19 Item List]:[SCL]],0),FALSE)=0),IF(VLOOKUP(_xlfn.CONCAT(W$6,$C27),BurnRate!$G$3:$P$1102,10,FALSE)="NR","NR",0),VLOOKUP($C27,DATA_Depts[[#All],[COVID-19 Item List]:[SCL]],MATCH(W$6,DATA_Depts[[#Headers],[COVID-19 Item List]:[SCL]],0),FALSE))</f>
        <v>NR</v>
      </c>
      <c r="X27" s="167" t="str">
        <f>IF(VLOOKUP(_xlfn.CONCAT(W$6,$C27),BurnRate!$G$3:$P$1102,10,FALSE)="NR","NR",IF(W27="NR","NR",W27/(VLOOKUP(_xlfn.CONCAT(W$6,$C27),BurnRate!$G$3:$P$1102,10,FALSE)/90)))</f>
        <v>NR</v>
      </c>
      <c r="Y27" s="169" t="str">
        <f>IF(SUM(VLOOKUP($C27,DATA_Depts[[#All],[COVID-19 Item List]:[SCL]],MATCH(Y$6,DATA_Depts[[#Headers],[COVID-19 Item List]:[SCL]],0),FALSE)=0),IF(VLOOKUP(_xlfn.CONCAT(Y$6,$C27),BurnRate!$G$3:$P$1102,10,FALSE)="NR","NR",0),VLOOKUP($C27,DATA_Depts[[#All],[COVID-19 Item List]:[SCL]],MATCH(Y$6,DATA_Depts[[#Headers],[COVID-19 Item List]:[SCL]],0),FALSE))</f>
        <v>NR</v>
      </c>
      <c r="Z27" s="167" t="str">
        <f>IF(VLOOKUP(_xlfn.CONCAT(Y$6,$C27),BurnRate!$G$3:$P$1102,10,FALSE)="NR","NR",IF(Y27="NR","NR",Y27/(VLOOKUP(_xlfn.CONCAT(Y$6,$C27),BurnRate!$G$3:$P$1102,10,FALSE)/90)))</f>
        <v>NR</v>
      </c>
    </row>
    <row r="28" spans="1:37" s="43" customFormat="1" ht="11">
      <c r="A28" s="421"/>
      <c r="B28" s="46">
        <v>21</v>
      </c>
      <c r="C28" s="47" t="str">
        <f>_xlfn.SINGLE(VLOOKUP(B28,DisplayOrder[#All],2,FALSE))</f>
        <v>Hand Soap</v>
      </c>
      <c r="D28" s="116" t="str">
        <f>_xlfn.SINGLE(VLOOKUP(B28,DisplayOrder!A:C,3,FALSE))</f>
        <v>bottle</v>
      </c>
      <c r="E28" s="181">
        <f>IF(VLOOKUP(_xlfn.CONCAT(E$6,$C28),BurnRate!$G$3:$P$1102,10,FALSE)="NR",IF(SUMIF(FAS_Centralized!K:K,C28,FAS_Centralized!N:N)=0,"NR",SUMIF(FAS_Centralized!K:K,C28,FAS_Centralized!N:N)),SUMIF(FAS_Centralized!K:K,C28,FAS_Centralized!N:N))</f>
        <v>1762</v>
      </c>
      <c r="F28" s="148">
        <f>IF(VLOOKUP(_xlfn.CONCAT(E$6,$C28),BurnRate!$G$3:$P$1102,10,FALSE)="NR","NR",IF(E28="NR","NR",E28/(VLOOKUP(_xlfn.CONCAT(E$6,$C28),BurnRate!$G$3:$P$1102,10,FALSE)/90)))</f>
        <v>6.0992307692307683</v>
      </c>
      <c r="G28" s="169" t="str">
        <f>IF(SUM(VLOOKUP($C28,DATA_Depts[[#All],[COVID-19 Item List]:[SCL]],MATCH(G$6,DATA_Depts[[#Headers],[COVID-19 Item List]:[SCL]],0),FALSE)=0),IF(VLOOKUP(_xlfn.CONCAT(G$6,$C28),BurnRate!$G$3:$P$1102,10,FALSE)="NR","NR",0),VLOOKUP($C28,DATA_Depts[[#All],[COVID-19 Item List]:[SCL]],MATCH(G$6,DATA_Depts[[#Headers],[COVID-19 Item List]:[SCL]],0),FALSE))</f>
        <v>NR</v>
      </c>
      <c r="H28" s="167" t="str">
        <f>IF(VLOOKUP(_xlfn.CONCAT(G$6,$C28),BurnRate!$G$3:$P$1102,10,FALSE)="NR","NR",IF(G28="NR","NR",G28/(VLOOKUP(_xlfn.CONCAT(G$6,$C28),BurnRate!$G$3:$P$1102,10,FALSE)/90)))</f>
        <v>NR</v>
      </c>
      <c r="I28" s="169">
        <f>IF(SUM(VLOOKUP($C28,DATA_Depts[[#All],[COVID-19 Item List]:[SCL]],MATCH(I$6,DATA_Depts[[#Headers],[COVID-19 Item List]:[SCL]],0),FALSE)=0),IF(VLOOKUP(_xlfn.CONCAT(I$6,$C28),BurnRate!$G$3:$P$1102,10,FALSE)="NR","NR",0),VLOOKUP($C28,DATA_Depts[[#All],[COVID-19 Item List]:[SCL]],MATCH(I$6,DATA_Depts[[#Headers],[COVID-19 Item List]:[SCL]],0),FALSE))</f>
        <v>950</v>
      </c>
      <c r="J28" s="167">
        <f>IF(VLOOKUP(_xlfn.CONCAT(I$6,$C28),BurnRate!$G$3:$P$1102,10,FALSE)="NR","NR",IF(I28="NR","NR",I28/(VLOOKUP(_xlfn.CONCAT(I$6,$C28),BurnRate!$G$3:$P$1102,10,FALSE)/90)))</f>
        <v>950</v>
      </c>
      <c r="K28" s="169">
        <f>IF(SUM(VLOOKUP($C28,DATA_Depts[[#All],[COVID-19 Item List]:[SCL]],MATCH(K$6,DATA_Depts[[#Headers],[COVID-19 Item List]:[SCL]],0),FALSE)=0),IF(VLOOKUP(_xlfn.CONCAT(K$6,$C28),BurnRate!$G$3:$P$1102,10,FALSE)="NR","NR",0),VLOOKUP($C28,DATA_Depts[[#All],[COVID-19 Item List]:[SCL]],MATCH(K$6,DATA_Depts[[#Headers],[COVID-19 Item List]:[SCL]],0),FALSE))</f>
        <v>288</v>
      </c>
      <c r="L28" s="167">
        <f>IF(VLOOKUP(_xlfn.CONCAT(K$6,$C28),BurnRate!$G$3:$P$1102,10,FALSE)="NR","NR",IF(K28="NR","NR",K28/(VLOOKUP(_xlfn.CONCAT(K$6,$C28),BurnRate!$G$3:$P$1102,10,FALSE)/90)))</f>
        <v>16.2</v>
      </c>
      <c r="M28" s="169">
        <f>IF(SUM(VLOOKUP($C28,DATA_Depts[[#All],[COVID-19 Item List]:[SCL]],MATCH(M$6,DATA_Depts[[#Headers],[COVID-19 Item List]:[SCL]],0),FALSE)=0),IF(VLOOKUP(_xlfn.CONCAT(M$6,$C28),BurnRate!$G$3:$P$1102,10,FALSE)="NR","NR",0),VLOOKUP($C28,DATA_Depts[[#All],[COVID-19 Item List]:[SCL]],MATCH(M$6,DATA_Depts[[#Headers],[COVID-19 Item List]:[SCL]],0),FALSE))</f>
        <v>501</v>
      </c>
      <c r="N28" s="167">
        <f>IF(VLOOKUP(_xlfn.CONCAT(M$6,$C28),BurnRate!$G$3:$P$1102,10,FALSE)="NR","NR",IF(M28="NR","NR",M28/(VLOOKUP(_xlfn.CONCAT(M$6,$C28),BurnRate!$G$3:$P$1102,10,FALSE)/90)))</f>
        <v>28.181249999999999</v>
      </c>
      <c r="O28" s="169">
        <f>IF(SUM(VLOOKUP($C28,DATA_Depts[[#All],[COVID-19 Item List]:[SCL]],MATCH(O$6,DATA_Depts[[#Headers],[COVID-19 Item List]:[SCL]],0),FALSE)=0),IF(VLOOKUP(_xlfn.CONCAT(O$6,$C28),BurnRate!$G$3:$P$1102,10,FALSE)="NR","NR",0),VLOOKUP($C28,DATA_Depts[[#All],[COVID-19 Item List]:[SCL]],MATCH(O$6,DATA_Depts[[#Headers],[COVID-19 Item List]:[SCL]],0),FALSE))</f>
        <v>1238</v>
      </c>
      <c r="P28" s="167">
        <f>IF(VLOOKUP(_xlfn.CONCAT(O$6,$C28),BurnRate!$G$3:$P$1102,10,FALSE)="NR","NR",IF(O28="NR","NR",O28/(VLOOKUP(_xlfn.CONCAT(O$6,$C28),BurnRate!$G$3:$P$1102,10,FALSE)/90)))</f>
        <v>25.322727272727274</v>
      </c>
      <c r="Q28" s="169">
        <f>IF(SUM(VLOOKUP($C28,DATA_Depts[[#All],[COVID-19 Item List]:[SCL]],MATCH(Q$6,DATA_Depts[[#Headers],[COVID-19 Item List]:[SCL]],0),FALSE)=0),IF(VLOOKUP(_xlfn.CONCAT(Q$6,$C28),BurnRate!$G$3:$P$1102,10,FALSE)="NR","NR",0),VLOOKUP($C28,DATA_Depts[[#All],[COVID-19 Item List]:[SCL]],MATCH(Q$6,DATA_Depts[[#Headers],[COVID-19 Item List]:[SCL]],0),FALSE))</f>
        <v>150</v>
      </c>
      <c r="R28" s="167" t="str">
        <f>IF(VLOOKUP(_xlfn.CONCAT(Q$6,$C28),BurnRate!$G$3:$P$1102,10,FALSE)="NR","NR",IF(Q28="NR","NR",Q28/(VLOOKUP(_xlfn.CONCAT(Q$6,$C28),BurnRate!$G$3:$P$1102,10,FALSE)/90)))</f>
        <v>NR</v>
      </c>
      <c r="S28" s="169">
        <f>IF(SUM(VLOOKUP($C28,DATA_Depts[[#All],[COVID-19 Item List]:[SCL]],MATCH(S$6,DATA_Depts[[#Headers],[COVID-19 Item List]:[SCL]],0),FALSE)=0),IF(VLOOKUP(_xlfn.CONCAT(S$6,$C28),BurnRate!$G$3:$P$1102,10,FALSE)="NR","NR",0),VLOOKUP($C28,DATA_Depts[[#All],[COVID-19 Item List]:[SCL]],MATCH(S$6,DATA_Depts[[#Headers],[COVID-19 Item List]:[SCL]],0),FALSE))</f>
        <v>410</v>
      </c>
      <c r="T28" s="167">
        <f>IF(VLOOKUP(_xlfn.CONCAT(S$6,$C28),BurnRate!$G$3:$P$1102,10,FALSE)="NR","NR",IF(S28="NR","NR",S28/(VLOOKUP(_xlfn.CONCAT(S$6,$C28),BurnRate!$G$3:$P$1102,10,FALSE)/90)))</f>
        <v>30.75</v>
      </c>
      <c r="U28" s="169" t="str">
        <f>IF(SUM(VLOOKUP($C28,DATA_Depts[[#All],[COVID-19 Item List]:[SCL]],MATCH(U$6,DATA_Depts[[#Headers],[COVID-19 Item List]:[SCL]],0),FALSE)=0),IF(VLOOKUP(_xlfn.CONCAT(U$6,$C28),BurnRate!$G$3:$P$1102,10,FALSE)="NR","NR",0),VLOOKUP($C28,DATA_Depts[[#All],[COVID-19 Item List]:[SCL]],MATCH(U$6,DATA_Depts[[#Headers],[COVID-19 Item List]:[SCL]],0),FALSE))</f>
        <v>NR</v>
      </c>
      <c r="V28" s="167" t="str">
        <f>IF(VLOOKUP(_xlfn.CONCAT(U$6,$C28),BurnRate!$G$3:$P$1102,10,FALSE)="NR","NR",IF(U28="NR","NR",U28/(VLOOKUP(_xlfn.CONCAT(U$6,$C28),BurnRate!$G$3:$P$1102,10,FALSE)/90)))</f>
        <v>NR</v>
      </c>
      <c r="W28" s="169">
        <f>IF(SUM(VLOOKUP($C28,DATA_Depts[[#All],[COVID-19 Item List]:[SCL]],MATCH(W$6,DATA_Depts[[#Headers],[COVID-19 Item List]:[SCL]],0),FALSE)=0),IF(VLOOKUP(_xlfn.CONCAT(W$6,$C28),BurnRate!$G$3:$P$1102,10,FALSE)="NR","NR",0),VLOOKUP($C28,DATA_Depts[[#All],[COVID-19 Item List]:[SCL]],MATCH(W$6,DATA_Depts[[#Headers],[COVID-19 Item List]:[SCL]],0),FALSE))</f>
        <v>25</v>
      </c>
      <c r="X28" s="167">
        <f>IF(VLOOKUP(_xlfn.CONCAT(W$6,$C28),BurnRate!$G$3:$P$1102,10,FALSE)="NR","NR",IF(W28="NR","NR",W28/(VLOOKUP(_xlfn.CONCAT(W$6,$C28),BurnRate!$G$3:$P$1102,10,FALSE)/90)))</f>
        <v>1.40625</v>
      </c>
      <c r="Y28" s="169">
        <f>IF(SUM(VLOOKUP($C28,DATA_Depts[[#All],[COVID-19 Item List]:[SCL]],MATCH(Y$6,DATA_Depts[[#Headers],[COVID-19 Item List]:[SCL]],0),FALSE)=0),IF(VLOOKUP(_xlfn.CONCAT(Y$6,$C28),BurnRate!$G$3:$P$1102,10,FALSE)="NR","NR",0),VLOOKUP($C28,DATA_Depts[[#All],[COVID-19 Item List]:[SCL]],MATCH(Y$6,DATA_Depts[[#Headers],[COVID-19 Item List]:[SCL]],0),FALSE))</f>
        <v>24</v>
      </c>
      <c r="Z28" s="167">
        <f>IF(VLOOKUP(_xlfn.CONCAT(Y$6,$C28),BurnRate!$G$3:$P$1102,10,FALSE)="NR","NR",IF(Y28="NR","NR",Y28/(VLOOKUP(_xlfn.CONCAT(Y$6,$C28),BurnRate!$G$3:$P$1102,10,FALSE)/90)))</f>
        <v>1.3499999999999999</v>
      </c>
    </row>
    <row r="29" spans="1:37" s="43" customFormat="1" ht="11">
      <c r="A29" s="421"/>
      <c r="B29" s="46">
        <v>22</v>
      </c>
      <c r="C29" s="47" t="str">
        <f>_xlfn.SINGLE(VLOOKUP(B29,DisplayOrder[#All],2,FALSE))</f>
        <v>Facial Tissue</v>
      </c>
      <c r="D29" s="116" t="str">
        <f>_xlfn.SINGLE(VLOOKUP(B29,DisplayOrder!A:C,3,FALSE))</f>
        <v>box</v>
      </c>
      <c r="E29" s="181">
        <f>IF(VLOOKUP(_xlfn.CONCAT(E$6,$C29),BurnRate!$G$3:$P$1102,10,FALSE)="NR",IF(SUMIF(FAS_Centralized!K:K,C29,FAS_Centralized!N:N)=0,"NR",SUMIF(FAS_Centralized!K:K,C29,FAS_Centralized!N:N)),SUMIF(FAS_Centralized!K:K,C29,FAS_Centralized!N:N))</f>
        <v>11620</v>
      </c>
      <c r="F29" s="148">
        <f>IF(VLOOKUP(_xlfn.CONCAT(E$6,$C29),BurnRate!$G$3:$P$1102,10,FALSE)="NR","NR",IF(E29="NR","NR",E29/(VLOOKUP(_xlfn.CONCAT(E$6,$C29),BurnRate!$G$3:$P$1102,10,FALSE)/90)))</f>
        <v>53.630769230769232</v>
      </c>
      <c r="G29" s="169" t="str">
        <f>IF(SUM(VLOOKUP($C29,DATA_Depts[[#All],[COVID-19 Item List]:[SCL]],MATCH(G$6,DATA_Depts[[#Headers],[COVID-19 Item List]:[SCL]],0),FALSE)=0),IF(VLOOKUP(_xlfn.CONCAT(G$6,$C29),BurnRate!$G$3:$P$1102,10,FALSE)="NR","NR",0),VLOOKUP($C29,DATA_Depts[[#All],[COVID-19 Item List]:[SCL]],MATCH(G$6,DATA_Depts[[#Headers],[COVID-19 Item List]:[SCL]],0),FALSE))</f>
        <v>NR</v>
      </c>
      <c r="H29" s="167" t="str">
        <f>IF(VLOOKUP(_xlfn.CONCAT(G$6,$C29),BurnRate!$G$3:$P$1102,10,FALSE)="NR","NR",IF(G29="NR","NR",G29/(VLOOKUP(_xlfn.CONCAT(G$6,$C29),BurnRate!$G$3:$P$1102,10,FALSE)/90)))</f>
        <v>NR</v>
      </c>
      <c r="I29" s="169" t="str">
        <f>IF(SUM(VLOOKUP($C29,DATA_Depts[[#All],[COVID-19 Item List]:[SCL]],MATCH(I$6,DATA_Depts[[#Headers],[COVID-19 Item List]:[SCL]],0),FALSE)=0),IF(VLOOKUP(_xlfn.CONCAT(I$6,$C29),BurnRate!$G$3:$P$1102,10,FALSE)="NR","NR",0),VLOOKUP($C29,DATA_Depts[[#All],[COVID-19 Item List]:[SCL]],MATCH(I$6,DATA_Depts[[#Headers],[COVID-19 Item List]:[SCL]],0),FALSE))</f>
        <v>NR</v>
      </c>
      <c r="J29" s="167" t="str">
        <f>IF(VLOOKUP(_xlfn.CONCAT(I$6,$C29),BurnRate!$G$3:$P$1102,10,FALSE)="NR","NR",IF(I29="NR","NR",I29/(VLOOKUP(_xlfn.CONCAT(I$6,$C29),BurnRate!$G$3:$P$1102,10,FALSE)/90)))</f>
        <v>NR</v>
      </c>
      <c r="K29" s="169">
        <f>IF(SUM(VLOOKUP($C29,DATA_Depts[[#All],[COVID-19 Item List]:[SCL]],MATCH(K$6,DATA_Depts[[#Headers],[COVID-19 Item List]:[SCL]],0),FALSE)=0),IF(VLOOKUP(_xlfn.CONCAT(K$6,$C29),BurnRate!$G$3:$P$1102,10,FALSE)="NR","NR",0),VLOOKUP($C29,DATA_Depts[[#All],[COVID-19 Item List]:[SCL]],MATCH(K$6,DATA_Depts[[#Headers],[COVID-19 Item List]:[SCL]],0),FALSE))</f>
        <v>750</v>
      </c>
      <c r="L29" s="167" t="str">
        <f>IF(VLOOKUP(_xlfn.CONCAT(K$6,$C29),BurnRate!$G$3:$P$1102,10,FALSE)="NR","NR",IF(K29="NR","NR",K29/(VLOOKUP(_xlfn.CONCAT(K$6,$C29),BurnRate!$G$3:$P$1102,10,FALSE)/90)))</f>
        <v>NR</v>
      </c>
      <c r="M29" s="169">
        <f>IF(SUM(VLOOKUP($C29,DATA_Depts[[#All],[COVID-19 Item List]:[SCL]],MATCH(M$6,DATA_Depts[[#Headers],[COVID-19 Item List]:[SCL]],0),FALSE)=0),IF(VLOOKUP(_xlfn.CONCAT(M$6,$C29),BurnRate!$G$3:$P$1102,10,FALSE)="NR","NR",0),VLOOKUP($C29,DATA_Depts[[#All],[COVID-19 Item List]:[SCL]],MATCH(M$6,DATA_Depts[[#Headers],[COVID-19 Item List]:[SCL]],0),FALSE))</f>
        <v>28233</v>
      </c>
      <c r="N29" s="167">
        <f>IF(VLOOKUP(_xlfn.CONCAT(M$6,$C29),BurnRate!$G$3:$P$1102,10,FALSE)="NR","NR",IF(M29="NR","NR",M29/(VLOOKUP(_xlfn.CONCAT(M$6,$C29),BurnRate!$G$3:$P$1102,10,FALSE)/90)))</f>
        <v>2117.4749999999999</v>
      </c>
      <c r="O29" s="169">
        <f>IF(SUM(VLOOKUP($C29,DATA_Depts[[#All],[COVID-19 Item List]:[SCL]],MATCH(O$6,DATA_Depts[[#Headers],[COVID-19 Item List]:[SCL]],0),FALSE)=0),IF(VLOOKUP(_xlfn.CONCAT(O$6,$C29),BurnRate!$G$3:$P$1102,10,FALSE)="NR","NR",0),VLOOKUP($C29,DATA_Depts[[#All],[COVID-19 Item List]:[SCL]],MATCH(O$6,DATA_Depts[[#Headers],[COVID-19 Item List]:[SCL]],0),FALSE))</f>
        <v>725</v>
      </c>
      <c r="P29" s="167" t="str">
        <f>IF(VLOOKUP(_xlfn.CONCAT(O$6,$C29),BurnRate!$G$3:$P$1102,10,FALSE)="NR","NR",IF(O29="NR","NR",O29/(VLOOKUP(_xlfn.CONCAT(O$6,$C29),BurnRate!$G$3:$P$1102,10,FALSE)/90)))</f>
        <v>NR</v>
      </c>
      <c r="Q29" s="169">
        <f>IF(SUM(VLOOKUP($C29,DATA_Depts[[#All],[COVID-19 Item List]:[SCL]],MATCH(Q$6,DATA_Depts[[#Headers],[COVID-19 Item List]:[SCL]],0),FALSE)=0),IF(VLOOKUP(_xlfn.CONCAT(Q$6,$C29),BurnRate!$G$3:$P$1102,10,FALSE)="NR","NR",0),VLOOKUP($C29,DATA_Depts[[#All],[COVID-19 Item List]:[SCL]],MATCH(Q$6,DATA_Depts[[#Headers],[COVID-19 Item List]:[SCL]],0),FALSE))</f>
        <v>100</v>
      </c>
      <c r="R29" s="167" t="str">
        <f>IF(VLOOKUP(_xlfn.CONCAT(Q$6,$C29),BurnRate!$G$3:$P$1102,10,FALSE)="NR","NR",IF(Q29="NR","NR",Q29/(VLOOKUP(_xlfn.CONCAT(Q$6,$C29),BurnRate!$G$3:$P$1102,10,FALSE)/90)))</f>
        <v>NR</v>
      </c>
      <c r="S29" s="169">
        <f>IF(SUM(VLOOKUP($C29,DATA_Depts[[#All],[COVID-19 Item List]:[SCL]],MATCH(S$6,DATA_Depts[[#Headers],[COVID-19 Item List]:[SCL]],0),FALSE)=0),IF(VLOOKUP(_xlfn.CONCAT(S$6,$C29),BurnRate!$G$3:$P$1102,10,FALSE)="NR","NR",0),VLOOKUP($C29,DATA_Depts[[#All],[COVID-19 Item List]:[SCL]],MATCH(S$6,DATA_Depts[[#Headers],[COVID-19 Item List]:[SCL]],0),FALSE))</f>
        <v>380</v>
      </c>
      <c r="T29" s="167">
        <f>IF(VLOOKUP(_xlfn.CONCAT(S$6,$C29),BurnRate!$G$3:$P$1102,10,FALSE)="NR","NR",IF(S29="NR","NR",S29/(VLOOKUP(_xlfn.CONCAT(S$6,$C29),BurnRate!$G$3:$P$1102,10,FALSE)/90)))</f>
        <v>38</v>
      </c>
      <c r="U29" s="169">
        <f>IF(SUM(VLOOKUP($C29,DATA_Depts[[#All],[COVID-19 Item List]:[SCL]],MATCH(U$6,DATA_Depts[[#Headers],[COVID-19 Item List]:[SCL]],0),FALSE)=0),IF(VLOOKUP(_xlfn.CONCAT(U$6,$C29),BurnRate!$G$3:$P$1102,10,FALSE)="NR","NR",0),VLOOKUP($C29,DATA_Depts[[#All],[COVID-19 Item List]:[SCL]],MATCH(U$6,DATA_Depts[[#Headers],[COVID-19 Item List]:[SCL]],0),FALSE))</f>
        <v>72</v>
      </c>
      <c r="V29" s="167" t="str">
        <f>IF(VLOOKUP(_xlfn.CONCAT(U$6,$C29),BurnRate!$G$3:$P$1102,10,FALSE)="NR","NR",IF(U29="NR","NR",U29/(VLOOKUP(_xlfn.CONCAT(U$6,$C29),BurnRate!$G$3:$P$1102,10,FALSE)/90)))</f>
        <v>NR</v>
      </c>
      <c r="W29" s="169" t="str">
        <f>IF(SUM(VLOOKUP($C29,DATA_Depts[[#All],[COVID-19 Item List]:[SCL]],MATCH(W$6,DATA_Depts[[#Headers],[COVID-19 Item List]:[SCL]],0),FALSE)=0),IF(VLOOKUP(_xlfn.CONCAT(W$6,$C29),BurnRate!$G$3:$P$1102,10,FALSE)="NR","NR",0),VLOOKUP($C29,DATA_Depts[[#All],[COVID-19 Item List]:[SCL]],MATCH(W$6,DATA_Depts[[#Headers],[COVID-19 Item List]:[SCL]],0),FALSE))</f>
        <v>NR</v>
      </c>
      <c r="X29" s="167" t="str">
        <f>IF(VLOOKUP(_xlfn.CONCAT(W$6,$C29),BurnRate!$G$3:$P$1102,10,FALSE)="NR","NR",IF(W29="NR","NR",W29/(VLOOKUP(_xlfn.CONCAT(W$6,$C29),BurnRate!$G$3:$P$1102,10,FALSE)/90)))</f>
        <v>NR</v>
      </c>
      <c r="Y29" s="169" t="str">
        <f>IF(SUM(VLOOKUP($C29,DATA_Depts[[#All],[COVID-19 Item List]:[SCL]],MATCH(Y$6,DATA_Depts[[#Headers],[COVID-19 Item List]:[SCL]],0),FALSE)=0),IF(VLOOKUP(_xlfn.CONCAT(Y$6,$C29),BurnRate!$G$3:$P$1102,10,FALSE)="NR","NR",0),VLOOKUP($C29,DATA_Depts[[#All],[COVID-19 Item List]:[SCL]],MATCH(Y$6,DATA_Depts[[#Headers],[COVID-19 Item List]:[SCL]],0),FALSE))</f>
        <v>NA</v>
      </c>
      <c r="Z29" s="167" t="str">
        <f>IF(VLOOKUP(_xlfn.CONCAT(Y$6,$C29),BurnRate!$G$3:$P$1102,10,FALSE)="NR","NR",IF(Y29="NR","NR",Y29/(VLOOKUP(_xlfn.CONCAT(Y$6,$C29),BurnRate!$G$3:$P$1102,10,FALSE)/90)))</f>
        <v>NR</v>
      </c>
    </row>
    <row r="30" spans="1:37" s="43" customFormat="1" ht="11">
      <c r="A30" s="421"/>
      <c r="B30" s="46">
        <v>23</v>
      </c>
      <c r="C30" s="47" t="str">
        <f>_xlfn.SINGLE(VLOOKUP(B30,DisplayOrder[#All],2,FALSE))</f>
        <v>Paper Towels</v>
      </c>
      <c r="D30" s="116" t="str">
        <f>_xlfn.SINGLE(VLOOKUP(B30,DisplayOrder!A:C,3,FALSE))</f>
        <v>pack</v>
      </c>
      <c r="E30" s="181">
        <f>IF(VLOOKUP(_xlfn.CONCAT(E$6,$C30),BurnRate!$G$3:$P$1102,10,FALSE)="NR",IF(SUMIF(FAS_Centralized!K:K,C30,FAS_Centralized!N:N)=0,"NR",SUMIF(FAS_Centralized!K:K,C30,FAS_Centralized!N:N)),SUMIF(FAS_Centralized!K:K,C30,FAS_Centralized!N:N))</f>
        <v>44832</v>
      </c>
      <c r="F30" s="148" t="str">
        <f>IF(VLOOKUP(_xlfn.CONCAT(E$6,$C30),BurnRate!$G$3:$P$1102,10,FALSE)="NR","NR",IF(E30="NR","NR",E30/(VLOOKUP(_xlfn.CONCAT(E$6,$C30),BurnRate!$G$3:$P$1102,10,FALSE)/90)))</f>
        <v>NR</v>
      </c>
      <c r="G30" s="169" t="str">
        <f>IF(SUM(VLOOKUP($C30,DATA_Depts[[#All],[COVID-19 Item List]:[SCL]],MATCH(G$6,DATA_Depts[[#Headers],[COVID-19 Item List]:[SCL]],0),FALSE)=0),IF(VLOOKUP(_xlfn.CONCAT(G$6,$C30),BurnRate!$G$3:$P$1102,10,FALSE)="NR","NR",0),VLOOKUP($C30,DATA_Depts[[#All],[COVID-19 Item List]:[SCL]],MATCH(G$6,DATA_Depts[[#Headers],[COVID-19 Item List]:[SCL]],0),FALSE))</f>
        <v>NR</v>
      </c>
      <c r="H30" s="167" t="str">
        <f>IF(VLOOKUP(_xlfn.CONCAT(G$6,$C30),BurnRate!$G$3:$P$1102,10,FALSE)="NR","NR",IF(G30="NR","NR",G30/(VLOOKUP(_xlfn.CONCAT(G$6,$C30),BurnRate!$G$3:$P$1102,10,FALSE)/90)))</f>
        <v>NR</v>
      </c>
      <c r="I30" s="169" t="str">
        <f>IF(SUM(VLOOKUP($C30,DATA_Depts[[#All],[COVID-19 Item List]:[SCL]],MATCH(I$6,DATA_Depts[[#Headers],[COVID-19 Item List]:[SCL]],0),FALSE)=0),IF(VLOOKUP(_xlfn.CONCAT(I$6,$C30),BurnRate!$G$3:$P$1102,10,FALSE)="NR","NR",0),VLOOKUP($C30,DATA_Depts[[#All],[COVID-19 Item List]:[SCL]],MATCH(I$6,DATA_Depts[[#Headers],[COVID-19 Item List]:[SCL]],0),FALSE))</f>
        <v>NR</v>
      </c>
      <c r="J30" s="167" t="str">
        <f>IF(VLOOKUP(_xlfn.CONCAT(I$6,$C30),BurnRate!$G$3:$P$1102,10,FALSE)="NR","NR",IF(I30="NR","NR",I30/(VLOOKUP(_xlfn.CONCAT(I$6,$C30),BurnRate!$G$3:$P$1102,10,FALSE)/90)))</f>
        <v>NR</v>
      </c>
      <c r="K30" s="169">
        <f>IF(SUM(VLOOKUP($C30,DATA_Depts[[#All],[COVID-19 Item List]:[SCL]],MATCH(K$6,DATA_Depts[[#Headers],[COVID-19 Item List]:[SCL]],0),FALSE)=0),IF(VLOOKUP(_xlfn.CONCAT(K$6,$C30),BurnRate!$G$3:$P$1102,10,FALSE)="NR","NR",0),VLOOKUP($C30,DATA_Depts[[#All],[COVID-19 Item List]:[SCL]],MATCH(K$6,DATA_Depts[[#Headers],[COVID-19 Item List]:[SCL]],0),FALSE))</f>
        <v>550</v>
      </c>
      <c r="L30" s="167" t="str">
        <f>IF(VLOOKUP(_xlfn.CONCAT(K$6,$C30),BurnRate!$G$3:$P$1102,10,FALSE)="NR","NR",IF(K30="NR","NR",K30/(VLOOKUP(_xlfn.CONCAT(K$6,$C30),BurnRate!$G$3:$P$1102,10,FALSE)/90)))</f>
        <v>NR</v>
      </c>
      <c r="M30" s="169">
        <f>IF(SUM(VLOOKUP($C30,DATA_Depts[[#All],[COVID-19 Item List]:[SCL]],MATCH(M$6,DATA_Depts[[#Headers],[COVID-19 Item List]:[SCL]],0),FALSE)=0),IF(VLOOKUP(_xlfn.CONCAT(M$6,$C30),BurnRate!$G$3:$P$1102,10,FALSE)="NR","NR",0),VLOOKUP($C30,DATA_Depts[[#All],[COVID-19 Item List]:[SCL]],MATCH(M$6,DATA_Depts[[#Headers],[COVID-19 Item List]:[SCL]],0),FALSE))</f>
        <v>78</v>
      </c>
      <c r="N30" s="167" t="str">
        <f>IF(VLOOKUP(_xlfn.CONCAT(M$6,$C30),BurnRate!$G$3:$P$1102,10,FALSE)="NR","NR",IF(M30="NR","NR",M30/(VLOOKUP(_xlfn.CONCAT(M$6,$C30),BurnRate!$G$3:$P$1102,10,FALSE)/90)))</f>
        <v>NR</v>
      </c>
      <c r="O30" s="169">
        <f>IF(SUM(VLOOKUP($C30,DATA_Depts[[#All],[COVID-19 Item List]:[SCL]],MATCH(O$6,DATA_Depts[[#Headers],[COVID-19 Item List]:[SCL]],0),FALSE)=0),IF(VLOOKUP(_xlfn.CONCAT(O$6,$C30),BurnRate!$G$3:$P$1102,10,FALSE)="NR","NR",0),VLOOKUP($C30,DATA_Depts[[#All],[COVID-19 Item List]:[SCL]],MATCH(O$6,DATA_Depts[[#Headers],[COVID-19 Item List]:[SCL]],0),FALSE))</f>
        <v>716</v>
      </c>
      <c r="P30" s="167" t="str">
        <f>IF(VLOOKUP(_xlfn.CONCAT(O$6,$C30),BurnRate!$G$3:$P$1102,10,FALSE)="NR","NR",IF(O30="NR","NR",O30/(VLOOKUP(_xlfn.CONCAT(O$6,$C30),BurnRate!$G$3:$P$1102,10,FALSE)/90)))</f>
        <v>NR</v>
      </c>
      <c r="Q30" s="169">
        <f>IF(SUM(VLOOKUP($C30,DATA_Depts[[#All],[COVID-19 Item List]:[SCL]],MATCH(Q$6,DATA_Depts[[#Headers],[COVID-19 Item List]:[SCL]],0),FALSE)=0),IF(VLOOKUP(_xlfn.CONCAT(Q$6,$C30),BurnRate!$G$3:$P$1102,10,FALSE)="NR","NR",0),VLOOKUP($C30,DATA_Depts[[#All],[COVID-19 Item List]:[SCL]],MATCH(Q$6,DATA_Depts[[#Headers],[COVID-19 Item List]:[SCL]],0),FALSE))</f>
        <v>100</v>
      </c>
      <c r="R30" s="167" t="str">
        <f>IF(VLOOKUP(_xlfn.CONCAT(Q$6,$C30),BurnRate!$G$3:$P$1102,10,FALSE)="NR","NR",IF(Q30="NR","NR",Q30/(VLOOKUP(_xlfn.CONCAT(Q$6,$C30),BurnRate!$G$3:$P$1102,10,FALSE)/90)))</f>
        <v>NR</v>
      </c>
      <c r="S30" s="169">
        <f>IF(SUM(VLOOKUP($C30,DATA_Depts[[#All],[COVID-19 Item List]:[SCL]],MATCH(S$6,DATA_Depts[[#Headers],[COVID-19 Item List]:[SCL]],0),FALSE)=0),IF(VLOOKUP(_xlfn.CONCAT(S$6,$C30),BurnRate!$G$3:$P$1102,10,FALSE)="NR","NR",0),VLOOKUP($C30,DATA_Depts[[#All],[COVID-19 Item List]:[SCL]],MATCH(S$6,DATA_Depts[[#Headers],[COVID-19 Item List]:[SCL]],0),FALSE))</f>
        <v>700</v>
      </c>
      <c r="T30" s="167" t="str">
        <f>IF(VLOOKUP(_xlfn.CONCAT(S$6,$C30),BurnRate!$G$3:$P$1102,10,FALSE)="NR","NR",IF(S30="NR","NR",S30/(VLOOKUP(_xlfn.CONCAT(S$6,$C30),BurnRate!$G$3:$P$1102,10,FALSE)/90)))</f>
        <v>NR</v>
      </c>
      <c r="U30" s="169" t="str">
        <f>IF(SUM(VLOOKUP($C30,DATA_Depts[[#All],[COVID-19 Item List]:[SCL]],MATCH(U$6,DATA_Depts[[#Headers],[COVID-19 Item List]:[SCL]],0),FALSE)=0),IF(VLOOKUP(_xlfn.CONCAT(U$6,$C30),BurnRate!$G$3:$P$1102,10,FALSE)="NR","NR",0),VLOOKUP($C30,DATA_Depts[[#All],[COVID-19 Item List]:[SCL]],MATCH(U$6,DATA_Depts[[#Headers],[COVID-19 Item List]:[SCL]],0),FALSE))</f>
        <v>NR</v>
      </c>
      <c r="V30" s="167" t="str">
        <f>IF(VLOOKUP(_xlfn.CONCAT(U$6,$C30),BurnRate!$G$3:$P$1102,10,FALSE)="NR","NR",IF(U30="NR","NR",U30/(VLOOKUP(_xlfn.CONCAT(U$6,$C30),BurnRate!$G$3:$P$1102,10,FALSE)/90)))</f>
        <v>NR</v>
      </c>
      <c r="W30" s="169" t="str">
        <f>IF(SUM(VLOOKUP($C30,DATA_Depts[[#All],[COVID-19 Item List]:[SCL]],MATCH(W$6,DATA_Depts[[#Headers],[COVID-19 Item List]:[SCL]],0),FALSE)=0),IF(VLOOKUP(_xlfn.CONCAT(W$6,$C30),BurnRate!$G$3:$P$1102,10,FALSE)="NR","NR",0),VLOOKUP($C30,DATA_Depts[[#All],[COVID-19 Item List]:[SCL]],MATCH(W$6,DATA_Depts[[#Headers],[COVID-19 Item List]:[SCL]],0),FALSE))</f>
        <v>NR</v>
      </c>
      <c r="X30" s="167" t="str">
        <f>IF(VLOOKUP(_xlfn.CONCAT(W$6,$C30),BurnRate!$G$3:$P$1102,10,FALSE)="NR","NR",IF(W30="NR","NR",W30/(VLOOKUP(_xlfn.CONCAT(W$6,$C30),BurnRate!$G$3:$P$1102,10,FALSE)/90)))</f>
        <v>NR</v>
      </c>
      <c r="Y30" s="169">
        <f>IF(SUM(VLOOKUP($C30,DATA_Depts[[#All],[COVID-19 Item List]:[SCL]],MATCH(Y$6,DATA_Depts[[#Headers],[COVID-19 Item List]:[SCL]],0),FALSE)=0),IF(VLOOKUP(_xlfn.CONCAT(Y$6,$C30),BurnRate!$G$3:$P$1102,10,FALSE)="NR","NR",0),VLOOKUP($C30,DATA_Depts[[#All],[COVID-19 Item List]:[SCL]],MATCH(Y$6,DATA_Depts[[#Headers],[COVID-19 Item List]:[SCL]],0),FALSE))</f>
        <v>84</v>
      </c>
      <c r="Z30" s="167" t="str">
        <f>IF(VLOOKUP(_xlfn.CONCAT(Y$6,$C30),BurnRate!$G$3:$P$1102,10,FALSE)="NR","NR",IF(Y30="NR","NR",Y30/(VLOOKUP(_xlfn.CONCAT(Y$6,$C30),BurnRate!$G$3:$P$1102,10,FALSE)/90)))</f>
        <v>NR</v>
      </c>
    </row>
    <row r="31" spans="1:37" s="43" customFormat="1" ht="12" thickBot="1">
      <c r="A31" s="422"/>
      <c r="B31" s="46">
        <v>24</v>
      </c>
      <c r="C31" s="47" t="str">
        <f>_xlfn.SINGLE(VLOOKUP(B31,DisplayOrder[#All],2,FALSE))</f>
        <v>Toilet Paper</v>
      </c>
      <c r="D31" s="116" t="str">
        <f>_xlfn.SINGLE(VLOOKUP(B31,DisplayOrder!A:C,3,FALSE))</f>
        <v>roll</v>
      </c>
      <c r="E31" s="182">
        <f>IF(VLOOKUP(_xlfn.CONCAT(E$6,$C31),BurnRate!$G$3:$P$1102,10,FALSE)="NR",IF(SUMIF(FAS_Centralized!K:K,C31,FAS_Centralized!N:N)=0,"NR",SUMIF(FAS_Centralized!K:K,C31,FAS_Centralized!N:N)),SUMIF(FAS_Centralized!K:K,C31,FAS_Centralized!N:N))</f>
        <v>36660</v>
      </c>
      <c r="F31" s="183">
        <f>IF(VLOOKUP(_xlfn.CONCAT(E$6,$C31),BurnRate!$G$3:$P$1102,10,FALSE)="NR","NR",IF(E31="NR","NR",E31/(VLOOKUP(_xlfn.CONCAT(E$6,$C31),BurnRate!$G$3:$P$1102,10,FALSE)/90)))</f>
        <v>53.130434782608695</v>
      </c>
      <c r="G31" s="176" t="str">
        <f>IF(SUM(VLOOKUP($C31,DATA_Depts[[#All],[COVID-19 Item List]:[SCL]],MATCH(G$6,DATA_Depts[[#Headers],[COVID-19 Item List]:[SCL]],0),FALSE)=0),IF(VLOOKUP(_xlfn.CONCAT(G$6,$C31),BurnRate!$G$3:$P$1102,10,FALSE)="NR","NR",0),VLOOKUP($C31,DATA_Depts[[#All],[COVID-19 Item List]:[SCL]],MATCH(G$6,DATA_Depts[[#Headers],[COVID-19 Item List]:[SCL]],0),FALSE))</f>
        <v>NR</v>
      </c>
      <c r="H31" s="167" t="str">
        <f>IF(VLOOKUP(_xlfn.CONCAT(G$6,$C31),BurnRate!$G$3:$P$1102,10,FALSE)="NR","NR",IF(G31="NR","NR",G31/(VLOOKUP(_xlfn.CONCAT(G$6,$C31),BurnRate!$G$3:$P$1102,10,FALSE)/90)))</f>
        <v>NR</v>
      </c>
      <c r="I31" s="176" t="str">
        <f>IF(SUM(VLOOKUP($C31,DATA_Depts[[#All],[COVID-19 Item List]:[SCL]],MATCH(I$6,DATA_Depts[[#Headers],[COVID-19 Item List]:[SCL]],0),FALSE)=0),IF(VLOOKUP(_xlfn.CONCAT(I$6,$C31),BurnRate!$G$3:$P$1102,10,FALSE)="NR","NR",0),VLOOKUP($C31,DATA_Depts[[#All],[COVID-19 Item List]:[SCL]],MATCH(I$6,DATA_Depts[[#Headers],[COVID-19 Item List]:[SCL]],0),FALSE))</f>
        <v>NR</v>
      </c>
      <c r="J31" s="167" t="str">
        <f>IF(VLOOKUP(_xlfn.CONCAT(I$6,$C31),BurnRate!$G$3:$P$1102,10,FALSE)="NR","NR",IF(I31="NR","NR",I31/(VLOOKUP(_xlfn.CONCAT(I$6,$C31),BurnRate!$G$3:$P$1102,10,FALSE)/90)))</f>
        <v>NR</v>
      </c>
      <c r="K31" s="169">
        <f>IF(SUM(VLOOKUP($C31,DATA_Depts[[#All],[COVID-19 Item List]:[SCL]],MATCH(K$6,DATA_Depts[[#Headers],[COVID-19 Item List]:[SCL]],0),FALSE)=0),IF(VLOOKUP(_xlfn.CONCAT(K$6,$C31),BurnRate!$G$3:$P$1102,10,FALSE)="NR","NR",0),VLOOKUP($C31,DATA_Depts[[#All],[COVID-19 Item List]:[SCL]],MATCH(K$6,DATA_Depts[[#Headers],[COVID-19 Item List]:[SCL]],0),FALSE))</f>
        <v>500</v>
      </c>
      <c r="L31" s="167" t="str">
        <f>IF(VLOOKUP(_xlfn.CONCAT(K$6,$C31),BurnRate!$G$3:$P$1102,10,FALSE)="NR","NR",IF(K31="NR","NR",K31/(VLOOKUP(_xlfn.CONCAT(K$6,$C31),BurnRate!$G$3:$P$1102,10,FALSE)/90)))</f>
        <v>NR</v>
      </c>
      <c r="M31" s="169">
        <f>IF(SUM(VLOOKUP($C31,DATA_Depts[[#All],[COVID-19 Item List]:[SCL]],MATCH(M$6,DATA_Depts[[#Headers],[COVID-19 Item List]:[SCL]],0),FALSE)=0),IF(VLOOKUP(_xlfn.CONCAT(M$6,$C31),BurnRate!$G$3:$P$1102,10,FALSE)="NR","NR",0),VLOOKUP($C31,DATA_Depts[[#All],[COVID-19 Item List]:[SCL]],MATCH(M$6,DATA_Depts[[#Headers],[COVID-19 Item List]:[SCL]],0),FALSE))</f>
        <v>24576</v>
      </c>
      <c r="N31" s="167">
        <f>IF(VLOOKUP(_xlfn.CONCAT(M$6,$C31),BurnRate!$G$3:$P$1102,10,FALSE)="NR","NR",IF(M31="NR","NR",M31/(VLOOKUP(_xlfn.CONCAT(M$6,$C31),BurnRate!$G$3:$P$1102,10,FALSE)/90)))</f>
        <v>921.59999999999991</v>
      </c>
      <c r="O31" s="169">
        <f>IF(SUM(VLOOKUP($C31,DATA_Depts[[#All],[COVID-19 Item List]:[SCL]],MATCH(O$6,DATA_Depts[[#Headers],[COVID-19 Item List]:[SCL]],0),FALSE)=0),IF(VLOOKUP(_xlfn.CONCAT(O$6,$C31),BurnRate!$G$3:$P$1102,10,FALSE)="NR","NR",0),VLOOKUP($C31,DATA_Depts[[#All],[COVID-19 Item List]:[SCL]],MATCH(O$6,DATA_Depts[[#Headers],[COVID-19 Item List]:[SCL]],0),FALSE))</f>
        <v>438</v>
      </c>
      <c r="P31" s="167" t="str">
        <f>IF(VLOOKUP(_xlfn.CONCAT(O$6,$C31),BurnRate!$G$3:$P$1102,10,FALSE)="NR","NR",IF(O31="NR","NR",O31/(VLOOKUP(_xlfn.CONCAT(O$6,$C31),BurnRate!$G$3:$P$1102,10,FALSE)/90)))</f>
        <v>NR</v>
      </c>
      <c r="Q31" s="169">
        <f>IF(SUM(VLOOKUP($C31,DATA_Depts[[#All],[COVID-19 Item List]:[SCL]],MATCH(Q$6,DATA_Depts[[#Headers],[COVID-19 Item List]:[SCL]],0),FALSE)=0),IF(VLOOKUP(_xlfn.CONCAT(Q$6,$C31),BurnRate!$G$3:$P$1102,10,FALSE)="NR","NR",0),VLOOKUP($C31,DATA_Depts[[#All],[COVID-19 Item List]:[SCL]],MATCH(Q$6,DATA_Depts[[#Headers],[COVID-19 Item List]:[SCL]],0),FALSE))</f>
        <v>100</v>
      </c>
      <c r="R31" s="167" t="str">
        <f>IF(VLOOKUP(_xlfn.CONCAT(Q$6,$C31),BurnRate!$G$3:$P$1102,10,FALSE)="NR","NR",IF(Q31="NR","NR",Q31/(VLOOKUP(_xlfn.CONCAT(Q$6,$C31),BurnRate!$G$3:$P$1102,10,FALSE)/90)))</f>
        <v>NR</v>
      </c>
      <c r="S31" s="169">
        <f>IF(SUM(VLOOKUP($C31,DATA_Depts[[#All],[COVID-19 Item List]:[SCL]],MATCH(S$6,DATA_Depts[[#Headers],[COVID-19 Item List]:[SCL]],0),FALSE)=0),IF(VLOOKUP(_xlfn.CONCAT(S$6,$C31),BurnRate!$G$3:$P$1102,10,FALSE)="NR","NR",0),VLOOKUP($C31,DATA_Depts[[#All],[COVID-19 Item List]:[SCL]],MATCH(S$6,DATA_Depts[[#Headers],[COVID-19 Item List]:[SCL]],0),FALSE))</f>
        <v>6552</v>
      </c>
      <c r="T31" s="167">
        <f>IF(VLOOKUP(_xlfn.CONCAT(S$6,$C31),BurnRate!$G$3:$P$1102,10,FALSE)="NR","NR",IF(S31="NR","NR",S31/(VLOOKUP(_xlfn.CONCAT(S$6,$C31),BurnRate!$G$3:$P$1102,10,FALSE)/90)))</f>
        <v>327.60000000000002</v>
      </c>
      <c r="U31" s="169" t="str">
        <f>IF(SUM(VLOOKUP($C31,DATA_Depts[[#All],[COVID-19 Item List]:[SCL]],MATCH(U$6,DATA_Depts[[#Headers],[COVID-19 Item List]:[SCL]],0),FALSE)=0),IF(VLOOKUP(_xlfn.CONCAT(U$6,$C31),BurnRate!$G$3:$P$1102,10,FALSE)="NR","NR",0),VLOOKUP($C31,DATA_Depts[[#All],[COVID-19 Item List]:[SCL]],MATCH(U$6,DATA_Depts[[#Headers],[COVID-19 Item List]:[SCL]],0),FALSE))</f>
        <v>NR</v>
      </c>
      <c r="V31" s="167" t="str">
        <f>IF(VLOOKUP(_xlfn.CONCAT(U$6,$C31),BurnRate!$G$3:$P$1102,10,FALSE)="NR","NR",IF(U31="NR","NR",U31/(VLOOKUP(_xlfn.CONCAT(U$6,$C31),BurnRate!$G$3:$P$1102,10,FALSE)/90)))</f>
        <v>NR</v>
      </c>
      <c r="W31" s="169">
        <f>IF(SUM(VLOOKUP($C31,DATA_Depts[[#All],[COVID-19 Item List]:[SCL]],MATCH(W$6,DATA_Depts[[#Headers],[COVID-19 Item List]:[SCL]],0),FALSE)=0),IF(VLOOKUP(_xlfn.CONCAT(W$6,$C31),BurnRate!$G$3:$P$1102,10,FALSE)="NR","NR",0),VLOOKUP($C31,DATA_Depts[[#All],[COVID-19 Item List]:[SCL]],MATCH(W$6,DATA_Depts[[#Headers],[COVID-19 Item List]:[SCL]],0),FALSE))</f>
        <v>210</v>
      </c>
      <c r="X31" s="167" t="str">
        <f>IF(VLOOKUP(_xlfn.CONCAT(W$6,$C31),BurnRate!$G$3:$P$1102,10,FALSE)="NR","NR",IF(W31="NR","NR",W31/(VLOOKUP(_xlfn.CONCAT(W$6,$C31),BurnRate!$G$3:$P$1102,10,FALSE)/90)))</f>
        <v>NR</v>
      </c>
      <c r="Y31" s="169">
        <f>IF(SUM(VLOOKUP($C31,DATA_Depts[[#All],[COVID-19 Item List]:[SCL]],MATCH(Y$6,DATA_Depts[[#Headers],[COVID-19 Item List]:[SCL]],0),FALSE)=0),IF(VLOOKUP(_xlfn.CONCAT(Y$6,$C31),BurnRate!$G$3:$P$1102,10,FALSE)="NR","NR",0),VLOOKUP($C31,DATA_Depts[[#All],[COVID-19 Item List]:[SCL]],MATCH(Y$6,DATA_Depts[[#Headers],[COVID-19 Item List]:[SCL]],0),FALSE))</f>
        <v>6605</v>
      </c>
      <c r="Z31" s="167" t="str">
        <f>IF(VLOOKUP(_xlfn.CONCAT(Y$6,$C31),BurnRate!$G$3:$P$1102,10,FALSE)="NR","NR",IF(Y31="NR","NR",Y31/(VLOOKUP(_xlfn.CONCAT(Y$6,$C31),BurnRate!$G$3:$P$1102,10,FALSE)/90)))</f>
        <v>NR</v>
      </c>
    </row>
    <row r="32" spans="1:37" s="43" customFormat="1" ht="11" hidden="1">
      <c r="B32" s="46">
        <v>25</v>
      </c>
      <c r="C32" s="47" t="str">
        <f>_xlfn.SINGLE(VLOOKUP(B32,DisplayOrder[#All],2,FALSE))</f>
        <v>KN95 MASKS</v>
      </c>
      <c r="D32" s="116" t="str">
        <f>_xlfn.SINGLE(VLOOKUP(B32,DisplayOrder!A:C,3,FALSE))</f>
        <v>each</v>
      </c>
      <c r="E32" s="159" t="e">
        <f>IF(VLOOKUP(_xlfn.CONCAT(E$6,$C32),BurnRate!$G$3:$P$1102,10,FALSE)="NR",IF(SUMIF(FAS_Centralized!K:K,C32,FAS_Centralized!N:N)=0,"NR",SUMIF(FAS_Centralized!K:K,C32,FAS_Centralized!N:N)),SUMIF(FAS_Centralized!K:K,C32,FAS_Centralized!N:N))</f>
        <v>#N/A</v>
      </c>
      <c r="F32" s="160" t="e">
        <f>IF(VLOOKUP(_xlfn.CONCAT(E$6,$C32),BurnRate!$G$3:$P$1102,10,FALSE)="NR","NR",IF(E32="NR","NR",E32/(VLOOKUP(_xlfn.CONCAT(E$6,$C32),BurnRate!$G$3:$P$1102,10,FALSE)/90)))</f>
        <v>#N/A</v>
      </c>
      <c r="G32" s="175" t="e">
        <f>IF(SUM(VLOOKUP($C32,DATA_Depts[[#All],[COVID-19 Item List]:[SCL]],MATCH(G$6,DATA_Depts[[#Headers],[COVID-19 Item List]:[SCL]],0),FALSE)=0),IF(VLOOKUP(_xlfn.CONCAT(G$6,$C32),BurnRate!$G$3:$P$1102,10,FALSE)="NR","NR",0),VLOOKUP($C32,DATA_Depts[[#All],[COVID-19 Item List]:[SCL]],MATCH(G$6,DATA_Depts[[#Headers],[COVID-19 Item List]:[SCL]],0),FALSE))</f>
        <v>#N/A</v>
      </c>
      <c r="H32" s="160" t="e">
        <f>IF(VLOOKUP(_xlfn.CONCAT(G$6,$C32),BurnRate!$G$3:$P$1102,10,FALSE)="NR","NR",IF(G32="NR","NR",G32/(VLOOKUP(_xlfn.CONCAT(G$6,$C32),BurnRate!$G$3:$P$1102,10,FALSE)/90)))</f>
        <v>#N/A</v>
      </c>
      <c r="I32" s="175" t="e">
        <f>IF(SUM(VLOOKUP($C32,DATA_Depts[[#All],[COVID-19 Item List]:[SCL]],MATCH(I$6,DATA_Depts[[#Headers],[COVID-19 Item List]:[SCL]],0),FALSE)=0),IF(VLOOKUP(_xlfn.CONCAT(I$6,$C32),BurnRate!$G$3:$P$1102,10,FALSE)="NR","NR",0),VLOOKUP($C32,DATA_Depts[[#All],[COVID-19 Item List]:[SCL]],MATCH(I$6,DATA_Depts[[#Headers],[COVID-19 Item List]:[SCL]],0),FALSE))</f>
        <v>#N/A</v>
      </c>
      <c r="J32" s="160" t="e">
        <f>IF(VLOOKUP(_xlfn.CONCAT(I$6,$C32),BurnRate!$G$3:$P$1102,10,FALSE)="NR","NR",IF(I32="NR","NR",I32/(VLOOKUP(_xlfn.CONCAT(I$6,$C32),BurnRate!$G$3:$P$1102,10,FALSE)/90)))</f>
        <v>#N/A</v>
      </c>
      <c r="K32" s="169" t="e">
        <f>IF(SUM(VLOOKUP($C32,DATA_Depts[[#All],[COVID-19 Item List]:[SCL]],MATCH(K$6,DATA_Depts[[#Headers],[COVID-19 Item List]:[SCL]],0),FALSE)=0),IF(VLOOKUP(_xlfn.CONCAT(K$6,$C32),BurnRate!$G$3:$P$1102,10,FALSE)="NR","NR",0),VLOOKUP($C32,DATA_Depts[[#All],[COVID-19 Item List]:[SCL]],MATCH(K$6,DATA_Depts[[#Headers],[COVID-19 Item List]:[SCL]],0),FALSE))</f>
        <v>#N/A</v>
      </c>
      <c r="L32" s="160" t="e">
        <f>IF(VLOOKUP(_xlfn.CONCAT(K$6,$C32),BurnRate!$G$3:$P$1102,10,FALSE)="NR","NR",IF(K32="NR","NR",K32/(VLOOKUP(_xlfn.CONCAT(K$6,$C32),BurnRate!$G$3:$P$1102,10,FALSE)/90)))</f>
        <v>#N/A</v>
      </c>
      <c r="M32" s="169" t="e">
        <f>IF(SUM(VLOOKUP($C32,DATA_Depts[[#All],[COVID-19 Item List]:[SCL]],MATCH(M$6,DATA_Depts[[#Headers],[COVID-19 Item List]:[SCL]],0),FALSE)=0),IF(VLOOKUP(_xlfn.CONCAT(M$6,$C32),BurnRate!$G$3:$P$1102,10,FALSE)="NR","NR",0),VLOOKUP($C32,DATA_Depts[[#All],[COVID-19 Item List]:[SCL]],MATCH(M$6,DATA_Depts[[#Headers],[COVID-19 Item List]:[SCL]],0),FALSE))</f>
        <v>#N/A</v>
      </c>
      <c r="N32" s="160" t="e">
        <f>IF(VLOOKUP(_xlfn.CONCAT(M$6,$C32),BurnRate!$G$3:$P$1102,10,FALSE)="NR","NR",IF(M32="NR","NR",M32/(VLOOKUP(_xlfn.CONCAT(M$6,$C32),BurnRate!$G$3:$P$1102,10,FALSE)/90)))</f>
        <v>#N/A</v>
      </c>
      <c r="O32" s="169" t="e">
        <f>IF(SUM(VLOOKUP($C32,DATA_Depts[[#All],[COVID-19 Item List]:[SCL]],MATCH(O$6,DATA_Depts[[#Headers],[COVID-19 Item List]:[SCL]],0),FALSE)=0),IF(VLOOKUP(_xlfn.CONCAT(O$6,$C32),BurnRate!$G$3:$P$1102,10,FALSE)="NR","NR",0),VLOOKUP($C32,DATA_Depts[[#All],[COVID-19 Item List]:[SCL]],MATCH(O$6,DATA_Depts[[#Headers],[COVID-19 Item List]:[SCL]],0),FALSE))</f>
        <v>#N/A</v>
      </c>
      <c r="P32" s="160" t="e">
        <f>IF(VLOOKUP(_xlfn.CONCAT(O$6,$C32),BurnRate!$G$3:$P$1102,10,FALSE)="NR","NR",IF(O32="NR","NR",O32/(VLOOKUP(_xlfn.CONCAT(O$6,$C32),BurnRate!$G$3:$P$1102,10,FALSE)/90)))</f>
        <v>#N/A</v>
      </c>
      <c r="Q32" s="169" t="e">
        <f>IF(SUM(VLOOKUP($C32,DATA_Depts[[#All],[COVID-19 Item List]:[SCL]],MATCH(Q$6,DATA_Depts[[#Headers],[COVID-19 Item List]:[SCL]],0),FALSE)=0),IF(VLOOKUP(_xlfn.CONCAT(Q$6,$C32),BurnRate!$G$3:$P$1102,10,FALSE)="NR","NR",0),VLOOKUP($C32,DATA_Depts[[#All],[COVID-19 Item List]:[SCL]],MATCH(Q$6,DATA_Depts[[#Headers],[COVID-19 Item List]:[SCL]],0),FALSE))</f>
        <v>#N/A</v>
      </c>
      <c r="R32" s="160" t="e">
        <f>IF(VLOOKUP(_xlfn.CONCAT(Q$6,$C32),BurnRate!$G$3:$P$1102,10,FALSE)="NR","NR",IF(Q32="NR","NR",Q32/(VLOOKUP(_xlfn.CONCAT(Q$6,$C32),BurnRate!$G$3:$P$1102,10,FALSE)/90)))</f>
        <v>#N/A</v>
      </c>
      <c r="S32" s="169" t="e">
        <f>IF(SUM(VLOOKUP($C32,DATA_Depts[[#All],[COVID-19 Item List]:[SCL]],MATCH(S$6,DATA_Depts[[#Headers],[COVID-19 Item List]:[SCL]],0),FALSE)=0),IF(VLOOKUP(_xlfn.CONCAT(S$6,$C32),BurnRate!$G$3:$P$1102,10,FALSE)="NR","NR",0),VLOOKUP($C32,DATA_Depts[[#All],[COVID-19 Item List]:[SCL]],MATCH(S$6,DATA_Depts[[#Headers],[COVID-19 Item List]:[SCL]],0),FALSE))</f>
        <v>#N/A</v>
      </c>
      <c r="T32" s="160" t="e">
        <f>IF(VLOOKUP(_xlfn.CONCAT(S$6,$C32),BurnRate!$G$3:$P$1102,10,FALSE)="NR","NR",IF(S32="NR","NR",S32/(VLOOKUP(_xlfn.CONCAT(S$6,$C32),BurnRate!$G$3:$P$1102,10,FALSE)/90)))</f>
        <v>#N/A</v>
      </c>
      <c r="U32" s="169" t="e">
        <f>IF(SUM(VLOOKUP($C32,DATA_Depts[[#All],[COVID-19 Item List]:[SCL]],MATCH(U$6,DATA_Depts[[#Headers],[COVID-19 Item List]:[SCL]],0),FALSE)=0),IF(VLOOKUP(_xlfn.CONCAT(U$6,$C32),BurnRate!$G$3:$P$1102,10,FALSE)="NR","NR",0),VLOOKUP($C32,DATA_Depts[[#All],[COVID-19 Item List]:[SCL]],MATCH(U$6,DATA_Depts[[#Headers],[COVID-19 Item List]:[SCL]],0),FALSE))</f>
        <v>#N/A</v>
      </c>
      <c r="V32" s="160" t="e">
        <f>IF(VLOOKUP(_xlfn.CONCAT(U$6,$C32),BurnRate!$G$3:$P$1102,10,FALSE)="NR","NR",IF(U32="NR","NR",U32/(VLOOKUP(_xlfn.CONCAT(U$6,$C32),BurnRate!$G$3:$P$1102,10,FALSE)/90)))</f>
        <v>#N/A</v>
      </c>
      <c r="W32" s="169" t="e">
        <f>IF(SUM(VLOOKUP($C32,DATA_Depts[[#All],[COVID-19 Item List]:[SCL]],MATCH(W$6,DATA_Depts[[#Headers],[COVID-19 Item List]:[SCL]],0),FALSE)=0),IF(VLOOKUP(_xlfn.CONCAT(W$6,$C32),BurnRate!$G$3:$P$1102,10,FALSE)="NR","NR",0),VLOOKUP($C32,DATA_Depts[[#All],[COVID-19 Item List]:[SCL]],MATCH(W$6,DATA_Depts[[#Headers],[COVID-19 Item List]:[SCL]],0),FALSE))</f>
        <v>#N/A</v>
      </c>
      <c r="X32" s="160" t="e">
        <f>IF(VLOOKUP(_xlfn.CONCAT(W$6,$C32),BurnRate!$G$3:$P$1102,10,FALSE)="NR","NR",IF(W32="NR","NR",W32/(VLOOKUP(_xlfn.CONCAT(W$6,$C32),BurnRate!$G$3:$P$1102,10,FALSE)/90)))</f>
        <v>#N/A</v>
      </c>
      <c r="Y32" s="169" t="e">
        <f>IF(SUM(VLOOKUP($C32,DATA_Depts[[#All],[COVID-19 Item List]:[SCL]],MATCH(Y$6,DATA_Depts[[#Headers],[COVID-19 Item List]:[SCL]],0),FALSE)=0),IF(VLOOKUP(_xlfn.CONCAT(Y$6,$C32),BurnRate!$G$3:$P$1102,10,FALSE)="NR","NR",0),VLOOKUP($C32,DATA_Depts[[#All],[COVID-19 Item List]:[SCL]],MATCH(Y$6,DATA_Depts[[#Headers],[COVID-19 Item List]:[SCL]],0),FALSE))</f>
        <v>#N/A</v>
      </c>
      <c r="Z32" s="160" t="e">
        <f>IF(VLOOKUP(_xlfn.CONCAT(Y$6,$C32),BurnRate!$G$3:$P$1102,10,FALSE)="NR","NR",IF(Y32="NR","NR",Y32/(VLOOKUP(_xlfn.CONCAT(Y$6,$C32),BurnRate!$G$3:$P$1102,10,FALSE)/90)))</f>
        <v>#N/A</v>
      </c>
    </row>
    <row r="33" spans="2:26" s="43" customFormat="1" ht="11" hidden="1">
      <c r="B33" s="46">
        <v>26</v>
      </c>
      <c r="C33" s="47" t="str">
        <f>_xlfn.SINGLE(VLOOKUP(B33,DisplayOrder[#All],2,FALSE))</f>
        <v>Sprayer, Milwaukee 2820</v>
      </c>
      <c r="D33" s="116" t="str">
        <f>_xlfn.SINGLE(VLOOKUP(B33,DisplayOrder!A:C,3,FALSE))</f>
        <v>each</v>
      </c>
      <c r="E33" s="117" t="e">
        <f>IF(VLOOKUP(_xlfn.CONCAT(E$6,$C33),BurnRate!$G$3:$P$1102,10,FALSE)="NR",IF(SUMIF(FAS_Centralized!K:K,C33,FAS_Centralized!N:N)=0,"NR",SUMIF(FAS_Centralized!K:K,C33,FAS_Centralized!N:N)),SUMIF(FAS_Centralized!K:K,C33,FAS_Centralized!N:N))</f>
        <v>#N/A</v>
      </c>
      <c r="F33" s="148" t="e">
        <f>IF(VLOOKUP(_xlfn.CONCAT(E$6,$C33),BurnRate!$G$3:$P$1102,10,FALSE)="NR","NR",IF(E33="NR","NR",E33/(VLOOKUP(_xlfn.CONCAT(E$6,$C33),BurnRate!$G$3:$P$1102,10,FALSE)/90)))</f>
        <v>#N/A</v>
      </c>
      <c r="G33" s="169" t="e">
        <f>IF(SUM(VLOOKUP($C33,DATA_Depts[[#All],[COVID-19 Item List]:[SCL]],MATCH(G$6,DATA_Depts[[#Headers],[COVID-19 Item List]:[SCL]],0),FALSE)=0),IF(VLOOKUP(_xlfn.CONCAT(G$6,$C33),BurnRate!$G$3:$P$1102,10,FALSE)="NR","NR",0),VLOOKUP($C33,DATA_Depts[[#All],[COVID-19 Item List]:[SCL]],MATCH(G$6,DATA_Depts[[#Headers],[COVID-19 Item List]:[SCL]],0),FALSE))</f>
        <v>#N/A</v>
      </c>
      <c r="H33" s="148" t="e">
        <f>IF(VLOOKUP(_xlfn.CONCAT(G$6,$C33),BurnRate!$G$3:$P$1102,10,FALSE)="NR","NR",IF(G33="NR","NR",G33/(VLOOKUP(_xlfn.CONCAT(G$6,$C33),BurnRate!$G$3:$P$1102,10,FALSE)/90)))</f>
        <v>#N/A</v>
      </c>
      <c r="I33" s="169" t="e">
        <f>IF(SUM(VLOOKUP($C33,DATA_Depts[[#All],[COVID-19 Item List]:[SCL]],MATCH(I$6,DATA_Depts[[#Headers],[COVID-19 Item List]:[SCL]],0),FALSE)=0),IF(VLOOKUP(_xlfn.CONCAT(I$6,$C33),BurnRate!$G$3:$P$1102,10,FALSE)="NR","NR",0),VLOOKUP($C33,DATA_Depts[[#All],[COVID-19 Item List]:[SCL]],MATCH(I$6,DATA_Depts[[#Headers],[COVID-19 Item List]:[SCL]],0),FALSE))</f>
        <v>#N/A</v>
      </c>
      <c r="J33" s="148" t="e">
        <f>IF(VLOOKUP(_xlfn.CONCAT(I$6,$C33),BurnRate!$G$3:$P$1102,10,FALSE)="NR","NR",IF(I33="NR","NR",I33/(VLOOKUP(_xlfn.CONCAT(I$6,$C33),BurnRate!$G$3:$P$1102,10,FALSE)/90)))</f>
        <v>#N/A</v>
      </c>
      <c r="K33" s="169" t="e">
        <f>IF(SUM(VLOOKUP($C33,DATA_Depts[[#All],[COVID-19 Item List]:[SCL]],MATCH(K$6,DATA_Depts[[#Headers],[COVID-19 Item List]:[SCL]],0),FALSE)=0),IF(VLOOKUP(_xlfn.CONCAT(K$6,$C33),BurnRate!$G$3:$P$1102,10,FALSE)="NR","NR",0),VLOOKUP($C33,DATA_Depts[[#All],[COVID-19 Item List]:[SCL]],MATCH(K$6,DATA_Depts[[#Headers],[COVID-19 Item List]:[SCL]],0),FALSE))</f>
        <v>#N/A</v>
      </c>
      <c r="L33" s="148" t="e">
        <f>IF(VLOOKUP(_xlfn.CONCAT(K$6,$C33),BurnRate!$G$3:$P$1102,10,FALSE)="NR","NR",IF(K33="NR","NR",K33/(VLOOKUP(_xlfn.CONCAT(K$6,$C33),BurnRate!$G$3:$P$1102,10,FALSE)/90)))</f>
        <v>#N/A</v>
      </c>
      <c r="M33" s="169" t="e">
        <f>IF(SUM(VLOOKUP($C33,DATA_Depts[[#All],[COVID-19 Item List]:[SCL]],MATCH(M$6,DATA_Depts[[#Headers],[COVID-19 Item List]:[SCL]],0),FALSE)=0),IF(VLOOKUP(_xlfn.CONCAT(M$6,$C33),BurnRate!$G$3:$P$1102,10,FALSE)="NR","NR",0),VLOOKUP($C33,DATA_Depts[[#All],[COVID-19 Item List]:[SCL]],MATCH(M$6,DATA_Depts[[#Headers],[COVID-19 Item List]:[SCL]],0),FALSE))</f>
        <v>#N/A</v>
      </c>
      <c r="N33" s="148" t="e">
        <f>IF(VLOOKUP(_xlfn.CONCAT(M$6,$C33),BurnRate!$G$3:$P$1102,10,FALSE)="NR","NR",IF(M33="NR","NR",M33/(VLOOKUP(_xlfn.CONCAT(M$6,$C33),BurnRate!$G$3:$P$1102,10,FALSE)/90)))</f>
        <v>#N/A</v>
      </c>
      <c r="O33" s="169" t="e">
        <f>IF(SUM(VLOOKUP($C33,DATA_Depts[[#All],[COVID-19 Item List]:[SCL]],MATCH(O$6,DATA_Depts[[#Headers],[COVID-19 Item List]:[SCL]],0),FALSE)=0),IF(VLOOKUP(_xlfn.CONCAT(O$6,$C33),BurnRate!$G$3:$P$1102,10,FALSE)="NR","NR",0),VLOOKUP($C33,DATA_Depts[[#All],[COVID-19 Item List]:[SCL]],MATCH(O$6,DATA_Depts[[#Headers],[COVID-19 Item List]:[SCL]],0),FALSE))</f>
        <v>#N/A</v>
      </c>
      <c r="P33" s="148" t="e">
        <f>IF(VLOOKUP(_xlfn.CONCAT(O$6,$C33),BurnRate!$G$3:$P$1102,10,FALSE)="NR","NR",IF(O33="NR","NR",O33/(VLOOKUP(_xlfn.CONCAT(O$6,$C33),BurnRate!$G$3:$P$1102,10,FALSE)/90)))</f>
        <v>#N/A</v>
      </c>
      <c r="Q33" s="169" t="e">
        <f>IF(SUM(VLOOKUP($C33,DATA_Depts[[#All],[COVID-19 Item List]:[SCL]],MATCH(Q$6,DATA_Depts[[#Headers],[COVID-19 Item List]:[SCL]],0),FALSE)=0),IF(VLOOKUP(_xlfn.CONCAT(Q$6,$C33),BurnRate!$G$3:$P$1102,10,FALSE)="NR","NR",0),VLOOKUP($C33,DATA_Depts[[#All],[COVID-19 Item List]:[SCL]],MATCH(Q$6,DATA_Depts[[#Headers],[COVID-19 Item List]:[SCL]],0),FALSE))</f>
        <v>#N/A</v>
      </c>
      <c r="R33" s="148" t="e">
        <f>IF(VLOOKUP(_xlfn.CONCAT(Q$6,$C33),BurnRate!$G$3:$P$1102,10,FALSE)="NR","NR",IF(Q33="NR","NR",Q33/(VLOOKUP(_xlfn.CONCAT(Q$6,$C33),BurnRate!$G$3:$P$1102,10,FALSE)/90)))</f>
        <v>#N/A</v>
      </c>
      <c r="S33" s="169" t="e">
        <f>IF(SUM(VLOOKUP($C33,DATA_Depts[[#All],[COVID-19 Item List]:[SCL]],MATCH(S$6,DATA_Depts[[#Headers],[COVID-19 Item List]:[SCL]],0),FALSE)=0),IF(VLOOKUP(_xlfn.CONCAT(S$6,$C33),BurnRate!$G$3:$P$1102,10,FALSE)="NR","NR",0),VLOOKUP($C33,DATA_Depts[[#All],[COVID-19 Item List]:[SCL]],MATCH(S$6,DATA_Depts[[#Headers],[COVID-19 Item List]:[SCL]],0),FALSE))</f>
        <v>#N/A</v>
      </c>
      <c r="T33" s="148" t="e">
        <f>IF(VLOOKUP(_xlfn.CONCAT(S$6,$C33),BurnRate!$G$3:$P$1102,10,FALSE)="NR","NR",IF(S33="NR","NR",S33/(VLOOKUP(_xlfn.CONCAT(S$6,$C33),BurnRate!$G$3:$P$1102,10,FALSE)/90)))</f>
        <v>#N/A</v>
      </c>
      <c r="U33" s="169" t="e">
        <f>IF(SUM(VLOOKUP($C33,DATA_Depts[[#All],[COVID-19 Item List]:[SCL]],MATCH(U$6,DATA_Depts[[#Headers],[COVID-19 Item List]:[SCL]],0),FALSE)=0),IF(VLOOKUP(_xlfn.CONCAT(U$6,$C33),BurnRate!$G$3:$P$1102,10,FALSE)="NR","NR",0),VLOOKUP($C33,DATA_Depts[[#All],[COVID-19 Item List]:[SCL]],MATCH(U$6,DATA_Depts[[#Headers],[COVID-19 Item List]:[SCL]],0),FALSE))</f>
        <v>#N/A</v>
      </c>
      <c r="V33" s="148" t="e">
        <f>IF(VLOOKUP(_xlfn.CONCAT(U$6,$C33),BurnRate!$G$3:$P$1102,10,FALSE)="NR","NR",IF(U33="NR","NR",U33/(VLOOKUP(_xlfn.CONCAT(U$6,$C33),BurnRate!$G$3:$P$1102,10,FALSE)/90)))</f>
        <v>#N/A</v>
      </c>
      <c r="W33" s="169" t="e">
        <f>IF(SUM(VLOOKUP($C33,DATA_Depts[[#All],[COVID-19 Item List]:[SCL]],MATCH(W$6,DATA_Depts[[#Headers],[COVID-19 Item List]:[SCL]],0),FALSE)=0),IF(VLOOKUP(_xlfn.CONCAT(W$6,$C33),BurnRate!$G$3:$P$1102,10,FALSE)="NR","NR",0),VLOOKUP($C33,DATA_Depts[[#All],[COVID-19 Item List]:[SCL]],MATCH(W$6,DATA_Depts[[#Headers],[COVID-19 Item List]:[SCL]],0),FALSE))</f>
        <v>#N/A</v>
      </c>
      <c r="X33" s="148" t="e">
        <f>IF(VLOOKUP(_xlfn.CONCAT(W$6,$C33),BurnRate!$G$3:$P$1102,10,FALSE)="NR","NR",IF(W33="NR","NR",W33/(VLOOKUP(_xlfn.CONCAT(W$6,$C33),BurnRate!$G$3:$P$1102,10,FALSE)/90)))</f>
        <v>#N/A</v>
      </c>
      <c r="Y33" s="169" t="e">
        <f>IF(SUM(VLOOKUP($C33,DATA_Depts[[#All],[COVID-19 Item List]:[SCL]],MATCH(Y$6,DATA_Depts[[#Headers],[COVID-19 Item List]:[SCL]],0),FALSE)=0),IF(VLOOKUP(_xlfn.CONCAT(Y$6,$C33),BurnRate!$G$3:$P$1102,10,FALSE)="NR","NR",0),VLOOKUP($C33,DATA_Depts[[#All],[COVID-19 Item List]:[SCL]],MATCH(Y$6,DATA_Depts[[#Headers],[COVID-19 Item List]:[SCL]],0),FALSE))</f>
        <v>#N/A</v>
      </c>
      <c r="Z33" s="148" t="e">
        <f>IF(VLOOKUP(_xlfn.CONCAT(Y$6,$C33),BurnRate!$G$3:$P$1102,10,FALSE)="NR","NR",IF(Y33="NR","NR",Y33/(VLOOKUP(_xlfn.CONCAT(Y$6,$C33),BurnRate!$G$3:$P$1102,10,FALSE)/90)))</f>
        <v>#N/A</v>
      </c>
    </row>
    <row r="34" spans="2:26" s="43" customFormat="1" ht="11" hidden="1">
      <c r="B34" s="46">
        <v>27</v>
      </c>
      <c r="C34" s="47" t="str">
        <f>_xlfn.SINGLE(VLOOKUP(B34,DisplayOrder[#All],2,FALSE))</f>
        <v>Milwaukee XC50 Battery</v>
      </c>
      <c r="D34" s="116" t="str">
        <f>_xlfn.SINGLE(VLOOKUP(B34,DisplayOrder!A:C,3,FALSE))</f>
        <v>each</v>
      </c>
      <c r="E34" s="117" t="e">
        <f>IF(VLOOKUP(_xlfn.CONCAT(E$6,$C34),BurnRate!$G$3:$P$1102,10,FALSE)="NR",IF(SUMIF(FAS_Centralized!K:K,C34,FAS_Centralized!N:N)=0,"NR",SUMIF(FAS_Centralized!K:K,C34,FAS_Centralized!N:N)),SUMIF(FAS_Centralized!K:K,C34,FAS_Centralized!N:N))</f>
        <v>#N/A</v>
      </c>
      <c r="F34" s="148" t="e">
        <f>IF(VLOOKUP(_xlfn.CONCAT(E$6,$C34),BurnRate!$G$3:$P$1102,10,FALSE)="NR","NR",IF(E34="NR","NR",E34/(VLOOKUP(_xlfn.CONCAT(E$6,$C34),BurnRate!$G$3:$P$1102,10,FALSE)/90)))</f>
        <v>#N/A</v>
      </c>
      <c r="G34" s="169" t="e">
        <f>IF(SUM(VLOOKUP($C34,DATA_Depts[[#All],[COVID-19 Item List]:[SCL]],MATCH(G$6,DATA_Depts[[#Headers],[COVID-19 Item List]:[SCL]],0),FALSE)=0),IF(VLOOKUP(_xlfn.CONCAT(G$6,$C34),BurnRate!$G$3:$P$1102,10,FALSE)="NR","NR",0),VLOOKUP($C34,DATA_Depts[[#All],[COVID-19 Item List]:[SCL]],MATCH(G$6,DATA_Depts[[#Headers],[COVID-19 Item List]:[SCL]],0),FALSE))</f>
        <v>#N/A</v>
      </c>
      <c r="H34" s="148" t="e">
        <f>IF(VLOOKUP(_xlfn.CONCAT(G$6,$C34),BurnRate!$G$3:$P$1102,10,FALSE)="NR","NR",IF(G34="NR","NR",G34/(VLOOKUP(_xlfn.CONCAT(G$6,$C34),BurnRate!$G$3:$P$1102,10,FALSE)/90)))</f>
        <v>#N/A</v>
      </c>
      <c r="I34" s="169" t="e">
        <f>IF(SUM(VLOOKUP($C34,DATA_Depts[[#All],[COVID-19 Item List]:[SCL]],MATCH(I$6,DATA_Depts[[#Headers],[COVID-19 Item List]:[SCL]],0),FALSE)=0),IF(VLOOKUP(_xlfn.CONCAT(I$6,$C34),BurnRate!$G$3:$P$1102,10,FALSE)="NR","NR",0),VLOOKUP($C34,DATA_Depts[[#All],[COVID-19 Item List]:[SCL]],MATCH(I$6,DATA_Depts[[#Headers],[COVID-19 Item List]:[SCL]],0),FALSE))</f>
        <v>#N/A</v>
      </c>
      <c r="J34" s="148" t="e">
        <f>IF(VLOOKUP(_xlfn.CONCAT(I$6,$C34),BurnRate!$G$3:$P$1102,10,FALSE)="NR","NR",IF(I34="NR","NR",I34/(VLOOKUP(_xlfn.CONCAT(I$6,$C34),BurnRate!$G$3:$P$1102,10,FALSE)/90)))</f>
        <v>#N/A</v>
      </c>
      <c r="K34" s="169" t="e">
        <f>IF(SUM(VLOOKUP($C34,DATA_Depts[[#All],[COVID-19 Item List]:[SCL]],MATCH(K$6,DATA_Depts[[#Headers],[COVID-19 Item List]:[SCL]],0),FALSE)=0),IF(VLOOKUP(_xlfn.CONCAT(K$6,$C34),BurnRate!$G$3:$P$1102,10,FALSE)="NR","NR",0),VLOOKUP($C34,DATA_Depts[[#All],[COVID-19 Item List]:[SCL]],MATCH(K$6,DATA_Depts[[#Headers],[COVID-19 Item List]:[SCL]],0),FALSE))</f>
        <v>#N/A</v>
      </c>
      <c r="L34" s="148" t="e">
        <f>IF(VLOOKUP(_xlfn.CONCAT(K$6,$C34),BurnRate!$G$3:$P$1102,10,FALSE)="NR","NR",IF(K34="NR","NR",K34/(VLOOKUP(_xlfn.CONCAT(K$6,$C34),BurnRate!$G$3:$P$1102,10,FALSE)/90)))</f>
        <v>#N/A</v>
      </c>
      <c r="M34" s="169" t="e">
        <f>IF(SUM(VLOOKUP($C34,DATA_Depts[[#All],[COVID-19 Item List]:[SCL]],MATCH(M$6,DATA_Depts[[#Headers],[COVID-19 Item List]:[SCL]],0),FALSE)=0),IF(VLOOKUP(_xlfn.CONCAT(M$6,$C34),BurnRate!$G$3:$P$1102,10,FALSE)="NR","NR",0),VLOOKUP($C34,DATA_Depts[[#All],[COVID-19 Item List]:[SCL]],MATCH(M$6,DATA_Depts[[#Headers],[COVID-19 Item List]:[SCL]],0),FALSE))</f>
        <v>#N/A</v>
      </c>
      <c r="N34" s="148" t="e">
        <f>IF(VLOOKUP(_xlfn.CONCAT(M$6,$C34),BurnRate!$G$3:$P$1102,10,FALSE)="NR","NR",IF(M34="NR","NR",M34/(VLOOKUP(_xlfn.CONCAT(M$6,$C34),BurnRate!$G$3:$P$1102,10,FALSE)/90)))</f>
        <v>#N/A</v>
      </c>
      <c r="O34" s="169" t="e">
        <f>IF(SUM(VLOOKUP($C34,DATA_Depts[[#All],[COVID-19 Item List]:[SCL]],MATCH(O$6,DATA_Depts[[#Headers],[COVID-19 Item List]:[SCL]],0),FALSE)=0),IF(VLOOKUP(_xlfn.CONCAT(O$6,$C34),BurnRate!$G$3:$P$1102,10,FALSE)="NR","NR",0),VLOOKUP($C34,DATA_Depts[[#All],[COVID-19 Item List]:[SCL]],MATCH(O$6,DATA_Depts[[#Headers],[COVID-19 Item List]:[SCL]],0),FALSE))</f>
        <v>#N/A</v>
      </c>
      <c r="P34" s="148" t="e">
        <f>IF(VLOOKUP(_xlfn.CONCAT(O$6,$C34),BurnRate!$G$3:$P$1102,10,FALSE)="NR","NR",IF(O34="NR","NR",O34/(VLOOKUP(_xlfn.CONCAT(O$6,$C34),BurnRate!$G$3:$P$1102,10,FALSE)/90)))</f>
        <v>#N/A</v>
      </c>
      <c r="Q34" s="169" t="e">
        <f>IF(SUM(VLOOKUP($C34,DATA_Depts[[#All],[COVID-19 Item List]:[SCL]],MATCH(Q$6,DATA_Depts[[#Headers],[COVID-19 Item List]:[SCL]],0),FALSE)=0),IF(VLOOKUP(_xlfn.CONCAT(Q$6,$C34),BurnRate!$G$3:$P$1102,10,FALSE)="NR","NR",0),VLOOKUP($C34,DATA_Depts[[#All],[COVID-19 Item List]:[SCL]],MATCH(Q$6,DATA_Depts[[#Headers],[COVID-19 Item List]:[SCL]],0),FALSE))</f>
        <v>#N/A</v>
      </c>
      <c r="R34" s="148" t="e">
        <f>IF(VLOOKUP(_xlfn.CONCAT(Q$6,$C34),BurnRate!$G$3:$P$1102,10,FALSE)="NR","NR",IF(Q34="NR","NR",Q34/(VLOOKUP(_xlfn.CONCAT(Q$6,$C34),BurnRate!$G$3:$P$1102,10,FALSE)/90)))</f>
        <v>#N/A</v>
      </c>
      <c r="S34" s="169" t="e">
        <f>IF(SUM(VLOOKUP($C34,DATA_Depts[[#All],[COVID-19 Item List]:[SCL]],MATCH(S$6,DATA_Depts[[#Headers],[COVID-19 Item List]:[SCL]],0),FALSE)=0),IF(VLOOKUP(_xlfn.CONCAT(S$6,$C34),BurnRate!$G$3:$P$1102,10,FALSE)="NR","NR",0),VLOOKUP($C34,DATA_Depts[[#All],[COVID-19 Item List]:[SCL]],MATCH(S$6,DATA_Depts[[#Headers],[COVID-19 Item List]:[SCL]],0),FALSE))</f>
        <v>#N/A</v>
      </c>
      <c r="T34" s="148" t="e">
        <f>IF(VLOOKUP(_xlfn.CONCAT(S$6,$C34),BurnRate!$G$3:$P$1102,10,FALSE)="NR","NR",IF(S34="NR","NR",S34/(VLOOKUP(_xlfn.CONCAT(S$6,$C34),BurnRate!$G$3:$P$1102,10,FALSE)/90)))</f>
        <v>#N/A</v>
      </c>
      <c r="U34" s="169" t="e">
        <f>IF(SUM(VLOOKUP($C34,DATA_Depts[[#All],[COVID-19 Item List]:[SCL]],MATCH(U$6,DATA_Depts[[#Headers],[COVID-19 Item List]:[SCL]],0),FALSE)=0),IF(VLOOKUP(_xlfn.CONCAT(U$6,$C34),BurnRate!$G$3:$P$1102,10,FALSE)="NR","NR",0),VLOOKUP($C34,DATA_Depts[[#All],[COVID-19 Item List]:[SCL]],MATCH(U$6,DATA_Depts[[#Headers],[COVID-19 Item List]:[SCL]],0),FALSE))</f>
        <v>#N/A</v>
      </c>
      <c r="V34" s="148" t="e">
        <f>IF(VLOOKUP(_xlfn.CONCAT(U$6,$C34),BurnRate!$G$3:$P$1102,10,FALSE)="NR","NR",IF(U34="NR","NR",U34/(VLOOKUP(_xlfn.CONCAT(U$6,$C34),BurnRate!$G$3:$P$1102,10,FALSE)/90)))</f>
        <v>#N/A</v>
      </c>
      <c r="W34" s="169" t="e">
        <f>IF(SUM(VLOOKUP($C34,DATA_Depts[[#All],[COVID-19 Item List]:[SCL]],MATCH(W$6,DATA_Depts[[#Headers],[COVID-19 Item List]:[SCL]],0),FALSE)=0),IF(VLOOKUP(_xlfn.CONCAT(W$6,$C34),BurnRate!$G$3:$P$1102,10,FALSE)="NR","NR",0),VLOOKUP($C34,DATA_Depts[[#All],[COVID-19 Item List]:[SCL]],MATCH(W$6,DATA_Depts[[#Headers],[COVID-19 Item List]:[SCL]],0),FALSE))</f>
        <v>#N/A</v>
      </c>
      <c r="X34" s="148" t="e">
        <f>IF(VLOOKUP(_xlfn.CONCAT(W$6,$C34),BurnRate!$G$3:$P$1102,10,FALSE)="NR","NR",IF(W34="NR","NR",W34/(VLOOKUP(_xlfn.CONCAT(W$6,$C34),BurnRate!$G$3:$P$1102,10,FALSE)/90)))</f>
        <v>#N/A</v>
      </c>
      <c r="Y34" s="169" t="e">
        <f>IF(SUM(VLOOKUP($C34,DATA_Depts[[#All],[COVID-19 Item List]:[SCL]],MATCH(Y$6,DATA_Depts[[#Headers],[COVID-19 Item List]:[SCL]],0),FALSE)=0),IF(VLOOKUP(_xlfn.CONCAT(Y$6,$C34),BurnRate!$G$3:$P$1102,10,FALSE)="NR","NR",0),VLOOKUP($C34,DATA_Depts[[#All],[COVID-19 Item List]:[SCL]],MATCH(Y$6,DATA_Depts[[#Headers],[COVID-19 Item List]:[SCL]],0),FALSE))</f>
        <v>#N/A</v>
      </c>
      <c r="Z34" s="148" t="e">
        <f>IF(VLOOKUP(_xlfn.CONCAT(Y$6,$C34),BurnRate!$G$3:$P$1102,10,FALSE)="NR","NR",IF(Y34="NR","NR",Y34/(VLOOKUP(_xlfn.CONCAT(Y$6,$C34),BurnRate!$G$3:$P$1102,10,FALSE)/90)))</f>
        <v>#N/A</v>
      </c>
    </row>
    <row r="35" spans="2:26" s="43" customFormat="1" ht="11" hidden="1">
      <c r="B35" s="46">
        <v>28</v>
      </c>
      <c r="C35" s="47" t="str">
        <f>_xlfn.SINGLE(VLOOKUP(B35,DisplayOrder[#All],2,FALSE))</f>
        <v>Reserved-28</v>
      </c>
      <c r="D35" s="116" t="str">
        <f>_xlfn.SINGLE(VLOOKUP(B35,DisplayOrder!A:C,3,FALSE))</f>
        <v>each</v>
      </c>
      <c r="E35" s="117" t="str">
        <f>IF(VLOOKUP(_xlfn.CONCAT(E$6,$C35),BurnRate!$G$3:$P$1102,10,FALSE)="NR",IF(SUMIF(FAS_Centralized!K:K,C35,FAS_Centralized!N:N)=0,"NR",SUMIF(FAS_Centralized!K:K,C35,FAS_Centralized!N:N)),SUMIF(FAS_Centralized!K:K,C35,FAS_Centralized!N:N))</f>
        <v>NR</v>
      </c>
      <c r="F35" s="148" t="str">
        <f>IF(VLOOKUP(_xlfn.CONCAT(E$6,$C35),BurnRate!$G$3:$P$1102,10,FALSE)="NR","NR",IF(E35="NR","NR",E35/(VLOOKUP(_xlfn.CONCAT(E$6,$C35),BurnRate!$G$3:$P$1102,10,FALSE)/90)))</f>
        <v>NR</v>
      </c>
      <c r="G35" s="169" t="str">
        <f>IF(SUM(VLOOKUP($C35,DATA_Depts[[#All],[COVID-19 Item List]:[SCL]],MATCH(G$6,DATA_Depts[[#Headers],[COVID-19 Item List]:[SCL]],0),FALSE)=0),IF(VLOOKUP(_xlfn.CONCAT(G$6,$C35),BurnRate!$G$3:$P$1102,10,FALSE)="NR","NR",0),VLOOKUP($C35,DATA_Depts[[#All],[COVID-19 Item List]:[SCL]],MATCH(G$6,DATA_Depts[[#Headers],[COVID-19 Item List]:[SCL]],0),FALSE))</f>
        <v>NR</v>
      </c>
      <c r="H35" s="148" t="str">
        <f>IF(VLOOKUP(_xlfn.CONCAT(G$6,$C35),BurnRate!$G$3:$P$1102,10,FALSE)="NR","NR",IF(G35="NR","NR",G35/(VLOOKUP(_xlfn.CONCAT(G$6,$C35),BurnRate!$G$3:$P$1102,10,FALSE)/90)))</f>
        <v>NR</v>
      </c>
      <c r="I35" s="169" t="str">
        <f>IF(SUM(VLOOKUP($C35,DATA_Depts[[#All],[COVID-19 Item List]:[SCL]],MATCH(I$6,DATA_Depts[[#Headers],[COVID-19 Item List]:[SCL]],0),FALSE)=0),IF(VLOOKUP(_xlfn.CONCAT(I$6,$C35),BurnRate!$G$3:$P$1102,10,FALSE)="NR","NR",0),VLOOKUP($C35,DATA_Depts[[#All],[COVID-19 Item List]:[SCL]],MATCH(I$6,DATA_Depts[[#Headers],[COVID-19 Item List]:[SCL]],0),FALSE))</f>
        <v>NR</v>
      </c>
      <c r="J35" s="148" t="str">
        <f>IF(VLOOKUP(_xlfn.CONCAT(I$6,$C35),BurnRate!$G$3:$P$1102,10,FALSE)="NR","NR",IF(I35="NR","NR",I35/(VLOOKUP(_xlfn.CONCAT(I$6,$C35),BurnRate!$G$3:$P$1102,10,FALSE)/90)))</f>
        <v>NR</v>
      </c>
      <c r="K35" s="169" t="str">
        <f>IF(SUM(VLOOKUP($C35,DATA_Depts[[#All],[COVID-19 Item List]:[SCL]],MATCH(K$6,DATA_Depts[[#Headers],[COVID-19 Item List]:[SCL]],0),FALSE)=0),IF(VLOOKUP(_xlfn.CONCAT(K$6,$C35),BurnRate!$G$3:$P$1102,10,FALSE)="NR","NR",0),VLOOKUP($C35,DATA_Depts[[#All],[COVID-19 Item List]:[SCL]],MATCH(K$6,DATA_Depts[[#Headers],[COVID-19 Item List]:[SCL]],0),FALSE))</f>
        <v>NR</v>
      </c>
      <c r="L35" s="148" t="str">
        <f>IF(VLOOKUP(_xlfn.CONCAT(K$6,$C35),BurnRate!$G$3:$P$1102,10,FALSE)="NR","NR",IF(K35="NR","NR",K35/(VLOOKUP(_xlfn.CONCAT(K$6,$C35),BurnRate!$G$3:$P$1102,10,FALSE)/90)))</f>
        <v>NR</v>
      </c>
      <c r="M35" s="169" t="str">
        <f>IF(SUM(VLOOKUP($C35,DATA_Depts[[#All],[COVID-19 Item List]:[SCL]],MATCH(M$6,DATA_Depts[[#Headers],[COVID-19 Item List]:[SCL]],0),FALSE)=0),IF(VLOOKUP(_xlfn.CONCAT(M$6,$C35),BurnRate!$G$3:$P$1102,10,FALSE)="NR","NR",0),VLOOKUP($C35,DATA_Depts[[#All],[COVID-19 Item List]:[SCL]],MATCH(M$6,DATA_Depts[[#Headers],[COVID-19 Item List]:[SCL]],0),FALSE))</f>
        <v>NR</v>
      </c>
      <c r="N35" s="148" t="str">
        <f>IF(VLOOKUP(_xlfn.CONCAT(M$6,$C35),BurnRate!$G$3:$P$1102,10,FALSE)="NR","NR",IF(M35="NR","NR",M35/(VLOOKUP(_xlfn.CONCAT(M$6,$C35),BurnRate!$G$3:$P$1102,10,FALSE)/90)))</f>
        <v>NR</v>
      </c>
      <c r="O35" s="169" t="str">
        <f>IF(SUM(VLOOKUP($C35,DATA_Depts[[#All],[COVID-19 Item List]:[SCL]],MATCH(O$6,DATA_Depts[[#Headers],[COVID-19 Item List]:[SCL]],0),FALSE)=0),IF(VLOOKUP(_xlfn.CONCAT(O$6,$C35),BurnRate!$G$3:$P$1102,10,FALSE)="NR","NR",0),VLOOKUP($C35,DATA_Depts[[#All],[COVID-19 Item List]:[SCL]],MATCH(O$6,DATA_Depts[[#Headers],[COVID-19 Item List]:[SCL]],0),FALSE))</f>
        <v>NR</v>
      </c>
      <c r="P35" s="148" t="str">
        <f>IF(VLOOKUP(_xlfn.CONCAT(O$6,$C35),BurnRate!$G$3:$P$1102,10,FALSE)="NR","NR",IF(O35="NR","NR",O35/(VLOOKUP(_xlfn.CONCAT(O$6,$C35),BurnRate!$G$3:$P$1102,10,FALSE)/90)))</f>
        <v>NR</v>
      </c>
      <c r="Q35" s="169" t="str">
        <f>IF(SUM(VLOOKUP($C35,DATA_Depts[[#All],[COVID-19 Item List]:[SCL]],MATCH(Q$6,DATA_Depts[[#Headers],[COVID-19 Item List]:[SCL]],0),FALSE)=0),IF(VLOOKUP(_xlfn.CONCAT(Q$6,$C35),BurnRate!$G$3:$P$1102,10,FALSE)="NR","NR",0),VLOOKUP($C35,DATA_Depts[[#All],[COVID-19 Item List]:[SCL]],MATCH(Q$6,DATA_Depts[[#Headers],[COVID-19 Item List]:[SCL]],0),FALSE))</f>
        <v>NR</v>
      </c>
      <c r="R35" s="148" t="str">
        <f>IF(VLOOKUP(_xlfn.CONCAT(Q$6,$C35),BurnRate!$G$3:$P$1102,10,FALSE)="NR","NR",IF(Q35="NR","NR",Q35/(VLOOKUP(_xlfn.CONCAT(Q$6,$C35),BurnRate!$G$3:$P$1102,10,FALSE)/90)))</f>
        <v>NR</v>
      </c>
      <c r="S35" s="169" t="str">
        <f>IF(SUM(VLOOKUP($C35,DATA_Depts[[#All],[COVID-19 Item List]:[SCL]],MATCH(S$6,DATA_Depts[[#Headers],[COVID-19 Item List]:[SCL]],0),FALSE)=0),IF(VLOOKUP(_xlfn.CONCAT(S$6,$C35),BurnRate!$G$3:$P$1102,10,FALSE)="NR","NR",0),VLOOKUP($C35,DATA_Depts[[#All],[COVID-19 Item List]:[SCL]],MATCH(S$6,DATA_Depts[[#Headers],[COVID-19 Item List]:[SCL]],0),FALSE))</f>
        <v>NR</v>
      </c>
      <c r="T35" s="148" t="str">
        <f>IF(VLOOKUP(_xlfn.CONCAT(S$6,$C35),BurnRate!$G$3:$P$1102,10,FALSE)="NR","NR",IF(S35="NR","NR",S35/(VLOOKUP(_xlfn.CONCAT(S$6,$C35),BurnRate!$G$3:$P$1102,10,FALSE)/90)))</f>
        <v>NR</v>
      </c>
      <c r="U35" s="169" t="str">
        <f>IF(SUM(VLOOKUP($C35,DATA_Depts[[#All],[COVID-19 Item List]:[SCL]],MATCH(U$6,DATA_Depts[[#Headers],[COVID-19 Item List]:[SCL]],0),FALSE)=0),IF(VLOOKUP(_xlfn.CONCAT(U$6,$C35),BurnRate!$G$3:$P$1102,10,FALSE)="NR","NR",0),VLOOKUP($C35,DATA_Depts[[#All],[COVID-19 Item List]:[SCL]],MATCH(U$6,DATA_Depts[[#Headers],[COVID-19 Item List]:[SCL]],0),FALSE))</f>
        <v>NR</v>
      </c>
      <c r="V35" s="148" t="str">
        <f>IF(VLOOKUP(_xlfn.CONCAT(U$6,$C35),BurnRate!$G$3:$P$1102,10,FALSE)="NR","NR",IF(U35="NR","NR",U35/(VLOOKUP(_xlfn.CONCAT(U$6,$C35),BurnRate!$G$3:$P$1102,10,FALSE)/90)))</f>
        <v>NR</v>
      </c>
      <c r="W35" s="169" t="str">
        <f>IF(SUM(VLOOKUP($C35,DATA_Depts[[#All],[COVID-19 Item List]:[SCL]],MATCH(W$6,DATA_Depts[[#Headers],[COVID-19 Item List]:[SCL]],0),FALSE)=0),IF(VLOOKUP(_xlfn.CONCAT(W$6,$C35),BurnRate!$G$3:$P$1102,10,FALSE)="NR","NR",0),VLOOKUP($C35,DATA_Depts[[#All],[COVID-19 Item List]:[SCL]],MATCH(W$6,DATA_Depts[[#Headers],[COVID-19 Item List]:[SCL]],0),FALSE))</f>
        <v>NR</v>
      </c>
      <c r="X35" s="148" t="str">
        <f>IF(VLOOKUP(_xlfn.CONCAT(W$6,$C35),BurnRate!$G$3:$P$1102,10,FALSE)="NR","NR",IF(W35="NR","NR",W35/(VLOOKUP(_xlfn.CONCAT(W$6,$C35),BurnRate!$G$3:$P$1102,10,FALSE)/90)))</f>
        <v>NR</v>
      </c>
      <c r="Y35" s="169" t="str">
        <f>IF(SUM(VLOOKUP($C35,DATA_Depts[[#All],[COVID-19 Item List]:[SCL]],MATCH(Y$6,DATA_Depts[[#Headers],[COVID-19 Item List]:[SCL]],0),FALSE)=0),IF(VLOOKUP(_xlfn.CONCAT(Y$6,$C35),BurnRate!$G$3:$P$1102,10,FALSE)="NR","NR",0),VLOOKUP($C35,DATA_Depts[[#All],[COVID-19 Item List]:[SCL]],MATCH(Y$6,DATA_Depts[[#Headers],[COVID-19 Item List]:[SCL]],0),FALSE))</f>
        <v>NR</v>
      </c>
      <c r="Z35" s="148" t="str">
        <f>IF(VLOOKUP(_xlfn.CONCAT(Y$6,$C35),BurnRate!$G$3:$P$1102,10,FALSE)="NR","NR",IF(Y35="NR","NR",Y35/(VLOOKUP(_xlfn.CONCAT(Y$6,$C35),BurnRate!$G$3:$P$1102,10,FALSE)/90)))</f>
        <v>NR</v>
      </c>
    </row>
    <row r="36" spans="2:26" s="43" customFormat="1" ht="11" hidden="1">
      <c r="B36" s="46">
        <v>29</v>
      </c>
      <c r="C36" s="47" t="str">
        <f>_xlfn.SINGLE(VLOOKUP(B36,DisplayOrder[#All],2,FALSE))</f>
        <v>Reserved-29</v>
      </c>
      <c r="D36" s="116" t="str">
        <f>_xlfn.SINGLE(VLOOKUP(B36,DisplayOrder!A:C,3,FALSE))</f>
        <v>each</v>
      </c>
      <c r="E36" s="117" t="str">
        <f>IF(VLOOKUP(_xlfn.CONCAT(E$6,$C36),BurnRate!$G$3:$P$1102,10,FALSE)="NR",IF(SUMIF(FAS_Centralized!K:K,C36,FAS_Centralized!N:N)=0,"NR",SUMIF(FAS_Centralized!K:K,C36,FAS_Centralized!N:N)),SUMIF(FAS_Centralized!K:K,C36,FAS_Centralized!N:N))</f>
        <v>NR</v>
      </c>
      <c r="F36" s="148" t="str">
        <f>IF(VLOOKUP(_xlfn.CONCAT(E$6,$C36),BurnRate!$G$3:$P$1102,10,FALSE)="NR","NR",IF(E36="NR","NR",E36/(VLOOKUP(_xlfn.CONCAT(E$6,$C36),BurnRate!$G$3:$P$1102,10,FALSE)/90)))</f>
        <v>NR</v>
      </c>
      <c r="G36" s="169" t="str">
        <f>IF(SUM(VLOOKUP($C36,DATA_Depts[[#All],[COVID-19 Item List]:[SCL]],MATCH(G$6,DATA_Depts[[#Headers],[COVID-19 Item List]:[SCL]],0),FALSE)=0),IF(VLOOKUP(_xlfn.CONCAT(G$6,$C36),BurnRate!$G$3:$P$1102,10,FALSE)="NR","NR",0),VLOOKUP($C36,DATA_Depts[[#All],[COVID-19 Item List]:[SCL]],MATCH(G$6,DATA_Depts[[#Headers],[COVID-19 Item List]:[SCL]],0),FALSE))</f>
        <v>NR</v>
      </c>
      <c r="H36" s="148" t="str">
        <f>IF(VLOOKUP(_xlfn.CONCAT(G$6,$C36),BurnRate!$G$3:$P$1102,10,FALSE)="NR","NR",IF(G36="NR","NR",G36/(VLOOKUP(_xlfn.CONCAT(G$6,$C36),BurnRate!$G$3:$P$1102,10,FALSE)/90)))</f>
        <v>NR</v>
      </c>
      <c r="I36" s="169" t="str">
        <f>IF(SUM(VLOOKUP($C36,DATA_Depts[[#All],[COVID-19 Item List]:[SCL]],MATCH(I$6,DATA_Depts[[#Headers],[COVID-19 Item List]:[SCL]],0),FALSE)=0),IF(VLOOKUP(_xlfn.CONCAT(I$6,$C36),BurnRate!$G$3:$P$1102,10,FALSE)="NR","NR",0),VLOOKUP($C36,DATA_Depts[[#All],[COVID-19 Item List]:[SCL]],MATCH(I$6,DATA_Depts[[#Headers],[COVID-19 Item List]:[SCL]],0),FALSE))</f>
        <v>NR</v>
      </c>
      <c r="J36" s="148" t="str">
        <f>IF(VLOOKUP(_xlfn.CONCAT(I$6,$C36),BurnRate!$G$3:$P$1102,10,FALSE)="NR","NR",IF(I36="NR","NR",I36/(VLOOKUP(_xlfn.CONCAT(I$6,$C36),BurnRate!$G$3:$P$1102,10,FALSE)/90)))</f>
        <v>NR</v>
      </c>
      <c r="K36" s="169" t="str">
        <f>IF(SUM(VLOOKUP($C36,DATA_Depts[[#All],[COVID-19 Item List]:[SCL]],MATCH(K$6,DATA_Depts[[#Headers],[COVID-19 Item List]:[SCL]],0),FALSE)=0),IF(VLOOKUP(_xlfn.CONCAT(K$6,$C36),BurnRate!$G$3:$P$1102,10,FALSE)="NR","NR",0),VLOOKUP($C36,DATA_Depts[[#All],[COVID-19 Item List]:[SCL]],MATCH(K$6,DATA_Depts[[#Headers],[COVID-19 Item List]:[SCL]],0),FALSE))</f>
        <v>NR</v>
      </c>
      <c r="L36" s="148" t="str">
        <f>IF(VLOOKUP(_xlfn.CONCAT(K$6,$C36),BurnRate!$G$3:$P$1102,10,FALSE)="NR","NR",IF(K36="NR","NR",K36/(VLOOKUP(_xlfn.CONCAT(K$6,$C36),BurnRate!$G$3:$P$1102,10,FALSE)/90)))</f>
        <v>NR</v>
      </c>
      <c r="M36" s="169" t="str">
        <f>IF(SUM(VLOOKUP($C36,DATA_Depts[[#All],[COVID-19 Item List]:[SCL]],MATCH(M$6,DATA_Depts[[#Headers],[COVID-19 Item List]:[SCL]],0),FALSE)=0),IF(VLOOKUP(_xlfn.CONCAT(M$6,$C36),BurnRate!$G$3:$P$1102,10,FALSE)="NR","NR",0),VLOOKUP($C36,DATA_Depts[[#All],[COVID-19 Item List]:[SCL]],MATCH(M$6,DATA_Depts[[#Headers],[COVID-19 Item List]:[SCL]],0),FALSE))</f>
        <v>NR</v>
      </c>
      <c r="N36" s="148" t="str">
        <f>IF(VLOOKUP(_xlfn.CONCAT(M$6,$C36),BurnRate!$G$3:$P$1102,10,FALSE)="NR","NR",IF(M36="NR","NR",M36/(VLOOKUP(_xlfn.CONCAT(M$6,$C36),BurnRate!$G$3:$P$1102,10,FALSE)/90)))</f>
        <v>NR</v>
      </c>
      <c r="O36" s="169" t="str">
        <f>IF(SUM(VLOOKUP($C36,DATA_Depts[[#All],[COVID-19 Item List]:[SCL]],MATCH(O$6,DATA_Depts[[#Headers],[COVID-19 Item List]:[SCL]],0),FALSE)=0),IF(VLOOKUP(_xlfn.CONCAT(O$6,$C36),BurnRate!$G$3:$P$1102,10,FALSE)="NR","NR",0),VLOOKUP($C36,DATA_Depts[[#All],[COVID-19 Item List]:[SCL]],MATCH(O$6,DATA_Depts[[#Headers],[COVID-19 Item List]:[SCL]],0),FALSE))</f>
        <v>NR</v>
      </c>
      <c r="P36" s="148" t="str">
        <f>IF(VLOOKUP(_xlfn.CONCAT(O$6,$C36),BurnRate!$G$3:$P$1102,10,FALSE)="NR","NR",IF(O36="NR","NR",O36/(VLOOKUP(_xlfn.CONCAT(O$6,$C36),BurnRate!$G$3:$P$1102,10,FALSE)/90)))</f>
        <v>NR</v>
      </c>
      <c r="Q36" s="169" t="str">
        <f>IF(SUM(VLOOKUP($C36,DATA_Depts[[#All],[COVID-19 Item List]:[SCL]],MATCH(Q$6,DATA_Depts[[#Headers],[COVID-19 Item List]:[SCL]],0),FALSE)=0),IF(VLOOKUP(_xlfn.CONCAT(Q$6,$C36),BurnRate!$G$3:$P$1102,10,FALSE)="NR","NR",0),VLOOKUP($C36,DATA_Depts[[#All],[COVID-19 Item List]:[SCL]],MATCH(Q$6,DATA_Depts[[#Headers],[COVID-19 Item List]:[SCL]],0),FALSE))</f>
        <v>NR</v>
      </c>
      <c r="R36" s="148" t="str">
        <f>IF(VLOOKUP(_xlfn.CONCAT(Q$6,$C36),BurnRate!$G$3:$P$1102,10,FALSE)="NR","NR",IF(Q36="NR","NR",Q36/(VLOOKUP(_xlfn.CONCAT(Q$6,$C36),BurnRate!$G$3:$P$1102,10,FALSE)/90)))</f>
        <v>NR</v>
      </c>
      <c r="S36" s="169" t="str">
        <f>IF(SUM(VLOOKUP($C36,DATA_Depts[[#All],[COVID-19 Item List]:[SCL]],MATCH(S$6,DATA_Depts[[#Headers],[COVID-19 Item List]:[SCL]],0),FALSE)=0),IF(VLOOKUP(_xlfn.CONCAT(S$6,$C36),BurnRate!$G$3:$P$1102,10,FALSE)="NR","NR",0),VLOOKUP($C36,DATA_Depts[[#All],[COVID-19 Item List]:[SCL]],MATCH(S$6,DATA_Depts[[#Headers],[COVID-19 Item List]:[SCL]],0),FALSE))</f>
        <v>NR</v>
      </c>
      <c r="T36" s="148" t="str">
        <f>IF(VLOOKUP(_xlfn.CONCAT(S$6,$C36),BurnRate!$G$3:$P$1102,10,FALSE)="NR","NR",IF(S36="NR","NR",S36/(VLOOKUP(_xlfn.CONCAT(S$6,$C36),BurnRate!$G$3:$P$1102,10,FALSE)/90)))</f>
        <v>NR</v>
      </c>
      <c r="U36" s="169" t="str">
        <f>IF(SUM(VLOOKUP($C36,DATA_Depts[[#All],[COVID-19 Item List]:[SCL]],MATCH(U$6,DATA_Depts[[#Headers],[COVID-19 Item List]:[SCL]],0),FALSE)=0),IF(VLOOKUP(_xlfn.CONCAT(U$6,$C36),BurnRate!$G$3:$P$1102,10,FALSE)="NR","NR",0),VLOOKUP($C36,DATA_Depts[[#All],[COVID-19 Item List]:[SCL]],MATCH(U$6,DATA_Depts[[#Headers],[COVID-19 Item List]:[SCL]],0),FALSE))</f>
        <v>NR</v>
      </c>
      <c r="V36" s="148" t="str">
        <f>IF(VLOOKUP(_xlfn.CONCAT(U$6,$C36),BurnRate!$G$3:$P$1102,10,FALSE)="NR","NR",IF(U36="NR","NR",U36/(VLOOKUP(_xlfn.CONCAT(U$6,$C36),BurnRate!$G$3:$P$1102,10,FALSE)/90)))</f>
        <v>NR</v>
      </c>
      <c r="W36" s="169" t="str">
        <f>IF(SUM(VLOOKUP($C36,DATA_Depts[[#All],[COVID-19 Item List]:[SCL]],MATCH(W$6,DATA_Depts[[#Headers],[COVID-19 Item List]:[SCL]],0),FALSE)=0),IF(VLOOKUP(_xlfn.CONCAT(W$6,$C36),BurnRate!$G$3:$P$1102,10,FALSE)="NR","NR",0),VLOOKUP($C36,DATA_Depts[[#All],[COVID-19 Item List]:[SCL]],MATCH(W$6,DATA_Depts[[#Headers],[COVID-19 Item List]:[SCL]],0),FALSE))</f>
        <v>NR</v>
      </c>
      <c r="X36" s="148" t="str">
        <f>IF(VLOOKUP(_xlfn.CONCAT(W$6,$C36),BurnRate!$G$3:$P$1102,10,FALSE)="NR","NR",IF(W36="NR","NR",W36/(VLOOKUP(_xlfn.CONCAT(W$6,$C36),BurnRate!$G$3:$P$1102,10,FALSE)/90)))</f>
        <v>NR</v>
      </c>
      <c r="Y36" s="169" t="str">
        <f>IF(SUM(VLOOKUP($C36,DATA_Depts[[#All],[COVID-19 Item List]:[SCL]],MATCH(Y$6,DATA_Depts[[#Headers],[COVID-19 Item List]:[SCL]],0),FALSE)=0),IF(VLOOKUP(_xlfn.CONCAT(Y$6,$C36),BurnRate!$G$3:$P$1102,10,FALSE)="NR","NR",0),VLOOKUP($C36,DATA_Depts[[#All],[COVID-19 Item List]:[SCL]],MATCH(Y$6,DATA_Depts[[#Headers],[COVID-19 Item List]:[SCL]],0),FALSE))</f>
        <v>NR</v>
      </c>
      <c r="Z36" s="148" t="str">
        <f>IF(VLOOKUP(_xlfn.CONCAT(Y$6,$C36),BurnRate!$G$3:$P$1102,10,FALSE)="NR","NR",IF(Y36="NR","NR",Y36/(VLOOKUP(_xlfn.CONCAT(Y$6,$C36),BurnRate!$G$3:$P$1102,10,FALSE)/90)))</f>
        <v>NR</v>
      </c>
    </row>
    <row r="37" spans="2:26" s="43" customFormat="1" ht="11" hidden="1">
      <c r="B37" s="46">
        <v>30</v>
      </c>
      <c r="C37" s="47" t="str">
        <f>_xlfn.SINGLE(VLOOKUP(B37,DisplayOrder[#All],2,FALSE))</f>
        <v>Reserved-30</v>
      </c>
      <c r="D37" s="116" t="str">
        <f>_xlfn.SINGLE(VLOOKUP(B37,DisplayOrder!A:C,3,FALSE))</f>
        <v>each</v>
      </c>
      <c r="E37" s="117" t="str">
        <f>IF(VLOOKUP(_xlfn.CONCAT(E$6,$C37),BurnRate!$G$3:$P$1102,10,FALSE)="NR",IF(SUMIF(FAS_Centralized!K:K,C37,FAS_Centralized!N:N)=0,"NR",SUMIF(FAS_Centralized!K:K,C37,FAS_Centralized!N:N)),SUMIF(FAS_Centralized!K:K,C37,FAS_Centralized!N:N))</f>
        <v>NR</v>
      </c>
      <c r="F37" s="148" t="str">
        <f>IF(VLOOKUP(_xlfn.CONCAT(E$6,$C37),BurnRate!$G$3:$P$1102,10,FALSE)="NR","NR",IF(E37="NR","NR",E37/(VLOOKUP(_xlfn.CONCAT(E$6,$C37),BurnRate!$G$3:$P$1102,10,FALSE)/90)))</f>
        <v>NR</v>
      </c>
      <c r="G37" s="169" t="str">
        <f>IF(SUM(VLOOKUP($C37,DATA_Depts[[#All],[COVID-19 Item List]:[SCL]],MATCH(G$6,DATA_Depts[[#Headers],[COVID-19 Item List]:[SCL]],0),FALSE)=0),IF(VLOOKUP(_xlfn.CONCAT(G$6,$C37),BurnRate!$G$3:$P$1102,10,FALSE)="NR","NR",0),VLOOKUP($C37,DATA_Depts[[#All],[COVID-19 Item List]:[SCL]],MATCH(G$6,DATA_Depts[[#Headers],[COVID-19 Item List]:[SCL]],0),FALSE))</f>
        <v>NR</v>
      </c>
      <c r="H37" s="148" t="str">
        <f>IF(VLOOKUP(_xlfn.CONCAT(G$6,$C37),BurnRate!$G$3:$P$1102,10,FALSE)="NR","NR",IF(G37="NR","NR",G37/(VLOOKUP(_xlfn.CONCAT(G$6,$C37),BurnRate!$G$3:$P$1102,10,FALSE)/90)))</f>
        <v>NR</v>
      </c>
      <c r="I37" s="169" t="str">
        <f>IF(SUM(VLOOKUP($C37,DATA_Depts[[#All],[COVID-19 Item List]:[SCL]],MATCH(I$6,DATA_Depts[[#Headers],[COVID-19 Item List]:[SCL]],0),FALSE)=0),IF(VLOOKUP(_xlfn.CONCAT(I$6,$C37),BurnRate!$G$3:$P$1102,10,FALSE)="NR","NR",0),VLOOKUP($C37,DATA_Depts[[#All],[COVID-19 Item List]:[SCL]],MATCH(I$6,DATA_Depts[[#Headers],[COVID-19 Item List]:[SCL]],0),FALSE))</f>
        <v>NR</v>
      </c>
      <c r="J37" s="148" t="str">
        <f>IF(VLOOKUP(_xlfn.CONCAT(I$6,$C37),BurnRate!$G$3:$P$1102,10,FALSE)="NR","NR",IF(I37="NR","NR",I37/(VLOOKUP(_xlfn.CONCAT(I$6,$C37),BurnRate!$G$3:$P$1102,10,FALSE)/90)))</f>
        <v>NR</v>
      </c>
      <c r="K37" s="169" t="str">
        <f>IF(SUM(VLOOKUP($C37,DATA_Depts[[#All],[COVID-19 Item List]:[SCL]],MATCH(K$6,DATA_Depts[[#Headers],[COVID-19 Item List]:[SCL]],0),FALSE)=0),IF(VLOOKUP(_xlfn.CONCAT(K$6,$C37),BurnRate!$G$3:$P$1102,10,FALSE)="NR","NR",0),VLOOKUP($C37,DATA_Depts[[#All],[COVID-19 Item List]:[SCL]],MATCH(K$6,DATA_Depts[[#Headers],[COVID-19 Item List]:[SCL]],0),FALSE))</f>
        <v>NR</v>
      </c>
      <c r="L37" s="148" t="str">
        <f>IF(VLOOKUP(_xlfn.CONCAT(K$6,$C37),BurnRate!$G$3:$P$1102,10,FALSE)="NR","NR",IF(K37="NR","NR",K37/(VLOOKUP(_xlfn.CONCAT(K$6,$C37),BurnRate!$G$3:$P$1102,10,FALSE)/90)))</f>
        <v>NR</v>
      </c>
      <c r="M37" s="169" t="str">
        <f>IF(SUM(VLOOKUP($C37,DATA_Depts[[#All],[COVID-19 Item List]:[SCL]],MATCH(M$6,DATA_Depts[[#Headers],[COVID-19 Item List]:[SCL]],0),FALSE)=0),IF(VLOOKUP(_xlfn.CONCAT(M$6,$C37),BurnRate!$G$3:$P$1102,10,FALSE)="NR","NR",0),VLOOKUP($C37,DATA_Depts[[#All],[COVID-19 Item List]:[SCL]],MATCH(M$6,DATA_Depts[[#Headers],[COVID-19 Item List]:[SCL]],0),FALSE))</f>
        <v>NR</v>
      </c>
      <c r="N37" s="148" t="str">
        <f>IF(VLOOKUP(_xlfn.CONCAT(M$6,$C37),BurnRate!$G$3:$P$1102,10,FALSE)="NR","NR",IF(M37="NR","NR",M37/(VLOOKUP(_xlfn.CONCAT(M$6,$C37),BurnRate!$G$3:$P$1102,10,FALSE)/90)))</f>
        <v>NR</v>
      </c>
      <c r="O37" s="169" t="str">
        <f>IF(SUM(VLOOKUP($C37,DATA_Depts[[#All],[COVID-19 Item List]:[SCL]],MATCH(O$6,DATA_Depts[[#Headers],[COVID-19 Item List]:[SCL]],0),FALSE)=0),IF(VLOOKUP(_xlfn.CONCAT(O$6,$C37),BurnRate!$G$3:$P$1102,10,FALSE)="NR","NR",0),VLOOKUP($C37,DATA_Depts[[#All],[COVID-19 Item List]:[SCL]],MATCH(O$6,DATA_Depts[[#Headers],[COVID-19 Item List]:[SCL]],0),FALSE))</f>
        <v>NR</v>
      </c>
      <c r="P37" s="148" t="str">
        <f>IF(VLOOKUP(_xlfn.CONCAT(O$6,$C37),BurnRate!$G$3:$P$1102,10,FALSE)="NR","NR",IF(O37="NR","NR",O37/(VLOOKUP(_xlfn.CONCAT(O$6,$C37),BurnRate!$G$3:$P$1102,10,FALSE)/90)))</f>
        <v>NR</v>
      </c>
      <c r="Q37" s="169" t="str">
        <f>IF(SUM(VLOOKUP($C37,DATA_Depts[[#All],[COVID-19 Item List]:[SCL]],MATCH(Q$6,DATA_Depts[[#Headers],[COVID-19 Item List]:[SCL]],0),FALSE)=0),IF(VLOOKUP(_xlfn.CONCAT(Q$6,$C37),BurnRate!$G$3:$P$1102,10,FALSE)="NR","NR",0),VLOOKUP($C37,DATA_Depts[[#All],[COVID-19 Item List]:[SCL]],MATCH(Q$6,DATA_Depts[[#Headers],[COVID-19 Item List]:[SCL]],0),FALSE))</f>
        <v>NR</v>
      </c>
      <c r="R37" s="148" t="str">
        <f>IF(VLOOKUP(_xlfn.CONCAT(Q$6,$C37),BurnRate!$G$3:$P$1102,10,FALSE)="NR","NR",IF(Q37="NR","NR",Q37/(VLOOKUP(_xlfn.CONCAT(Q$6,$C37),BurnRate!$G$3:$P$1102,10,FALSE)/90)))</f>
        <v>NR</v>
      </c>
      <c r="S37" s="169" t="str">
        <f>IF(SUM(VLOOKUP($C37,DATA_Depts[[#All],[COVID-19 Item List]:[SCL]],MATCH(S$6,DATA_Depts[[#Headers],[COVID-19 Item List]:[SCL]],0),FALSE)=0),IF(VLOOKUP(_xlfn.CONCAT(S$6,$C37),BurnRate!$G$3:$P$1102,10,FALSE)="NR","NR",0),VLOOKUP($C37,DATA_Depts[[#All],[COVID-19 Item List]:[SCL]],MATCH(S$6,DATA_Depts[[#Headers],[COVID-19 Item List]:[SCL]],0),FALSE))</f>
        <v>NR</v>
      </c>
      <c r="T37" s="148" t="str">
        <f>IF(VLOOKUP(_xlfn.CONCAT(S$6,$C37),BurnRate!$G$3:$P$1102,10,FALSE)="NR","NR",IF(S37="NR","NR",S37/(VLOOKUP(_xlfn.CONCAT(S$6,$C37),BurnRate!$G$3:$P$1102,10,FALSE)/90)))</f>
        <v>NR</v>
      </c>
      <c r="U37" s="169" t="str">
        <f>IF(SUM(VLOOKUP($C37,DATA_Depts[[#All],[COVID-19 Item List]:[SCL]],MATCH(U$6,DATA_Depts[[#Headers],[COVID-19 Item List]:[SCL]],0),FALSE)=0),IF(VLOOKUP(_xlfn.CONCAT(U$6,$C37),BurnRate!$G$3:$P$1102,10,FALSE)="NR","NR",0),VLOOKUP($C37,DATA_Depts[[#All],[COVID-19 Item List]:[SCL]],MATCH(U$6,DATA_Depts[[#Headers],[COVID-19 Item List]:[SCL]],0),FALSE))</f>
        <v>NR</v>
      </c>
      <c r="V37" s="148" t="str">
        <f>IF(VLOOKUP(_xlfn.CONCAT(U$6,$C37),BurnRate!$G$3:$P$1102,10,FALSE)="NR","NR",IF(U37="NR","NR",U37/(VLOOKUP(_xlfn.CONCAT(U$6,$C37),BurnRate!$G$3:$P$1102,10,FALSE)/90)))</f>
        <v>NR</v>
      </c>
      <c r="W37" s="169" t="str">
        <f>IF(SUM(VLOOKUP($C37,DATA_Depts[[#All],[COVID-19 Item List]:[SCL]],MATCH(W$6,DATA_Depts[[#Headers],[COVID-19 Item List]:[SCL]],0),FALSE)=0),IF(VLOOKUP(_xlfn.CONCAT(W$6,$C37),BurnRate!$G$3:$P$1102,10,FALSE)="NR","NR",0),VLOOKUP($C37,DATA_Depts[[#All],[COVID-19 Item List]:[SCL]],MATCH(W$6,DATA_Depts[[#Headers],[COVID-19 Item List]:[SCL]],0),FALSE))</f>
        <v>NR</v>
      </c>
      <c r="X37" s="148" t="str">
        <f>IF(VLOOKUP(_xlfn.CONCAT(W$6,$C37),BurnRate!$G$3:$P$1102,10,FALSE)="NR","NR",IF(W37="NR","NR",W37/(VLOOKUP(_xlfn.CONCAT(W$6,$C37),BurnRate!$G$3:$P$1102,10,FALSE)/90)))</f>
        <v>NR</v>
      </c>
      <c r="Y37" s="169" t="str">
        <f>IF(SUM(VLOOKUP($C37,DATA_Depts[[#All],[COVID-19 Item List]:[SCL]],MATCH(Y$6,DATA_Depts[[#Headers],[COVID-19 Item List]:[SCL]],0),FALSE)=0),IF(VLOOKUP(_xlfn.CONCAT(Y$6,$C37),BurnRate!$G$3:$P$1102,10,FALSE)="NR","NR",0),VLOOKUP($C37,DATA_Depts[[#All],[COVID-19 Item List]:[SCL]],MATCH(Y$6,DATA_Depts[[#Headers],[COVID-19 Item List]:[SCL]],0),FALSE))</f>
        <v>NR</v>
      </c>
      <c r="Z37" s="148" t="str">
        <f>IF(VLOOKUP(_xlfn.CONCAT(Y$6,$C37),BurnRate!$G$3:$P$1102,10,FALSE)="NR","NR",IF(Y37="NR","NR",Y37/(VLOOKUP(_xlfn.CONCAT(Y$6,$C37),BurnRate!$G$3:$P$1102,10,FALSE)/90)))</f>
        <v>NR</v>
      </c>
    </row>
    <row r="38" spans="2:26" s="43" customFormat="1" ht="11" hidden="1">
      <c r="B38" s="46">
        <v>31</v>
      </c>
      <c r="C38" s="47" t="str">
        <f>_xlfn.SINGLE(VLOOKUP(B38,DisplayOrder[#All],2,FALSE))</f>
        <v>Reserved-31</v>
      </c>
      <c r="D38" s="116" t="str">
        <f>_xlfn.SINGLE(VLOOKUP(B38,DisplayOrder!A:C,3,FALSE))</f>
        <v>each</v>
      </c>
      <c r="E38" s="117" t="str">
        <f>IF(VLOOKUP(_xlfn.CONCAT(E$6,$C38),BurnRate!$G$3:$P$1102,10,FALSE)="NR",IF(SUMIF(FAS_Centralized!K:K,C38,FAS_Centralized!N:N)=0,"NR",SUMIF(FAS_Centralized!K:K,C38,FAS_Centralized!N:N)),SUMIF(FAS_Centralized!K:K,C38,FAS_Centralized!N:N))</f>
        <v>NR</v>
      </c>
      <c r="F38" s="148" t="str">
        <f>IF(VLOOKUP(_xlfn.CONCAT(E$6,$C38),BurnRate!$G$3:$P$1102,10,FALSE)="NR","NR",IF(E38="NR","NR",E38/(VLOOKUP(_xlfn.CONCAT(E$6,$C38),BurnRate!$G$3:$P$1102,10,FALSE)/90)))</f>
        <v>NR</v>
      </c>
      <c r="G38" s="169" t="str">
        <f>IF(SUM(VLOOKUP($C38,DATA_Depts[[#All],[COVID-19 Item List]:[SCL]],MATCH(G$6,DATA_Depts[[#Headers],[COVID-19 Item List]:[SCL]],0),FALSE)=0),IF(VLOOKUP(_xlfn.CONCAT(G$6,$C38),BurnRate!$G$3:$P$1102,10,FALSE)="NR","NR",0),VLOOKUP($C38,DATA_Depts[[#All],[COVID-19 Item List]:[SCL]],MATCH(G$6,DATA_Depts[[#Headers],[COVID-19 Item List]:[SCL]],0),FALSE))</f>
        <v>NR</v>
      </c>
      <c r="H38" s="148" t="str">
        <f>IF(VLOOKUP(_xlfn.CONCAT(G$6,$C38),BurnRate!$G$3:$P$1102,10,FALSE)="NR","NR",IF(G38="NR","NR",G38/(VLOOKUP(_xlfn.CONCAT(G$6,$C38),BurnRate!$G$3:$P$1102,10,FALSE)/90)))</f>
        <v>NR</v>
      </c>
      <c r="I38" s="169" t="str">
        <f>IF(SUM(VLOOKUP($C38,DATA_Depts[[#All],[COVID-19 Item List]:[SCL]],MATCH(I$6,DATA_Depts[[#Headers],[COVID-19 Item List]:[SCL]],0),FALSE)=0),IF(VLOOKUP(_xlfn.CONCAT(I$6,$C38),BurnRate!$G$3:$P$1102,10,FALSE)="NR","NR",0),VLOOKUP($C38,DATA_Depts[[#All],[COVID-19 Item List]:[SCL]],MATCH(I$6,DATA_Depts[[#Headers],[COVID-19 Item List]:[SCL]],0),FALSE))</f>
        <v>NR</v>
      </c>
      <c r="J38" s="148" t="str">
        <f>IF(VLOOKUP(_xlfn.CONCAT(I$6,$C38),BurnRate!$G$3:$P$1102,10,FALSE)="NR","NR",IF(I38="NR","NR",I38/(VLOOKUP(_xlfn.CONCAT(I$6,$C38),BurnRate!$G$3:$P$1102,10,FALSE)/90)))</f>
        <v>NR</v>
      </c>
      <c r="K38" s="169" t="str">
        <f>IF(SUM(VLOOKUP($C38,DATA_Depts[[#All],[COVID-19 Item List]:[SCL]],MATCH(K$6,DATA_Depts[[#Headers],[COVID-19 Item List]:[SCL]],0),FALSE)=0),IF(VLOOKUP(_xlfn.CONCAT(K$6,$C38),BurnRate!$G$3:$P$1102,10,FALSE)="NR","NR",0),VLOOKUP($C38,DATA_Depts[[#All],[COVID-19 Item List]:[SCL]],MATCH(K$6,DATA_Depts[[#Headers],[COVID-19 Item List]:[SCL]],0),FALSE))</f>
        <v>NR</v>
      </c>
      <c r="L38" s="148" t="str">
        <f>IF(VLOOKUP(_xlfn.CONCAT(K$6,$C38),BurnRate!$G$3:$P$1102,10,FALSE)="NR","NR",IF(K38="NR","NR",K38/(VLOOKUP(_xlfn.CONCAT(K$6,$C38),BurnRate!$G$3:$P$1102,10,FALSE)/90)))</f>
        <v>NR</v>
      </c>
      <c r="M38" s="169" t="str">
        <f>IF(SUM(VLOOKUP($C38,DATA_Depts[[#All],[COVID-19 Item List]:[SCL]],MATCH(M$6,DATA_Depts[[#Headers],[COVID-19 Item List]:[SCL]],0),FALSE)=0),IF(VLOOKUP(_xlfn.CONCAT(M$6,$C38),BurnRate!$G$3:$P$1102,10,FALSE)="NR","NR",0),VLOOKUP($C38,DATA_Depts[[#All],[COVID-19 Item List]:[SCL]],MATCH(M$6,DATA_Depts[[#Headers],[COVID-19 Item List]:[SCL]],0),FALSE))</f>
        <v>NR</v>
      </c>
      <c r="N38" s="148" t="str">
        <f>IF(VLOOKUP(_xlfn.CONCAT(M$6,$C38),BurnRate!$G$3:$P$1102,10,FALSE)="NR","NR",IF(M38="NR","NR",M38/(VLOOKUP(_xlfn.CONCAT(M$6,$C38),BurnRate!$G$3:$P$1102,10,FALSE)/90)))</f>
        <v>NR</v>
      </c>
      <c r="O38" s="169" t="str">
        <f>IF(SUM(VLOOKUP($C38,DATA_Depts[[#All],[COVID-19 Item List]:[SCL]],MATCH(O$6,DATA_Depts[[#Headers],[COVID-19 Item List]:[SCL]],0),FALSE)=0),IF(VLOOKUP(_xlfn.CONCAT(O$6,$C38),BurnRate!$G$3:$P$1102,10,FALSE)="NR","NR",0),VLOOKUP($C38,DATA_Depts[[#All],[COVID-19 Item List]:[SCL]],MATCH(O$6,DATA_Depts[[#Headers],[COVID-19 Item List]:[SCL]],0),FALSE))</f>
        <v>NR</v>
      </c>
      <c r="P38" s="148" t="str">
        <f>IF(VLOOKUP(_xlfn.CONCAT(O$6,$C38),BurnRate!$G$3:$P$1102,10,FALSE)="NR","NR",IF(O38="NR","NR",O38/(VLOOKUP(_xlfn.CONCAT(O$6,$C38),BurnRate!$G$3:$P$1102,10,FALSE)/90)))</f>
        <v>NR</v>
      </c>
      <c r="Q38" s="169" t="str">
        <f>IF(SUM(VLOOKUP($C38,DATA_Depts[[#All],[COVID-19 Item List]:[SCL]],MATCH(Q$6,DATA_Depts[[#Headers],[COVID-19 Item List]:[SCL]],0),FALSE)=0),IF(VLOOKUP(_xlfn.CONCAT(Q$6,$C38),BurnRate!$G$3:$P$1102,10,FALSE)="NR","NR",0),VLOOKUP($C38,DATA_Depts[[#All],[COVID-19 Item List]:[SCL]],MATCH(Q$6,DATA_Depts[[#Headers],[COVID-19 Item List]:[SCL]],0),FALSE))</f>
        <v>NR</v>
      </c>
      <c r="R38" s="148" t="str">
        <f>IF(VLOOKUP(_xlfn.CONCAT(Q$6,$C38),BurnRate!$G$3:$P$1102,10,FALSE)="NR","NR",IF(Q38="NR","NR",Q38/(VLOOKUP(_xlfn.CONCAT(Q$6,$C38),BurnRate!$G$3:$P$1102,10,FALSE)/90)))</f>
        <v>NR</v>
      </c>
      <c r="S38" s="169" t="str">
        <f>IF(SUM(VLOOKUP($C38,DATA_Depts[[#All],[COVID-19 Item List]:[SCL]],MATCH(S$6,DATA_Depts[[#Headers],[COVID-19 Item List]:[SCL]],0),FALSE)=0),IF(VLOOKUP(_xlfn.CONCAT(S$6,$C38),BurnRate!$G$3:$P$1102,10,FALSE)="NR","NR",0),VLOOKUP($C38,DATA_Depts[[#All],[COVID-19 Item List]:[SCL]],MATCH(S$6,DATA_Depts[[#Headers],[COVID-19 Item List]:[SCL]],0),FALSE))</f>
        <v>NR</v>
      </c>
      <c r="T38" s="148" t="str">
        <f>IF(VLOOKUP(_xlfn.CONCAT(S$6,$C38),BurnRate!$G$3:$P$1102,10,FALSE)="NR","NR",IF(S38="NR","NR",S38/(VLOOKUP(_xlfn.CONCAT(S$6,$C38),BurnRate!$G$3:$P$1102,10,FALSE)/90)))</f>
        <v>NR</v>
      </c>
      <c r="U38" s="169" t="str">
        <f>IF(SUM(VLOOKUP($C38,DATA_Depts[[#All],[COVID-19 Item List]:[SCL]],MATCH(U$6,DATA_Depts[[#Headers],[COVID-19 Item List]:[SCL]],0),FALSE)=0),IF(VLOOKUP(_xlfn.CONCAT(U$6,$C38),BurnRate!$G$3:$P$1102,10,FALSE)="NR","NR",0),VLOOKUP($C38,DATA_Depts[[#All],[COVID-19 Item List]:[SCL]],MATCH(U$6,DATA_Depts[[#Headers],[COVID-19 Item List]:[SCL]],0),FALSE))</f>
        <v>NR</v>
      </c>
      <c r="V38" s="148" t="str">
        <f>IF(VLOOKUP(_xlfn.CONCAT(U$6,$C38),BurnRate!$G$3:$P$1102,10,FALSE)="NR","NR",IF(U38="NR","NR",U38/(VLOOKUP(_xlfn.CONCAT(U$6,$C38),BurnRate!$G$3:$P$1102,10,FALSE)/90)))</f>
        <v>NR</v>
      </c>
      <c r="W38" s="169" t="str">
        <f>IF(SUM(VLOOKUP($C38,DATA_Depts[[#All],[COVID-19 Item List]:[SCL]],MATCH(W$6,DATA_Depts[[#Headers],[COVID-19 Item List]:[SCL]],0),FALSE)=0),IF(VLOOKUP(_xlfn.CONCAT(W$6,$C38),BurnRate!$G$3:$P$1102,10,FALSE)="NR","NR",0),VLOOKUP($C38,DATA_Depts[[#All],[COVID-19 Item List]:[SCL]],MATCH(W$6,DATA_Depts[[#Headers],[COVID-19 Item List]:[SCL]],0),FALSE))</f>
        <v>NR</v>
      </c>
      <c r="X38" s="148" t="str">
        <f>IF(VLOOKUP(_xlfn.CONCAT(W$6,$C38),BurnRate!$G$3:$P$1102,10,FALSE)="NR","NR",IF(W38="NR","NR",W38/(VLOOKUP(_xlfn.CONCAT(W$6,$C38),BurnRate!$G$3:$P$1102,10,FALSE)/90)))</f>
        <v>NR</v>
      </c>
      <c r="Y38" s="169" t="str">
        <f>IF(SUM(VLOOKUP($C38,DATA_Depts[[#All],[COVID-19 Item List]:[SCL]],MATCH(Y$6,DATA_Depts[[#Headers],[COVID-19 Item List]:[SCL]],0),FALSE)=0),IF(VLOOKUP(_xlfn.CONCAT(Y$6,$C38),BurnRate!$G$3:$P$1102,10,FALSE)="NR","NR",0),VLOOKUP($C38,DATA_Depts[[#All],[COVID-19 Item List]:[SCL]],MATCH(Y$6,DATA_Depts[[#Headers],[COVID-19 Item List]:[SCL]],0),FALSE))</f>
        <v>NR</v>
      </c>
      <c r="Z38" s="148" t="str">
        <f>IF(VLOOKUP(_xlfn.CONCAT(Y$6,$C38),BurnRate!$G$3:$P$1102,10,FALSE)="NR","NR",IF(Y38="NR","NR",Y38/(VLOOKUP(_xlfn.CONCAT(Y$6,$C38),BurnRate!$G$3:$P$1102,10,FALSE)/90)))</f>
        <v>NR</v>
      </c>
    </row>
    <row r="39" spans="2:26" s="43" customFormat="1" ht="11" hidden="1">
      <c r="B39" s="46">
        <v>32</v>
      </c>
      <c r="C39" s="47" t="str">
        <f>_xlfn.SINGLE(VLOOKUP(B39,DisplayOrder[#All],2,FALSE))</f>
        <v>Reserved-32</v>
      </c>
      <c r="D39" s="116" t="str">
        <f>_xlfn.SINGLE(VLOOKUP(B39,DisplayOrder!A:C,3,FALSE))</f>
        <v>each</v>
      </c>
      <c r="E39" s="117" t="str">
        <f>IF(VLOOKUP(_xlfn.CONCAT(E$6,$C39),BurnRate!$G$3:$P$1102,10,FALSE)="NR",IF(SUMIF(FAS_Centralized!K:K,C39,FAS_Centralized!N:N)=0,"NR",SUMIF(FAS_Centralized!K:K,C39,FAS_Centralized!N:N)),SUMIF(FAS_Centralized!K:K,C39,FAS_Centralized!N:N))</f>
        <v>NR</v>
      </c>
      <c r="F39" s="148" t="str">
        <f>IF(VLOOKUP(_xlfn.CONCAT(E$6,$C39),BurnRate!$G$3:$P$1102,10,FALSE)="NR","NR",IF(E39="NR","NR",E39/(VLOOKUP(_xlfn.CONCAT(E$6,$C39),BurnRate!$G$3:$P$1102,10,FALSE)/90)))</f>
        <v>NR</v>
      </c>
      <c r="G39" s="169" t="str">
        <f>IF(SUM(VLOOKUP($C39,DATA_Depts[[#All],[COVID-19 Item List]:[SCL]],MATCH(G$6,DATA_Depts[[#Headers],[COVID-19 Item List]:[SCL]],0),FALSE)=0),IF(VLOOKUP(_xlfn.CONCAT(G$6,$C39),BurnRate!$G$3:$P$1102,10,FALSE)="NR","NR",0),VLOOKUP($C39,DATA_Depts[[#All],[COVID-19 Item List]:[SCL]],MATCH(G$6,DATA_Depts[[#Headers],[COVID-19 Item List]:[SCL]],0),FALSE))</f>
        <v>NR</v>
      </c>
      <c r="H39" s="148" t="str">
        <f>IF(VLOOKUP(_xlfn.CONCAT(G$6,$C39),BurnRate!$G$3:$P$1102,10,FALSE)="NR","NR",IF(G39="NR","NR",G39/(VLOOKUP(_xlfn.CONCAT(G$6,$C39),BurnRate!$G$3:$P$1102,10,FALSE)/90)))</f>
        <v>NR</v>
      </c>
      <c r="I39" s="169" t="str">
        <f>IF(SUM(VLOOKUP($C39,DATA_Depts[[#All],[COVID-19 Item List]:[SCL]],MATCH(I$6,DATA_Depts[[#Headers],[COVID-19 Item List]:[SCL]],0),FALSE)=0),IF(VLOOKUP(_xlfn.CONCAT(I$6,$C39),BurnRate!$G$3:$P$1102,10,FALSE)="NR","NR",0),VLOOKUP($C39,DATA_Depts[[#All],[COVID-19 Item List]:[SCL]],MATCH(I$6,DATA_Depts[[#Headers],[COVID-19 Item List]:[SCL]],0),FALSE))</f>
        <v>NR</v>
      </c>
      <c r="J39" s="148" t="str">
        <f>IF(VLOOKUP(_xlfn.CONCAT(I$6,$C39),BurnRate!$G$3:$P$1102,10,FALSE)="NR","NR",IF(I39="NR","NR",I39/(VLOOKUP(_xlfn.CONCAT(I$6,$C39),BurnRate!$G$3:$P$1102,10,FALSE)/90)))</f>
        <v>NR</v>
      </c>
      <c r="K39" s="169" t="str">
        <f>IF(SUM(VLOOKUP($C39,DATA_Depts[[#All],[COVID-19 Item List]:[SCL]],MATCH(K$6,DATA_Depts[[#Headers],[COVID-19 Item List]:[SCL]],0),FALSE)=0),IF(VLOOKUP(_xlfn.CONCAT(K$6,$C39),BurnRate!$G$3:$P$1102,10,FALSE)="NR","NR",0),VLOOKUP($C39,DATA_Depts[[#All],[COVID-19 Item List]:[SCL]],MATCH(K$6,DATA_Depts[[#Headers],[COVID-19 Item List]:[SCL]],0),FALSE))</f>
        <v>NR</v>
      </c>
      <c r="L39" s="148" t="str">
        <f>IF(VLOOKUP(_xlfn.CONCAT(K$6,$C39),BurnRate!$G$3:$P$1102,10,FALSE)="NR","NR",IF(K39="NR","NR",K39/(VLOOKUP(_xlfn.CONCAT(K$6,$C39),BurnRate!$G$3:$P$1102,10,FALSE)/90)))</f>
        <v>NR</v>
      </c>
      <c r="M39" s="169" t="str">
        <f>IF(SUM(VLOOKUP($C39,DATA_Depts[[#All],[COVID-19 Item List]:[SCL]],MATCH(M$6,DATA_Depts[[#Headers],[COVID-19 Item List]:[SCL]],0),FALSE)=0),IF(VLOOKUP(_xlfn.CONCAT(M$6,$C39),BurnRate!$G$3:$P$1102,10,FALSE)="NR","NR",0),VLOOKUP($C39,DATA_Depts[[#All],[COVID-19 Item List]:[SCL]],MATCH(M$6,DATA_Depts[[#Headers],[COVID-19 Item List]:[SCL]],0),FALSE))</f>
        <v>NR</v>
      </c>
      <c r="N39" s="148" t="str">
        <f>IF(VLOOKUP(_xlfn.CONCAT(M$6,$C39),BurnRate!$G$3:$P$1102,10,FALSE)="NR","NR",IF(M39="NR","NR",M39/(VLOOKUP(_xlfn.CONCAT(M$6,$C39),BurnRate!$G$3:$P$1102,10,FALSE)/90)))</f>
        <v>NR</v>
      </c>
      <c r="O39" s="169" t="str">
        <f>IF(SUM(VLOOKUP($C39,DATA_Depts[[#All],[COVID-19 Item List]:[SCL]],MATCH(O$6,DATA_Depts[[#Headers],[COVID-19 Item List]:[SCL]],0),FALSE)=0),IF(VLOOKUP(_xlfn.CONCAT(O$6,$C39),BurnRate!$G$3:$P$1102,10,FALSE)="NR","NR",0),VLOOKUP($C39,DATA_Depts[[#All],[COVID-19 Item List]:[SCL]],MATCH(O$6,DATA_Depts[[#Headers],[COVID-19 Item List]:[SCL]],0),FALSE))</f>
        <v>NR</v>
      </c>
      <c r="P39" s="148" t="str">
        <f>IF(VLOOKUP(_xlfn.CONCAT(O$6,$C39),BurnRate!$G$3:$P$1102,10,FALSE)="NR","NR",IF(O39="NR","NR",O39/(VLOOKUP(_xlfn.CONCAT(O$6,$C39),BurnRate!$G$3:$P$1102,10,FALSE)/90)))</f>
        <v>NR</v>
      </c>
      <c r="Q39" s="169" t="str">
        <f>IF(SUM(VLOOKUP($C39,DATA_Depts[[#All],[COVID-19 Item List]:[SCL]],MATCH(Q$6,DATA_Depts[[#Headers],[COVID-19 Item List]:[SCL]],0),FALSE)=0),IF(VLOOKUP(_xlfn.CONCAT(Q$6,$C39),BurnRate!$G$3:$P$1102,10,FALSE)="NR","NR",0),VLOOKUP($C39,DATA_Depts[[#All],[COVID-19 Item List]:[SCL]],MATCH(Q$6,DATA_Depts[[#Headers],[COVID-19 Item List]:[SCL]],0),FALSE))</f>
        <v>NR</v>
      </c>
      <c r="R39" s="148" t="str">
        <f>IF(VLOOKUP(_xlfn.CONCAT(Q$6,$C39),BurnRate!$G$3:$P$1102,10,FALSE)="NR","NR",IF(Q39="NR","NR",Q39/(VLOOKUP(_xlfn.CONCAT(Q$6,$C39),BurnRate!$G$3:$P$1102,10,FALSE)/90)))</f>
        <v>NR</v>
      </c>
      <c r="S39" s="169" t="str">
        <f>IF(SUM(VLOOKUP($C39,DATA_Depts[[#All],[COVID-19 Item List]:[SCL]],MATCH(S$6,DATA_Depts[[#Headers],[COVID-19 Item List]:[SCL]],0),FALSE)=0),IF(VLOOKUP(_xlfn.CONCAT(S$6,$C39),BurnRate!$G$3:$P$1102,10,FALSE)="NR","NR",0),VLOOKUP($C39,DATA_Depts[[#All],[COVID-19 Item List]:[SCL]],MATCH(S$6,DATA_Depts[[#Headers],[COVID-19 Item List]:[SCL]],0),FALSE))</f>
        <v>NR</v>
      </c>
      <c r="T39" s="148" t="str">
        <f>IF(VLOOKUP(_xlfn.CONCAT(S$6,$C39),BurnRate!$G$3:$P$1102,10,FALSE)="NR","NR",IF(S39="NR","NR",S39/(VLOOKUP(_xlfn.CONCAT(S$6,$C39),BurnRate!$G$3:$P$1102,10,FALSE)/90)))</f>
        <v>NR</v>
      </c>
      <c r="U39" s="169" t="str">
        <f>IF(SUM(VLOOKUP($C39,DATA_Depts[[#All],[COVID-19 Item List]:[SCL]],MATCH(U$6,DATA_Depts[[#Headers],[COVID-19 Item List]:[SCL]],0),FALSE)=0),IF(VLOOKUP(_xlfn.CONCAT(U$6,$C39),BurnRate!$G$3:$P$1102,10,FALSE)="NR","NR",0),VLOOKUP($C39,DATA_Depts[[#All],[COVID-19 Item List]:[SCL]],MATCH(U$6,DATA_Depts[[#Headers],[COVID-19 Item List]:[SCL]],0),FALSE))</f>
        <v>NR</v>
      </c>
      <c r="V39" s="148" t="str">
        <f>IF(VLOOKUP(_xlfn.CONCAT(U$6,$C39),BurnRate!$G$3:$P$1102,10,FALSE)="NR","NR",IF(U39="NR","NR",U39/(VLOOKUP(_xlfn.CONCAT(U$6,$C39),BurnRate!$G$3:$P$1102,10,FALSE)/90)))</f>
        <v>NR</v>
      </c>
      <c r="W39" s="169" t="str">
        <f>IF(SUM(VLOOKUP($C39,DATA_Depts[[#All],[COVID-19 Item List]:[SCL]],MATCH(W$6,DATA_Depts[[#Headers],[COVID-19 Item List]:[SCL]],0),FALSE)=0),IF(VLOOKUP(_xlfn.CONCAT(W$6,$C39),BurnRate!$G$3:$P$1102,10,FALSE)="NR","NR",0),VLOOKUP($C39,DATA_Depts[[#All],[COVID-19 Item List]:[SCL]],MATCH(W$6,DATA_Depts[[#Headers],[COVID-19 Item List]:[SCL]],0),FALSE))</f>
        <v>NR</v>
      </c>
      <c r="X39" s="148" t="str">
        <f>IF(VLOOKUP(_xlfn.CONCAT(W$6,$C39),BurnRate!$G$3:$P$1102,10,FALSE)="NR","NR",IF(W39="NR","NR",W39/(VLOOKUP(_xlfn.CONCAT(W$6,$C39),BurnRate!$G$3:$P$1102,10,FALSE)/90)))</f>
        <v>NR</v>
      </c>
      <c r="Y39" s="169" t="str">
        <f>IF(SUM(VLOOKUP($C39,DATA_Depts[[#All],[COVID-19 Item List]:[SCL]],MATCH(Y$6,DATA_Depts[[#Headers],[COVID-19 Item List]:[SCL]],0),FALSE)=0),IF(VLOOKUP(_xlfn.CONCAT(Y$6,$C39),BurnRate!$G$3:$P$1102,10,FALSE)="NR","NR",0),VLOOKUP($C39,DATA_Depts[[#All],[COVID-19 Item List]:[SCL]],MATCH(Y$6,DATA_Depts[[#Headers],[COVID-19 Item List]:[SCL]],0),FALSE))</f>
        <v>NR</v>
      </c>
      <c r="Z39" s="148" t="str">
        <f>IF(VLOOKUP(_xlfn.CONCAT(Y$6,$C39),BurnRate!$G$3:$P$1102,10,FALSE)="NR","NR",IF(Y39="NR","NR",Y39/(VLOOKUP(_xlfn.CONCAT(Y$6,$C39),BurnRate!$G$3:$P$1102,10,FALSE)/90)))</f>
        <v>NR</v>
      </c>
    </row>
    <row r="40" spans="2:26" s="43" customFormat="1" ht="11" hidden="1">
      <c r="B40" s="46">
        <v>33</v>
      </c>
      <c r="C40" s="47" t="str">
        <f>_xlfn.SINGLE(VLOOKUP(B40,DisplayOrder[#All],2,FALSE))</f>
        <v>Reserved-33</v>
      </c>
      <c r="D40" s="116" t="str">
        <f>_xlfn.SINGLE(VLOOKUP(B40,DisplayOrder!A:C,3,FALSE))</f>
        <v>each</v>
      </c>
      <c r="E40" s="117" t="str">
        <f>IF(VLOOKUP(_xlfn.CONCAT(E$6,$C40),BurnRate!$G$3:$P$1102,10,FALSE)="NR",IF(SUMIF(FAS_Centralized!K:K,C40,FAS_Centralized!N:N)=0,"NR",SUMIF(FAS_Centralized!K:K,C40,FAS_Centralized!N:N)),SUMIF(FAS_Centralized!K:K,C40,FAS_Centralized!N:N))</f>
        <v>NR</v>
      </c>
      <c r="F40" s="148" t="str">
        <f>IF(VLOOKUP(_xlfn.CONCAT(E$6,$C40),BurnRate!$G$3:$P$1102,10,FALSE)="NR","NR",IF(E40="NR","NR",E40/(VLOOKUP(_xlfn.CONCAT(E$6,$C40),BurnRate!$G$3:$P$1102,10,FALSE)/90)))</f>
        <v>NR</v>
      </c>
      <c r="G40" s="169" t="str">
        <f>IF(SUM(VLOOKUP($C40,DATA_Depts[[#All],[COVID-19 Item List]:[SCL]],MATCH(G$6,DATA_Depts[[#Headers],[COVID-19 Item List]:[SCL]],0),FALSE)=0),IF(VLOOKUP(_xlfn.CONCAT(G$6,$C40),BurnRate!$G$3:$P$1102,10,FALSE)="NR","NR",0),VLOOKUP($C40,DATA_Depts[[#All],[COVID-19 Item List]:[SCL]],MATCH(G$6,DATA_Depts[[#Headers],[COVID-19 Item List]:[SCL]],0),FALSE))</f>
        <v>NR</v>
      </c>
      <c r="H40" s="148" t="str">
        <f>IF(VLOOKUP(_xlfn.CONCAT(G$6,$C40),BurnRate!$G$3:$P$1102,10,FALSE)="NR","NR",IF(G40="NR","NR",G40/(VLOOKUP(_xlfn.CONCAT(G$6,$C40),BurnRate!$G$3:$P$1102,10,FALSE)/90)))</f>
        <v>NR</v>
      </c>
      <c r="I40" s="169" t="str">
        <f>IF(SUM(VLOOKUP($C40,DATA_Depts[[#All],[COVID-19 Item List]:[SCL]],MATCH(I$6,DATA_Depts[[#Headers],[COVID-19 Item List]:[SCL]],0),FALSE)=0),IF(VLOOKUP(_xlfn.CONCAT(I$6,$C40),BurnRate!$G$3:$P$1102,10,FALSE)="NR","NR",0),VLOOKUP($C40,DATA_Depts[[#All],[COVID-19 Item List]:[SCL]],MATCH(I$6,DATA_Depts[[#Headers],[COVID-19 Item List]:[SCL]],0),FALSE))</f>
        <v>NR</v>
      </c>
      <c r="J40" s="148" t="str">
        <f>IF(VLOOKUP(_xlfn.CONCAT(I$6,$C40),BurnRate!$G$3:$P$1102,10,FALSE)="NR","NR",IF(I40="NR","NR",I40/(VLOOKUP(_xlfn.CONCAT(I$6,$C40),BurnRate!$G$3:$P$1102,10,FALSE)/90)))</f>
        <v>NR</v>
      </c>
      <c r="K40" s="169" t="str">
        <f>IF(SUM(VLOOKUP($C40,DATA_Depts[[#All],[COVID-19 Item List]:[SCL]],MATCH(K$6,DATA_Depts[[#Headers],[COVID-19 Item List]:[SCL]],0),FALSE)=0),IF(VLOOKUP(_xlfn.CONCAT(K$6,$C40),BurnRate!$G$3:$P$1102,10,FALSE)="NR","NR",0),VLOOKUP($C40,DATA_Depts[[#All],[COVID-19 Item List]:[SCL]],MATCH(K$6,DATA_Depts[[#Headers],[COVID-19 Item List]:[SCL]],0),FALSE))</f>
        <v>NR</v>
      </c>
      <c r="L40" s="148" t="str">
        <f>IF(VLOOKUP(_xlfn.CONCAT(K$6,$C40),BurnRate!$G$3:$P$1102,10,FALSE)="NR","NR",IF(K40="NR","NR",K40/(VLOOKUP(_xlfn.CONCAT(K$6,$C40),BurnRate!$G$3:$P$1102,10,FALSE)/90)))</f>
        <v>NR</v>
      </c>
      <c r="M40" s="169" t="str">
        <f>IF(SUM(VLOOKUP($C40,DATA_Depts[[#All],[COVID-19 Item List]:[SCL]],MATCH(M$6,DATA_Depts[[#Headers],[COVID-19 Item List]:[SCL]],0),FALSE)=0),IF(VLOOKUP(_xlfn.CONCAT(M$6,$C40),BurnRate!$G$3:$P$1102,10,FALSE)="NR","NR",0),VLOOKUP($C40,DATA_Depts[[#All],[COVID-19 Item List]:[SCL]],MATCH(M$6,DATA_Depts[[#Headers],[COVID-19 Item List]:[SCL]],0),FALSE))</f>
        <v>NR</v>
      </c>
      <c r="N40" s="148" t="str">
        <f>IF(VLOOKUP(_xlfn.CONCAT(M$6,$C40),BurnRate!$G$3:$P$1102,10,FALSE)="NR","NR",IF(M40="NR","NR",M40/(VLOOKUP(_xlfn.CONCAT(M$6,$C40),BurnRate!$G$3:$P$1102,10,FALSE)/90)))</f>
        <v>NR</v>
      </c>
      <c r="O40" s="169" t="str">
        <f>IF(SUM(VLOOKUP($C40,DATA_Depts[[#All],[COVID-19 Item List]:[SCL]],MATCH(O$6,DATA_Depts[[#Headers],[COVID-19 Item List]:[SCL]],0),FALSE)=0),IF(VLOOKUP(_xlfn.CONCAT(O$6,$C40),BurnRate!$G$3:$P$1102,10,FALSE)="NR","NR",0),VLOOKUP($C40,DATA_Depts[[#All],[COVID-19 Item List]:[SCL]],MATCH(O$6,DATA_Depts[[#Headers],[COVID-19 Item List]:[SCL]],0),FALSE))</f>
        <v>NR</v>
      </c>
      <c r="P40" s="148" t="str">
        <f>IF(VLOOKUP(_xlfn.CONCAT(O$6,$C40),BurnRate!$G$3:$P$1102,10,FALSE)="NR","NR",IF(O40="NR","NR",O40/(VLOOKUP(_xlfn.CONCAT(O$6,$C40),BurnRate!$G$3:$P$1102,10,FALSE)/90)))</f>
        <v>NR</v>
      </c>
      <c r="Q40" s="169" t="str">
        <f>IF(SUM(VLOOKUP($C40,DATA_Depts[[#All],[COVID-19 Item List]:[SCL]],MATCH(Q$6,DATA_Depts[[#Headers],[COVID-19 Item List]:[SCL]],0),FALSE)=0),IF(VLOOKUP(_xlfn.CONCAT(Q$6,$C40),BurnRate!$G$3:$P$1102,10,FALSE)="NR","NR",0),VLOOKUP($C40,DATA_Depts[[#All],[COVID-19 Item List]:[SCL]],MATCH(Q$6,DATA_Depts[[#Headers],[COVID-19 Item List]:[SCL]],0),FALSE))</f>
        <v>NR</v>
      </c>
      <c r="R40" s="148" t="str">
        <f>IF(VLOOKUP(_xlfn.CONCAT(Q$6,$C40),BurnRate!$G$3:$P$1102,10,FALSE)="NR","NR",IF(Q40="NR","NR",Q40/(VLOOKUP(_xlfn.CONCAT(Q$6,$C40),BurnRate!$G$3:$P$1102,10,FALSE)/90)))</f>
        <v>NR</v>
      </c>
      <c r="S40" s="169" t="str">
        <f>IF(SUM(VLOOKUP($C40,DATA_Depts[[#All],[COVID-19 Item List]:[SCL]],MATCH(S$6,DATA_Depts[[#Headers],[COVID-19 Item List]:[SCL]],0),FALSE)=0),IF(VLOOKUP(_xlfn.CONCAT(S$6,$C40),BurnRate!$G$3:$P$1102,10,FALSE)="NR","NR",0),VLOOKUP($C40,DATA_Depts[[#All],[COVID-19 Item List]:[SCL]],MATCH(S$6,DATA_Depts[[#Headers],[COVID-19 Item List]:[SCL]],0),FALSE))</f>
        <v>NR</v>
      </c>
      <c r="T40" s="148" t="str">
        <f>IF(VLOOKUP(_xlfn.CONCAT(S$6,$C40),BurnRate!$G$3:$P$1102,10,FALSE)="NR","NR",IF(S40="NR","NR",S40/(VLOOKUP(_xlfn.CONCAT(S$6,$C40),BurnRate!$G$3:$P$1102,10,FALSE)/90)))</f>
        <v>NR</v>
      </c>
      <c r="U40" s="169" t="str">
        <f>IF(SUM(VLOOKUP($C40,DATA_Depts[[#All],[COVID-19 Item List]:[SCL]],MATCH(U$6,DATA_Depts[[#Headers],[COVID-19 Item List]:[SCL]],0),FALSE)=0),IF(VLOOKUP(_xlfn.CONCAT(U$6,$C40),BurnRate!$G$3:$P$1102,10,FALSE)="NR","NR",0),VLOOKUP($C40,DATA_Depts[[#All],[COVID-19 Item List]:[SCL]],MATCH(U$6,DATA_Depts[[#Headers],[COVID-19 Item List]:[SCL]],0),FALSE))</f>
        <v>NR</v>
      </c>
      <c r="V40" s="148" t="str">
        <f>IF(VLOOKUP(_xlfn.CONCAT(U$6,$C40),BurnRate!$G$3:$P$1102,10,FALSE)="NR","NR",IF(U40="NR","NR",U40/(VLOOKUP(_xlfn.CONCAT(U$6,$C40),BurnRate!$G$3:$P$1102,10,FALSE)/90)))</f>
        <v>NR</v>
      </c>
      <c r="W40" s="169" t="str">
        <f>IF(SUM(VLOOKUP($C40,DATA_Depts[[#All],[COVID-19 Item List]:[SCL]],MATCH(W$6,DATA_Depts[[#Headers],[COVID-19 Item List]:[SCL]],0),FALSE)=0),IF(VLOOKUP(_xlfn.CONCAT(W$6,$C40),BurnRate!$G$3:$P$1102,10,FALSE)="NR","NR",0),VLOOKUP($C40,DATA_Depts[[#All],[COVID-19 Item List]:[SCL]],MATCH(W$6,DATA_Depts[[#Headers],[COVID-19 Item List]:[SCL]],0),FALSE))</f>
        <v>NR</v>
      </c>
      <c r="X40" s="148" t="str">
        <f>IF(VLOOKUP(_xlfn.CONCAT(W$6,$C40),BurnRate!$G$3:$P$1102,10,FALSE)="NR","NR",IF(W40="NR","NR",W40/(VLOOKUP(_xlfn.CONCAT(W$6,$C40),BurnRate!$G$3:$P$1102,10,FALSE)/90)))</f>
        <v>NR</v>
      </c>
      <c r="Y40" s="169" t="str">
        <f>IF(SUM(VLOOKUP($C40,DATA_Depts[[#All],[COVID-19 Item List]:[SCL]],MATCH(Y$6,DATA_Depts[[#Headers],[COVID-19 Item List]:[SCL]],0),FALSE)=0),IF(VLOOKUP(_xlfn.CONCAT(Y$6,$C40),BurnRate!$G$3:$P$1102,10,FALSE)="NR","NR",0),VLOOKUP($C40,DATA_Depts[[#All],[COVID-19 Item List]:[SCL]],MATCH(Y$6,DATA_Depts[[#Headers],[COVID-19 Item List]:[SCL]],0),FALSE))</f>
        <v>NR</v>
      </c>
      <c r="Z40" s="148" t="str">
        <f>IF(VLOOKUP(_xlfn.CONCAT(Y$6,$C40),BurnRate!$G$3:$P$1102,10,FALSE)="NR","NR",IF(Y40="NR","NR",Y40/(VLOOKUP(_xlfn.CONCAT(Y$6,$C40),BurnRate!$G$3:$P$1102,10,FALSE)/90)))</f>
        <v>NR</v>
      </c>
    </row>
    <row r="41" spans="2:26" s="43" customFormat="1" ht="11" hidden="1">
      <c r="B41" s="46">
        <v>34</v>
      </c>
      <c r="C41" s="47" t="str">
        <f>_xlfn.SINGLE(VLOOKUP(B41,DisplayOrder[#All],2,FALSE))</f>
        <v>Reserved-34</v>
      </c>
      <c r="D41" s="116" t="str">
        <f>_xlfn.SINGLE(VLOOKUP(B41,DisplayOrder!A:C,3,FALSE))</f>
        <v>each</v>
      </c>
      <c r="E41" s="117" t="str">
        <f>IF(VLOOKUP(_xlfn.CONCAT(E$6,$C41),BurnRate!$G$3:$P$1102,10,FALSE)="NR",IF(SUMIF(FAS_Centralized!K:K,C41,FAS_Centralized!N:N)=0,"NR",SUMIF(FAS_Centralized!K:K,C41,FAS_Centralized!N:N)),SUMIF(FAS_Centralized!K:K,C41,FAS_Centralized!N:N))</f>
        <v>NR</v>
      </c>
      <c r="F41" s="148" t="str">
        <f>IF(VLOOKUP(_xlfn.CONCAT(E$6,$C41),BurnRate!$G$3:$P$1102,10,FALSE)="NR","NR",IF(E41="NR","NR",E41/(VLOOKUP(_xlfn.CONCAT(E$6,$C41),BurnRate!$G$3:$P$1102,10,FALSE)/90)))</f>
        <v>NR</v>
      </c>
      <c r="G41" s="169" t="str">
        <f>IF(SUM(VLOOKUP($C41,DATA_Depts[[#All],[COVID-19 Item List]:[SCL]],MATCH(G$6,DATA_Depts[[#Headers],[COVID-19 Item List]:[SCL]],0),FALSE)=0),IF(VLOOKUP(_xlfn.CONCAT(G$6,$C41),BurnRate!$G$3:$P$1102,10,FALSE)="NR","NR",0),VLOOKUP($C41,DATA_Depts[[#All],[COVID-19 Item List]:[SCL]],MATCH(G$6,DATA_Depts[[#Headers],[COVID-19 Item List]:[SCL]],0),FALSE))</f>
        <v>NR</v>
      </c>
      <c r="H41" s="148" t="str">
        <f>IF(VLOOKUP(_xlfn.CONCAT(G$6,$C41),BurnRate!$G$3:$P$1102,10,FALSE)="NR","NR",IF(G41="NR","NR",G41/(VLOOKUP(_xlfn.CONCAT(G$6,$C41),BurnRate!$G$3:$P$1102,10,FALSE)/90)))</f>
        <v>NR</v>
      </c>
      <c r="I41" s="169" t="str">
        <f>IF(SUM(VLOOKUP($C41,DATA_Depts[[#All],[COVID-19 Item List]:[SCL]],MATCH(I$6,DATA_Depts[[#Headers],[COVID-19 Item List]:[SCL]],0),FALSE)=0),IF(VLOOKUP(_xlfn.CONCAT(I$6,$C41),BurnRate!$G$3:$P$1102,10,FALSE)="NR","NR",0),VLOOKUP($C41,DATA_Depts[[#All],[COVID-19 Item List]:[SCL]],MATCH(I$6,DATA_Depts[[#Headers],[COVID-19 Item List]:[SCL]],0),FALSE))</f>
        <v>NR</v>
      </c>
      <c r="J41" s="148" t="str">
        <f>IF(VLOOKUP(_xlfn.CONCAT(I$6,$C41),BurnRate!$G$3:$P$1102,10,FALSE)="NR","NR",IF(I41="NR","NR",I41/(VLOOKUP(_xlfn.CONCAT(I$6,$C41),BurnRate!$G$3:$P$1102,10,FALSE)/90)))</f>
        <v>NR</v>
      </c>
      <c r="K41" s="169" t="str">
        <f>IF(SUM(VLOOKUP($C41,DATA_Depts[[#All],[COVID-19 Item List]:[SCL]],MATCH(K$6,DATA_Depts[[#Headers],[COVID-19 Item List]:[SCL]],0),FALSE)=0),IF(VLOOKUP(_xlfn.CONCAT(K$6,$C41),BurnRate!$G$3:$P$1102,10,FALSE)="NR","NR",0),VLOOKUP($C41,DATA_Depts[[#All],[COVID-19 Item List]:[SCL]],MATCH(K$6,DATA_Depts[[#Headers],[COVID-19 Item List]:[SCL]],0),FALSE))</f>
        <v>NR</v>
      </c>
      <c r="L41" s="148" t="str">
        <f>IF(VLOOKUP(_xlfn.CONCAT(K$6,$C41),BurnRate!$G$3:$P$1102,10,FALSE)="NR","NR",IF(K41="NR","NR",K41/(VLOOKUP(_xlfn.CONCAT(K$6,$C41),BurnRate!$G$3:$P$1102,10,FALSE)/90)))</f>
        <v>NR</v>
      </c>
      <c r="M41" s="169" t="str">
        <f>IF(SUM(VLOOKUP($C41,DATA_Depts[[#All],[COVID-19 Item List]:[SCL]],MATCH(M$6,DATA_Depts[[#Headers],[COVID-19 Item List]:[SCL]],0),FALSE)=0),IF(VLOOKUP(_xlfn.CONCAT(M$6,$C41),BurnRate!$G$3:$P$1102,10,FALSE)="NR","NR",0),VLOOKUP($C41,DATA_Depts[[#All],[COVID-19 Item List]:[SCL]],MATCH(M$6,DATA_Depts[[#Headers],[COVID-19 Item List]:[SCL]],0),FALSE))</f>
        <v>NR</v>
      </c>
      <c r="N41" s="148" t="str">
        <f>IF(VLOOKUP(_xlfn.CONCAT(M$6,$C41),BurnRate!$G$3:$P$1102,10,FALSE)="NR","NR",IF(M41="NR","NR",M41/(VLOOKUP(_xlfn.CONCAT(M$6,$C41),BurnRate!$G$3:$P$1102,10,FALSE)/90)))</f>
        <v>NR</v>
      </c>
      <c r="O41" s="169" t="str">
        <f>IF(SUM(VLOOKUP($C41,DATA_Depts[[#All],[COVID-19 Item List]:[SCL]],MATCH(O$6,DATA_Depts[[#Headers],[COVID-19 Item List]:[SCL]],0),FALSE)=0),IF(VLOOKUP(_xlfn.CONCAT(O$6,$C41),BurnRate!$G$3:$P$1102,10,FALSE)="NR","NR",0),VLOOKUP($C41,DATA_Depts[[#All],[COVID-19 Item List]:[SCL]],MATCH(O$6,DATA_Depts[[#Headers],[COVID-19 Item List]:[SCL]],0),FALSE))</f>
        <v>NR</v>
      </c>
      <c r="P41" s="148" t="str">
        <f>IF(VLOOKUP(_xlfn.CONCAT(O$6,$C41),BurnRate!$G$3:$P$1102,10,FALSE)="NR","NR",IF(O41="NR","NR",O41/(VLOOKUP(_xlfn.CONCAT(O$6,$C41),BurnRate!$G$3:$P$1102,10,FALSE)/90)))</f>
        <v>NR</v>
      </c>
      <c r="Q41" s="169" t="str">
        <f>IF(SUM(VLOOKUP($C41,DATA_Depts[[#All],[COVID-19 Item List]:[SCL]],MATCH(Q$6,DATA_Depts[[#Headers],[COVID-19 Item List]:[SCL]],0),FALSE)=0),IF(VLOOKUP(_xlfn.CONCAT(Q$6,$C41),BurnRate!$G$3:$P$1102,10,FALSE)="NR","NR",0),VLOOKUP($C41,DATA_Depts[[#All],[COVID-19 Item List]:[SCL]],MATCH(Q$6,DATA_Depts[[#Headers],[COVID-19 Item List]:[SCL]],0),FALSE))</f>
        <v>NR</v>
      </c>
      <c r="R41" s="148" t="str">
        <f>IF(VLOOKUP(_xlfn.CONCAT(Q$6,$C41),BurnRate!$G$3:$P$1102,10,FALSE)="NR","NR",IF(Q41="NR","NR",Q41/(VLOOKUP(_xlfn.CONCAT(Q$6,$C41),BurnRate!$G$3:$P$1102,10,FALSE)/90)))</f>
        <v>NR</v>
      </c>
      <c r="S41" s="169" t="str">
        <f>IF(SUM(VLOOKUP($C41,DATA_Depts[[#All],[COVID-19 Item List]:[SCL]],MATCH(S$6,DATA_Depts[[#Headers],[COVID-19 Item List]:[SCL]],0),FALSE)=0),IF(VLOOKUP(_xlfn.CONCAT(S$6,$C41),BurnRate!$G$3:$P$1102,10,FALSE)="NR","NR",0),VLOOKUP($C41,DATA_Depts[[#All],[COVID-19 Item List]:[SCL]],MATCH(S$6,DATA_Depts[[#Headers],[COVID-19 Item List]:[SCL]],0),FALSE))</f>
        <v>NR</v>
      </c>
      <c r="T41" s="148" t="str">
        <f>IF(VLOOKUP(_xlfn.CONCAT(S$6,$C41),BurnRate!$G$3:$P$1102,10,FALSE)="NR","NR",IF(S41="NR","NR",S41/(VLOOKUP(_xlfn.CONCAT(S$6,$C41),BurnRate!$G$3:$P$1102,10,FALSE)/90)))</f>
        <v>NR</v>
      </c>
      <c r="U41" s="169" t="str">
        <f>IF(SUM(VLOOKUP($C41,DATA_Depts[[#All],[COVID-19 Item List]:[SCL]],MATCH(U$6,DATA_Depts[[#Headers],[COVID-19 Item List]:[SCL]],0),FALSE)=0),IF(VLOOKUP(_xlfn.CONCAT(U$6,$C41),BurnRate!$G$3:$P$1102,10,FALSE)="NR","NR",0),VLOOKUP($C41,DATA_Depts[[#All],[COVID-19 Item List]:[SCL]],MATCH(U$6,DATA_Depts[[#Headers],[COVID-19 Item List]:[SCL]],0),FALSE))</f>
        <v>NR</v>
      </c>
      <c r="V41" s="148" t="str">
        <f>IF(VLOOKUP(_xlfn.CONCAT(U$6,$C41),BurnRate!$G$3:$P$1102,10,FALSE)="NR","NR",IF(U41="NR","NR",U41/(VLOOKUP(_xlfn.CONCAT(U$6,$C41),BurnRate!$G$3:$P$1102,10,FALSE)/90)))</f>
        <v>NR</v>
      </c>
      <c r="W41" s="169" t="str">
        <f>IF(SUM(VLOOKUP($C41,DATA_Depts[[#All],[COVID-19 Item List]:[SCL]],MATCH(W$6,DATA_Depts[[#Headers],[COVID-19 Item List]:[SCL]],0),FALSE)=0),IF(VLOOKUP(_xlfn.CONCAT(W$6,$C41),BurnRate!$G$3:$P$1102,10,FALSE)="NR","NR",0),VLOOKUP($C41,DATA_Depts[[#All],[COVID-19 Item List]:[SCL]],MATCH(W$6,DATA_Depts[[#Headers],[COVID-19 Item List]:[SCL]],0),FALSE))</f>
        <v>NR</v>
      </c>
      <c r="X41" s="148" t="str">
        <f>IF(VLOOKUP(_xlfn.CONCAT(W$6,$C41),BurnRate!$G$3:$P$1102,10,FALSE)="NR","NR",IF(W41="NR","NR",W41/(VLOOKUP(_xlfn.CONCAT(W$6,$C41),BurnRate!$G$3:$P$1102,10,FALSE)/90)))</f>
        <v>NR</v>
      </c>
      <c r="Y41" s="169" t="str">
        <f>IF(SUM(VLOOKUP($C41,DATA_Depts[[#All],[COVID-19 Item List]:[SCL]],MATCH(Y$6,DATA_Depts[[#Headers],[COVID-19 Item List]:[SCL]],0),FALSE)=0),IF(VLOOKUP(_xlfn.CONCAT(Y$6,$C41),BurnRate!$G$3:$P$1102,10,FALSE)="NR","NR",0),VLOOKUP($C41,DATA_Depts[[#All],[COVID-19 Item List]:[SCL]],MATCH(Y$6,DATA_Depts[[#Headers],[COVID-19 Item List]:[SCL]],0),FALSE))</f>
        <v>NR</v>
      </c>
      <c r="Z41" s="148" t="str">
        <f>IF(VLOOKUP(_xlfn.CONCAT(Y$6,$C41),BurnRate!$G$3:$P$1102,10,FALSE)="NR","NR",IF(Y41="NR","NR",Y41/(VLOOKUP(_xlfn.CONCAT(Y$6,$C41),BurnRate!$G$3:$P$1102,10,FALSE)/90)))</f>
        <v>NR</v>
      </c>
    </row>
    <row r="42" spans="2:26" s="43" customFormat="1" ht="11" hidden="1">
      <c r="B42" s="46">
        <v>35</v>
      </c>
      <c r="C42" s="47" t="str">
        <f>_xlfn.SINGLE(VLOOKUP(B42,DisplayOrder[#All],2,FALSE))</f>
        <v>Reserved-35</v>
      </c>
      <c r="D42" s="116" t="str">
        <f>_xlfn.SINGLE(VLOOKUP(B42,DisplayOrder!A:C,3,FALSE))</f>
        <v>each</v>
      </c>
      <c r="E42" s="117" t="str">
        <f>IF(VLOOKUP(_xlfn.CONCAT(E$6,$C42),BurnRate!$G$3:$P$1102,10,FALSE)="NR",IF(SUMIF(FAS_Centralized!K:K,C42,FAS_Centralized!N:N)=0,"NR",SUMIF(FAS_Centralized!K:K,C42,FAS_Centralized!N:N)),SUMIF(FAS_Centralized!K:K,C42,FAS_Centralized!N:N))</f>
        <v>NR</v>
      </c>
      <c r="F42" s="148" t="str">
        <f>IF(VLOOKUP(_xlfn.CONCAT(E$6,$C42),BurnRate!$G$3:$P$1102,10,FALSE)="NR","NR",IF(E42="NR","NR",E42/(VLOOKUP(_xlfn.CONCAT(E$6,$C42),BurnRate!$G$3:$P$1102,10,FALSE)/90)))</f>
        <v>NR</v>
      </c>
      <c r="G42" s="169" t="str">
        <f>IF(SUM(VLOOKUP($C42,DATA_Depts[[#All],[COVID-19 Item List]:[SCL]],MATCH(G$6,DATA_Depts[[#Headers],[COVID-19 Item List]:[SCL]],0),FALSE)=0),IF(VLOOKUP(_xlfn.CONCAT(G$6,$C42),BurnRate!$G$3:$P$1102,10,FALSE)="NR","NR",0),VLOOKUP($C42,DATA_Depts[[#All],[COVID-19 Item List]:[SCL]],MATCH(G$6,DATA_Depts[[#Headers],[COVID-19 Item List]:[SCL]],0),FALSE))</f>
        <v>NR</v>
      </c>
      <c r="H42" s="148" t="str">
        <f>IF(VLOOKUP(_xlfn.CONCAT(G$6,$C42),BurnRate!$G$3:$P$1102,10,FALSE)="NR","NR",IF(G42="NR","NR",G42/(VLOOKUP(_xlfn.CONCAT(G$6,$C42),BurnRate!$G$3:$P$1102,10,FALSE)/90)))</f>
        <v>NR</v>
      </c>
      <c r="I42" s="169" t="str">
        <f>IF(SUM(VLOOKUP($C42,DATA_Depts[[#All],[COVID-19 Item List]:[SCL]],MATCH(I$6,DATA_Depts[[#Headers],[COVID-19 Item List]:[SCL]],0),FALSE)=0),IF(VLOOKUP(_xlfn.CONCAT(I$6,$C42),BurnRate!$G$3:$P$1102,10,FALSE)="NR","NR",0),VLOOKUP($C42,DATA_Depts[[#All],[COVID-19 Item List]:[SCL]],MATCH(I$6,DATA_Depts[[#Headers],[COVID-19 Item List]:[SCL]],0),FALSE))</f>
        <v>NR</v>
      </c>
      <c r="J42" s="148" t="str">
        <f>IF(VLOOKUP(_xlfn.CONCAT(I$6,$C42),BurnRate!$G$3:$P$1102,10,FALSE)="NR","NR",IF(I42="NR","NR",I42/(VLOOKUP(_xlfn.CONCAT(I$6,$C42),BurnRate!$G$3:$P$1102,10,FALSE)/90)))</f>
        <v>NR</v>
      </c>
      <c r="K42" s="169" t="str">
        <f>IF(SUM(VLOOKUP($C42,DATA_Depts[[#All],[COVID-19 Item List]:[SCL]],MATCH(K$6,DATA_Depts[[#Headers],[COVID-19 Item List]:[SCL]],0),FALSE)=0),IF(VLOOKUP(_xlfn.CONCAT(K$6,$C42),BurnRate!$G$3:$P$1102,10,FALSE)="NR","NR",0),VLOOKUP($C42,DATA_Depts[[#All],[COVID-19 Item List]:[SCL]],MATCH(K$6,DATA_Depts[[#Headers],[COVID-19 Item List]:[SCL]],0),FALSE))</f>
        <v>NR</v>
      </c>
      <c r="L42" s="148" t="str">
        <f>IF(VLOOKUP(_xlfn.CONCAT(K$6,$C42),BurnRate!$G$3:$P$1102,10,FALSE)="NR","NR",IF(K42="NR","NR",K42/(VLOOKUP(_xlfn.CONCAT(K$6,$C42),BurnRate!$G$3:$P$1102,10,FALSE)/90)))</f>
        <v>NR</v>
      </c>
      <c r="M42" s="169" t="str">
        <f>IF(SUM(VLOOKUP($C42,DATA_Depts[[#All],[COVID-19 Item List]:[SCL]],MATCH(M$6,DATA_Depts[[#Headers],[COVID-19 Item List]:[SCL]],0),FALSE)=0),IF(VLOOKUP(_xlfn.CONCAT(M$6,$C42),BurnRate!$G$3:$P$1102,10,FALSE)="NR","NR",0),VLOOKUP($C42,DATA_Depts[[#All],[COVID-19 Item List]:[SCL]],MATCH(M$6,DATA_Depts[[#Headers],[COVID-19 Item List]:[SCL]],0),FALSE))</f>
        <v>NR</v>
      </c>
      <c r="N42" s="148" t="str">
        <f>IF(VLOOKUP(_xlfn.CONCAT(M$6,$C42),BurnRate!$G$3:$P$1102,10,FALSE)="NR","NR",IF(M42="NR","NR",M42/(VLOOKUP(_xlfn.CONCAT(M$6,$C42),BurnRate!$G$3:$P$1102,10,FALSE)/90)))</f>
        <v>NR</v>
      </c>
      <c r="O42" s="169" t="str">
        <f>IF(SUM(VLOOKUP($C42,DATA_Depts[[#All],[COVID-19 Item List]:[SCL]],MATCH(O$6,DATA_Depts[[#Headers],[COVID-19 Item List]:[SCL]],0),FALSE)=0),IF(VLOOKUP(_xlfn.CONCAT(O$6,$C42),BurnRate!$G$3:$P$1102,10,FALSE)="NR","NR",0),VLOOKUP($C42,DATA_Depts[[#All],[COVID-19 Item List]:[SCL]],MATCH(O$6,DATA_Depts[[#Headers],[COVID-19 Item List]:[SCL]],0),FALSE))</f>
        <v>NR</v>
      </c>
      <c r="P42" s="148" t="str">
        <f>IF(VLOOKUP(_xlfn.CONCAT(O$6,$C42),BurnRate!$G$3:$P$1102,10,FALSE)="NR","NR",IF(O42="NR","NR",O42/(VLOOKUP(_xlfn.CONCAT(O$6,$C42),BurnRate!$G$3:$P$1102,10,FALSE)/90)))</f>
        <v>NR</v>
      </c>
      <c r="Q42" s="169" t="str">
        <f>IF(SUM(VLOOKUP($C42,DATA_Depts[[#All],[COVID-19 Item List]:[SCL]],MATCH(Q$6,DATA_Depts[[#Headers],[COVID-19 Item List]:[SCL]],0),FALSE)=0),IF(VLOOKUP(_xlfn.CONCAT(Q$6,$C42),BurnRate!$G$3:$P$1102,10,FALSE)="NR","NR",0),VLOOKUP($C42,DATA_Depts[[#All],[COVID-19 Item List]:[SCL]],MATCH(Q$6,DATA_Depts[[#Headers],[COVID-19 Item List]:[SCL]],0),FALSE))</f>
        <v>NR</v>
      </c>
      <c r="R42" s="148" t="str">
        <f>IF(VLOOKUP(_xlfn.CONCAT(Q$6,$C42),BurnRate!$G$3:$P$1102,10,FALSE)="NR","NR",IF(Q42="NR","NR",Q42/(VLOOKUP(_xlfn.CONCAT(Q$6,$C42),BurnRate!$G$3:$P$1102,10,FALSE)/90)))</f>
        <v>NR</v>
      </c>
      <c r="S42" s="169" t="str">
        <f>IF(SUM(VLOOKUP($C42,DATA_Depts[[#All],[COVID-19 Item List]:[SCL]],MATCH(S$6,DATA_Depts[[#Headers],[COVID-19 Item List]:[SCL]],0),FALSE)=0),IF(VLOOKUP(_xlfn.CONCAT(S$6,$C42),BurnRate!$G$3:$P$1102,10,FALSE)="NR","NR",0),VLOOKUP($C42,DATA_Depts[[#All],[COVID-19 Item List]:[SCL]],MATCH(S$6,DATA_Depts[[#Headers],[COVID-19 Item List]:[SCL]],0),FALSE))</f>
        <v>NR</v>
      </c>
      <c r="T42" s="148" t="str">
        <f>IF(VLOOKUP(_xlfn.CONCAT(S$6,$C42),BurnRate!$G$3:$P$1102,10,FALSE)="NR","NR",IF(S42="NR","NR",S42/(VLOOKUP(_xlfn.CONCAT(S$6,$C42),BurnRate!$G$3:$P$1102,10,FALSE)/90)))</f>
        <v>NR</v>
      </c>
      <c r="U42" s="169" t="str">
        <f>IF(SUM(VLOOKUP($C42,DATA_Depts[[#All],[COVID-19 Item List]:[SCL]],MATCH(U$6,DATA_Depts[[#Headers],[COVID-19 Item List]:[SCL]],0),FALSE)=0),IF(VLOOKUP(_xlfn.CONCAT(U$6,$C42),BurnRate!$G$3:$P$1102,10,FALSE)="NR","NR",0),VLOOKUP($C42,DATA_Depts[[#All],[COVID-19 Item List]:[SCL]],MATCH(U$6,DATA_Depts[[#Headers],[COVID-19 Item List]:[SCL]],0),FALSE))</f>
        <v>NR</v>
      </c>
      <c r="V42" s="148" t="str">
        <f>IF(VLOOKUP(_xlfn.CONCAT(U$6,$C42),BurnRate!$G$3:$P$1102,10,FALSE)="NR","NR",IF(U42="NR","NR",U42/(VLOOKUP(_xlfn.CONCAT(U$6,$C42),BurnRate!$G$3:$P$1102,10,FALSE)/90)))</f>
        <v>NR</v>
      </c>
      <c r="W42" s="169" t="str">
        <f>IF(SUM(VLOOKUP($C42,DATA_Depts[[#All],[COVID-19 Item List]:[SCL]],MATCH(W$6,DATA_Depts[[#Headers],[COVID-19 Item List]:[SCL]],0),FALSE)=0),IF(VLOOKUP(_xlfn.CONCAT(W$6,$C42),BurnRate!$G$3:$P$1102,10,FALSE)="NR","NR",0),VLOOKUP($C42,DATA_Depts[[#All],[COVID-19 Item List]:[SCL]],MATCH(W$6,DATA_Depts[[#Headers],[COVID-19 Item List]:[SCL]],0),FALSE))</f>
        <v>NR</v>
      </c>
      <c r="X42" s="148" t="str">
        <f>IF(VLOOKUP(_xlfn.CONCAT(W$6,$C42),BurnRate!$G$3:$P$1102,10,FALSE)="NR","NR",IF(W42="NR","NR",W42/(VLOOKUP(_xlfn.CONCAT(W$6,$C42),BurnRate!$G$3:$P$1102,10,FALSE)/90)))</f>
        <v>NR</v>
      </c>
      <c r="Y42" s="169" t="str">
        <f>IF(SUM(VLOOKUP($C42,DATA_Depts[[#All],[COVID-19 Item List]:[SCL]],MATCH(Y$6,DATA_Depts[[#Headers],[COVID-19 Item List]:[SCL]],0),FALSE)=0),IF(VLOOKUP(_xlfn.CONCAT(Y$6,$C42),BurnRate!$G$3:$P$1102,10,FALSE)="NR","NR",0),VLOOKUP($C42,DATA_Depts[[#All],[COVID-19 Item List]:[SCL]],MATCH(Y$6,DATA_Depts[[#Headers],[COVID-19 Item List]:[SCL]],0),FALSE))</f>
        <v>NR</v>
      </c>
      <c r="Z42" s="148" t="str">
        <f>IF(VLOOKUP(_xlfn.CONCAT(Y$6,$C42),BurnRate!$G$3:$P$1102,10,FALSE)="NR","NR",IF(Y42="NR","NR",Y42/(VLOOKUP(_xlfn.CONCAT(Y$6,$C42),BurnRate!$G$3:$P$1102,10,FALSE)/90)))</f>
        <v>NR</v>
      </c>
    </row>
    <row r="43" spans="2:26" s="43" customFormat="1" ht="11" hidden="1">
      <c r="B43" s="46">
        <v>36</v>
      </c>
      <c r="C43" s="47" t="str">
        <f>_xlfn.SINGLE(VLOOKUP(B43,DisplayOrder[#All],2,FALSE))</f>
        <v>Reserved-36</v>
      </c>
      <c r="D43" s="116" t="str">
        <f>_xlfn.SINGLE(VLOOKUP(B43,DisplayOrder!A:C,3,FALSE))</f>
        <v>each</v>
      </c>
      <c r="E43" s="117" t="str">
        <f>IF(VLOOKUP(_xlfn.CONCAT(E$6,$C43),BurnRate!$G$3:$P$1102,10,FALSE)="NR",IF(SUMIF(FAS_Centralized!K:K,C43,FAS_Centralized!N:N)=0,"NR",SUMIF(FAS_Centralized!K:K,C43,FAS_Centralized!N:N)),SUMIF(FAS_Centralized!K:K,C43,FAS_Centralized!N:N))</f>
        <v>NR</v>
      </c>
      <c r="F43" s="148" t="str">
        <f>IF(VLOOKUP(_xlfn.CONCAT(E$6,$C43),BurnRate!$G$3:$P$1102,10,FALSE)="NR","NR",IF(E43="NR","NR",E43/(VLOOKUP(_xlfn.CONCAT(E$6,$C43),BurnRate!$G$3:$P$1102,10,FALSE)/90)))</f>
        <v>NR</v>
      </c>
      <c r="G43" s="169" t="str">
        <f>IF(SUM(VLOOKUP($C43,DATA_Depts[[#All],[COVID-19 Item List]:[SCL]],MATCH(G$6,DATA_Depts[[#Headers],[COVID-19 Item List]:[SCL]],0),FALSE)=0),IF(VLOOKUP(_xlfn.CONCAT(G$6,$C43),BurnRate!$G$3:$P$1102,10,FALSE)="NR","NR",0),VLOOKUP($C43,DATA_Depts[[#All],[COVID-19 Item List]:[SCL]],MATCH(G$6,DATA_Depts[[#Headers],[COVID-19 Item List]:[SCL]],0),FALSE))</f>
        <v>NR</v>
      </c>
      <c r="H43" s="148" t="str">
        <f>IF(VLOOKUP(_xlfn.CONCAT(G$6,$C43),BurnRate!$G$3:$P$1102,10,FALSE)="NR","NR",IF(G43="NR","NR",G43/(VLOOKUP(_xlfn.CONCAT(G$6,$C43),BurnRate!$G$3:$P$1102,10,FALSE)/90)))</f>
        <v>NR</v>
      </c>
      <c r="I43" s="169" t="str">
        <f>IF(SUM(VLOOKUP($C43,DATA_Depts[[#All],[COVID-19 Item List]:[SCL]],MATCH(I$6,DATA_Depts[[#Headers],[COVID-19 Item List]:[SCL]],0),FALSE)=0),IF(VLOOKUP(_xlfn.CONCAT(I$6,$C43),BurnRate!$G$3:$P$1102,10,FALSE)="NR","NR",0),VLOOKUP($C43,DATA_Depts[[#All],[COVID-19 Item List]:[SCL]],MATCH(I$6,DATA_Depts[[#Headers],[COVID-19 Item List]:[SCL]],0),FALSE))</f>
        <v>NR</v>
      </c>
      <c r="J43" s="148" t="str">
        <f>IF(VLOOKUP(_xlfn.CONCAT(I$6,$C43),BurnRate!$G$3:$P$1102,10,FALSE)="NR","NR",IF(I43="NR","NR",I43/(VLOOKUP(_xlfn.CONCAT(I$6,$C43),BurnRate!$G$3:$P$1102,10,FALSE)/90)))</f>
        <v>NR</v>
      </c>
      <c r="K43" s="169" t="str">
        <f>IF(SUM(VLOOKUP($C43,DATA_Depts[[#All],[COVID-19 Item List]:[SCL]],MATCH(K$6,DATA_Depts[[#Headers],[COVID-19 Item List]:[SCL]],0),FALSE)=0),IF(VLOOKUP(_xlfn.CONCAT(K$6,$C43),BurnRate!$G$3:$P$1102,10,FALSE)="NR","NR",0),VLOOKUP($C43,DATA_Depts[[#All],[COVID-19 Item List]:[SCL]],MATCH(K$6,DATA_Depts[[#Headers],[COVID-19 Item List]:[SCL]],0),FALSE))</f>
        <v>NR</v>
      </c>
      <c r="L43" s="148" t="str">
        <f>IF(VLOOKUP(_xlfn.CONCAT(K$6,$C43),BurnRate!$G$3:$P$1102,10,FALSE)="NR","NR",IF(K43="NR","NR",K43/(VLOOKUP(_xlfn.CONCAT(K$6,$C43),BurnRate!$G$3:$P$1102,10,FALSE)/90)))</f>
        <v>NR</v>
      </c>
      <c r="M43" s="169" t="str">
        <f>IF(SUM(VLOOKUP($C43,DATA_Depts[[#All],[COVID-19 Item List]:[SCL]],MATCH(M$6,DATA_Depts[[#Headers],[COVID-19 Item List]:[SCL]],0),FALSE)=0),IF(VLOOKUP(_xlfn.CONCAT(M$6,$C43),BurnRate!$G$3:$P$1102,10,FALSE)="NR","NR",0),VLOOKUP($C43,DATA_Depts[[#All],[COVID-19 Item List]:[SCL]],MATCH(M$6,DATA_Depts[[#Headers],[COVID-19 Item List]:[SCL]],0),FALSE))</f>
        <v>NR</v>
      </c>
      <c r="N43" s="148" t="str">
        <f>IF(VLOOKUP(_xlfn.CONCAT(M$6,$C43),BurnRate!$G$3:$P$1102,10,FALSE)="NR","NR",IF(M43="NR","NR",M43/(VLOOKUP(_xlfn.CONCAT(M$6,$C43),BurnRate!$G$3:$P$1102,10,FALSE)/90)))</f>
        <v>NR</v>
      </c>
      <c r="O43" s="169" t="str">
        <f>IF(SUM(VLOOKUP($C43,DATA_Depts[[#All],[COVID-19 Item List]:[SCL]],MATCH(O$6,DATA_Depts[[#Headers],[COVID-19 Item List]:[SCL]],0),FALSE)=0),IF(VLOOKUP(_xlfn.CONCAT(O$6,$C43),BurnRate!$G$3:$P$1102,10,FALSE)="NR","NR",0),VLOOKUP($C43,DATA_Depts[[#All],[COVID-19 Item List]:[SCL]],MATCH(O$6,DATA_Depts[[#Headers],[COVID-19 Item List]:[SCL]],0),FALSE))</f>
        <v>NR</v>
      </c>
      <c r="P43" s="148" t="str">
        <f>IF(VLOOKUP(_xlfn.CONCAT(O$6,$C43),BurnRate!$G$3:$P$1102,10,FALSE)="NR","NR",IF(O43="NR","NR",O43/(VLOOKUP(_xlfn.CONCAT(O$6,$C43),BurnRate!$G$3:$P$1102,10,FALSE)/90)))</f>
        <v>NR</v>
      </c>
      <c r="Q43" s="169" t="str">
        <f>IF(SUM(VLOOKUP($C43,DATA_Depts[[#All],[COVID-19 Item List]:[SCL]],MATCH(Q$6,DATA_Depts[[#Headers],[COVID-19 Item List]:[SCL]],0),FALSE)=0),IF(VLOOKUP(_xlfn.CONCAT(Q$6,$C43),BurnRate!$G$3:$P$1102,10,FALSE)="NR","NR",0),VLOOKUP($C43,DATA_Depts[[#All],[COVID-19 Item List]:[SCL]],MATCH(Q$6,DATA_Depts[[#Headers],[COVID-19 Item List]:[SCL]],0),FALSE))</f>
        <v>NR</v>
      </c>
      <c r="R43" s="148" t="str">
        <f>IF(VLOOKUP(_xlfn.CONCAT(Q$6,$C43),BurnRate!$G$3:$P$1102,10,FALSE)="NR","NR",IF(Q43="NR","NR",Q43/(VLOOKUP(_xlfn.CONCAT(Q$6,$C43),BurnRate!$G$3:$P$1102,10,FALSE)/90)))</f>
        <v>NR</v>
      </c>
      <c r="S43" s="169" t="str">
        <f>IF(SUM(VLOOKUP($C43,DATA_Depts[[#All],[COVID-19 Item List]:[SCL]],MATCH(S$6,DATA_Depts[[#Headers],[COVID-19 Item List]:[SCL]],0),FALSE)=0),IF(VLOOKUP(_xlfn.CONCAT(S$6,$C43),BurnRate!$G$3:$P$1102,10,FALSE)="NR","NR",0),VLOOKUP($C43,DATA_Depts[[#All],[COVID-19 Item List]:[SCL]],MATCH(S$6,DATA_Depts[[#Headers],[COVID-19 Item List]:[SCL]],0),FALSE))</f>
        <v>NR</v>
      </c>
      <c r="T43" s="148" t="str">
        <f>IF(VLOOKUP(_xlfn.CONCAT(S$6,$C43),BurnRate!$G$3:$P$1102,10,FALSE)="NR","NR",IF(S43="NR","NR",S43/(VLOOKUP(_xlfn.CONCAT(S$6,$C43),BurnRate!$G$3:$P$1102,10,FALSE)/90)))</f>
        <v>NR</v>
      </c>
      <c r="U43" s="169" t="str">
        <f>IF(SUM(VLOOKUP($C43,DATA_Depts[[#All],[COVID-19 Item List]:[SCL]],MATCH(U$6,DATA_Depts[[#Headers],[COVID-19 Item List]:[SCL]],0),FALSE)=0),IF(VLOOKUP(_xlfn.CONCAT(U$6,$C43),BurnRate!$G$3:$P$1102,10,FALSE)="NR","NR",0),VLOOKUP($C43,DATA_Depts[[#All],[COVID-19 Item List]:[SCL]],MATCH(U$6,DATA_Depts[[#Headers],[COVID-19 Item List]:[SCL]],0),FALSE))</f>
        <v>NR</v>
      </c>
      <c r="V43" s="148" t="str">
        <f>IF(VLOOKUP(_xlfn.CONCAT(U$6,$C43),BurnRate!$G$3:$P$1102,10,FALSE)="NR","NR",IF(U43="NR","NR",U43/(VLOOKUP(_xlfn.CONCAT(U$6,$C43),BurnRate!$G$3:$P$1102,10,FALSE)/90)))</f>
        <v>NR</v>
      </c>
      <c r="W43" s="169" t="str">
        <f>IF(SUM(VLOOKUP($C43,DATA_Depts[[#All],[COVID-19 Item List]:[SCL]],MATCH(W$6,DATA_Depts[[#Headers],[COVID-19 Item List]:[SCL]],0),FALSE)=0),IF(VLOOKUP(_xlfn.CONCAT(W$6,$C43),BurnRate!$G$3:$P$1102,10,FALSE)="NR","NR",0),VLOOKUP($C43,DATA_Depts[[#All],[COVID-19 Item List]:[SCL]],MATCH(W$6,DATA_Depts[[#Headers],[COVID-19 Item List]:[SCL]],0),FALSE))</f>
        <v>NR</v>
      </c>
      <c r="X43" s="148" t="str">
        <f>IF(VLOOKUP(_xlfn.CONCAT(W$6,$C43),BurnRate!$G$3:$P$1102,10,FALSE)="NR","NR",IF(W43="NR","NR",W43/(VLOOKUP(_xlfn.CONCAT(W$6,$C43),BurnRate!$G$3:$P$1102,10,FALSE)/90)))</f>
        <v>NR</v>
      </c>
      <c r="Y43" s="169" t="str">
        <f>IF(SUM(VLOOKUP($C43,DATA_Depts[[#All],[COVID-19 Item List]:[SCL]],MATCH(Y$6,DATA_Depts[[#Headers],[COVID-19 Item List]:[SCL]],0),FALSE)=0),IF(VLOOKUP(_xlfn.CONCAT(Y$6,$C43),BurnRate!$G$3:$P$1102,10,FALSE)="NR","NR",0),VLOOKUP($C43,DATA_Depts[[#All],[COVID-19 Item List]:[SCL]],MATCH(Y$6,DATA_Depts[[#Headers],[COVID-19 Item List]:[SCL]],0),FALSE))</f>
        <v>NR</v>
      </c>
      <c r="Z43" s="148" t="str">
        <f>IF(VLOOKUP(_xlfn.CONCAT(Y$6,$C43),BurnRate!$G$3:$P$1102,10,FALSE)="NR","NR",IF(Y43="NR","NR",Y43/(VLOOKUP(_xlfn.CONCAT(Y$6,$C43),BurnRate!$G$3:$P$1102,10,FALSE)/90)))</f>
        <v>NR</v>
      </c>
    </row>
    <row r="44" spans="2:26" s="43" customFormat="1" ht="11" hidden="1">
      <c r="B44" s="46">
        <v>37</v>
      </c>
      <c r="C44" s="47" t="str">
        <f>_xlfn.SINGLE(VLOOKUP(B44,DisplayOrder[#All],2,FALSE))</f>
        <v>Reserved-37</v>
      </c>
      <c r="D44" s="116" t="str">
        <f>_xlfn.SINGLE(VLOOKUP(B44,DisplayOrder!A:C,3,FALSE))</f>
        <v>each</v>
      </c>
      <c r="E44" s="117" t="str">
        <f>IF(VLOOKUP(_xlfn.CONCAT(E$6,$C44),BurnRate!$G$3:$P$1102,10,FALSE)="NR",IF(SUMIF(FAS_Centralized!K:K,C44,FAS_Centralized!N:N)=0,"NR",SUMIF(FAS_Centralized!K:K,C44,FAS_Centralized!N:N)),SUMIF(FAS_Centralized!K:K,C44,FAS_Centralized!N:N))</f>
        <v>NR</v>
      </c>
      <c r="F44" s="148" t="str">
        <f>IF(VLOOKUP(_xlfn.CONCAT(E$6,$C44),BurnRate!$G$3:$P$1102,10,FALSE)="NR","NR",IF(E44="NR","NR",E44/(VLOOKUP(_xlfn.CONCAT(E$6,$C44),BurnRate!$G$3:$P$1102,10,FALSE)/90)))</f>
        <v>NR</v>
      </c>
      <c r="G44" s="169" t="str">
        <f>IF(SUM(VLOOKUP($C44,DATA_Depts[[#All],[COVID-19 Item List]:[SCL]],MATCH(G$6,DATA_Depts[[#Headers],[COVID-19 Item List]:[SCL]],0),FALSE)=0),IF(VLOOKUP(_xlfn.CONCAT(G$6,$C44),BurnRate!$G$3:$P$1102,10,FALSE)="NR","NR",0),VLOOKUP($C44,DATA_Depts[[#All],[COVID-19 Item List]:[SCL]],MATCH(G$6,DATA_Depts[[#Headers],[COVID-19 Item List]:[SCL]],0),FALSE))</f>
        <v>NR</v>
      </c>
      <c r="H44" s="148" t="str">
        <f>IF(VLOOKUP(_xlfn.CONCAT(G$6,$C44),BurnRate!$G$3:$P$1102,10,FALSE)="NR","NR",IF(G44="NR","NR",G44/(VLOOKUP(_xlfn.CONCAT(G$6,$C44),BurnRate!$G$3:$P$1102,10,FALSE)/90)))</f>
        <v>NR</v>
      </c>
      <c r="I44" s="169" t="str">
        <f>IF(SUM(VLOOKUP($C44,DATA_Depts[[#All],[COVID-19 Item List]:[SCL]],MATCH(I$6,DATA_Depts[[#Headers],[COVID-19 Item List]:[SCL]],0),FALSE)=0),IF(VLOOKUP(_xlfn.CONCAT(I$6,$C44),BurnRate!$G$3:$P$1102,10,FALSE)="NR","NR",0),VLOOKUP($C44,DATA_Depts[[#All],[COVID-19 Item List]:[SCL]],MATCH(I$6,DATA_Depts[[#Headers],[COVID-19 Item List]:[SCL]],0),FALSE))</f>
        <v>NR</v>
      </c>
      <c r="J44" s="148" t="str">
        <f>IF(VLOOKUP(_xlfn.CONCAT(I$6,$C44),BurnRate!$G$3:$P$1102,10,FALSE)="NR","NR",IF(I44="NR","NR",I44/(VLOOKUP(_xlfn.CONCAT(I$6,$C44),BurnRate!$G$3:$P$1102,10,FALSE)/90)))</f>
        <v>NR</v>
      </c>
      <c r="K44" s="169" t="str">
        <f>IF(SUM(VLOOKUP($C44,DATA_Depts[[#All],[COVID-19 Item List]:[SCL]],MATCH(K$6,DATA_Depts[[#Headers],[COVID-19 Item List]:[SCL]],0),FALSE)=0),IF(VLOOKUP(_xlfn.CONCAT(K$6,$C44),BurnRate!$G$3:$P$1102,10,FALSE)="NR","NR",0),VLOOKUP($C44,DATA_Depts[[#All],[COVID-19 Item List]:[SCL]],MATCH(K$6,DATA_Depts[[#Headers],[COVID-19 Item List]:[SCL]],0),FALSE))</f>
        <v>NR</v>
      </c>
      <c r="L44" s="148" t="str">
        <f>IF(VLOOKUP(_xlfn.CONCAT(K$6,$C44),BurnRate!$G$3:$P$1102,10,FALSE)="NR","NR",IF(K44="NR","NR",K44/(VLOOKUP(_xlfn.CONCAT(K$6,$C44),BurnRate!$G$3:$P$1102,10,FALSE)/90)))</f>
        <v>NR</v>
      </c>
      <c r="M44" s="169" t="str">
        <f>IF(SUM(VLOOKUP($C44,DATA_Depts[[#All],[COVID-19 Item List]:[SCL]],MATCH(M$6,DATA_Depts[[#Headers],[COVID-19 Item List]:[SCL]],0),FALSE)=0),IF(VLOOKUP(_xlfn.CONCAT(M$6,$C44),BurnRate!$G$3:$P$1102,10,FALSE)="NR","NR",0),VLOOKUP($C44,DATA_Depts[[#All],[COVID-19 Item List]:[SCL]],MATCH(M$6,DATA_Depts[[#Headers],[COVID-19 Item List]:[SCL]],0),FALSE))</f>
        <v>NR</v>
      </c>
      <c r="N44" s="148" t="str">
        <f>IF(VLOOKUP(_xlfn.CONCAT(M$6,$C44),BurnRate!$G$3:$P$1102,10,FALSE)="NR","NR",IF(M44="NR","NR",M44/(VLOOKUP(_xlfn.CONCAT(M$6,$C44),BurnRate!$G$3:$P$1102,10,FALSE)/90)))</f>
        <v>NR</v>
      </c>
      <c r="O44" s="169" t="str">
        <f>IF(SUM(VLOOKUP($C44,DATA_Depts[[#All],[COVID-19 Item List]:[SCL]],MATCH(O$6,DATA_Depts[[#Headers],[COVID-19 Item List]:[SCL]],0),FALSE)=0),IF(VLOOKUP(_xlfn.CONCAT(O$6,$C44),BurnRate!$G$3:$P$1102,10,FALSE)="NR","NR",0),VLOOKUP($C44,DATA_Depts[[#All],[COVID-19 Item List]:[SCL]],MATCH(O$6,DATA_Depts[[#Headers],[COVID-19 Item List]:[SCL]],0),FALSE))</f>
        <v>NR</v>
      </c>
      <c r="P44" s="148" t="str">
        <f>IF(VLOOKUP(_xlfn.CONCAT(O$6,$C44),BurnRate!$G$3:$P$1102,10,FALSE)="NR","NR",IF(O44="NR","NR",O44/(VLOOKUP(_xlfn.CONCAT(O$6,$C44),BurnRate!$G$3:$P$1102,10,FALSE)/90)))</f>
        <v>NR</v>
      </c>
      <c r="Q44" s="169" t="str">
        <f>IF(SUM(VLOOKUP($C44,DATA_Depts[[#All],[COVID-19 Item List]:[SCL]],MATCH(Q$6,DATA_Depts[[#Headers],[COVID-19 Item List]:[SCL]],0),FALSE)=0),IF(VLOOKUP(_xlfn.CONCAT(Q$6,$C44),BurnRate!$G$3:$P$1102,10,FALSE)="NR","NR",0),VLOOKUP($C44,DATA_Depts[[#All],[COVID-19 Item List]:[SCL]],MATCH(Q$6,DATA_Depts[[#Headers],[COVID-19 Item List]:[SCL]],0),FALSE))</f>
        <v>NR</v>
      </c>
      <c r="R44" s="148" t="str">
        <f>IF(VLOOKUP(_xlfn.CONCAT(Q$6,$C44),BurnRate!$G$3:$P$1102,10,FALSE)="NR","NR",IF(Q44="NR","NR",Q44/(VLOOKUP(_xlfn.CONCAT(Q$6,$C44),BurnRate!$G$3:$P$1102,10,FALSE)/90)))</f>
        <v>NR</v>
      </c>
      <c r="S44" s="169" t="str">
        <f>IF(SUM(VLOOKUP($C44,DATA_Depts[[#All],[COVID-19 Item List]:[SCL]],MATCH(S$6,DATA_Depts[[#Headers],[COVID-19 Item List]:[SCL]],0),FALSE)=0),IF(VLOOKUP(_xlfn.CONCAT(S$6,$C44),BurnRate!$G$3:$P$1102,10,FALSE)="NR","NR",0),VLOOKUP($C44,DATA_Depts[[#All],[COVID-19 Item List]:[SCL]],MATCH(S$6,DATA_Depts[[#Headers],[COVID-19 Item List]:[SCL]],0),FALSE))</f>
        <v>NR</v>
      </c>
      <c r="T44" s="148" t="str">
        <f>IF(VLOOKUP(_xlfn.CONCAT(S$6,$C44),BurnRate!$G$3:$P$1102,10,FALSE)="NR","NR",IF(S44="NR","NR",S44/(VLOOKUP(_xlfn.CONCAT(S$6,$C44),BurnRate!$G$3:$P$1102,10,FALSE)/90)))</f>
        <v>NR</v>
      </c>
      <c r="U44" s="169" t="str">
        <f>IF(SUM(VLOOKUP($C44,DATA_Depts[[#All],[COVID-19 Item List]:[SCL]],MATCH(U$6,DATA_Depts[[#Headers],[COVID-19 Item List]:[SCL]],0),FALSE)=0),IF(VLOOKUP(_xlfn.CONCAT(U$6,$C44),BurnRate!$G$3:$P$1102,10,FALSE)="NR","NR",0),VLOOKUP($C44,DATA_Depts[[#All],[COVID-19 Item List]:[SCL]],MATCH(U$6,DATA_Depts[[#Headers],[COVID-19 Item List]:[SCL]],0),FALSE))</f>
        <v>NR</v>
      </c>
      <c r="V44" s="148" t="str">
        <f>IF(VLOOKUP(_xlfn.CONCAT(U$6,$C44),BurnRate!$G$3:$P$1102,10,FALSE)="NR","NR",IF(U44="NR","NR",U44/(VLOOKUP(_xlfn.CONCAT(U$6,$C44),BurnRate!$G$3:$P$1102,10,FALSE)/90)))</f>
        <v>NR</v>
      </c>
      <c r="W44" s="169" t="str">
        <f>IF(SUM(VLOOKUP($C44,DATA_Depts[[#All],[COVID-19 Item List]:[SCL]],MATCH(W$6,DATA_Depts[[#Headers],[COVID-19 Item List]:[SCL]],0),FALSE)=0),IF(VLOOKUP(_xlfn.CONCAT(W$6,$C44),BurnRate!$G$3:$P$1102,10,FALSE)="NR","NR",0),VLOOKUP($C44,DATA_Depts[[#All],[COVID-19 Item List]:[SCL]],MATCH(W$6,DATA_Depts[[#Headers],[COVID-19 Item List]:[SCL]],0),FALSE))</f>
        <v>NR</v>
      </c>
      <c r="X44" s="148" t="str">
        <f>IF(VLOOKUP(_xlfn.CONCAT(W$6,$C44),BurnRate!$G$3:$P$1102,10,FALSE)="NR","NR",IF(W44="NR","NR",W44/(VLOOKUP(_xlfn.CONCAT(W$6,$C44),BurnRate!$G$3:$P$1102,10,FALSE)/90)))</f>
        <v>NR</v>
      </c>
      <c r="Y44" s="169" t="str">
        <f>IF(SUM(VLOOKUP($C44,DATA_Depts[[#All],[COVID-19 Item List]:[SCL]],MATCH(Y$6,DATA_Depts[[#Headers],[COVID-19 Item List]:[SCL]],0),FALSE)=0),IF(VLOOKUP(_xlfn.CONCAT(Y$6,$C44),BurnRate!$G$3:$P$1102,10,FALSE)="NR","NR",0),VLOOKUP($C44,DATA_Depts[[#All],[COVID-19 Item List]:[SCL]],MATCH(Y$6,DATA_Depts[[#Headers],[COVID-19 Item List]:[SCL]],0),FALSE))</f>
        <v>NR</v>
      </c>
      <c r="Z44" s="148" t="str">
        <f>IF(VLOOKUP(_xlfn.CONCAT(Y$6,$C44),BurnRate!$G$3:$P$1102,10,FALSE)="NR","NR",IF(Y44="NR","NR",Y44/(VLOOKUP(_xlfn.CONCAT(Y$6,$C44),BurnRate!$G$3:$P$1102,10,FALSE)/90)))</f>
        <v>NR</v>
      </c>
    </row>
    <row r="45" spans="2:26" s="43" customFormat="1" ht="11" hidden="1">
      <c r="B45" s="46">
        <v>38</v>
      </c>
      <c r="C45" s="47" t="str">
        <f>_xlfn.SINGLE(VLOOKUP(B45,DisplayOrder[#All],2,FALSE))</f>
        <v>Reserved-38</v>
      </c>
      <c r="D45" s="116" t="str">
        <f>_xlfn.SINGLE(VLOOKUP(B45,DisplayOrder!A:C,3,FALSE))</f>
        <v>each</v>
      </c>
      <c r="E45" s="117" t="str">
        <f>IF(VLOOKUP(_xlfn.CONCAT(E$6,$C45),BurnRate!$G$3:$P$1102,10,FALSE)="NR",IF(SUMIF(FAS_Centralized!K:K,C45,FAS_Centralized!N:N)=0,"NR",SUMIF(FAS_Centralized!K:K,C45,FAS_Centralized!N:N)),SUMIF(FAS_Centralized!K:K,C45,FAS_Centralized!N:N))</f>
        <v>NR</v>
      </c>
      <c r="F45" s="148" t="str">
        <f>IF(VLOOKUP(_xlfn.CONCAT(E$6,$C45),BurnRate!$G$3:$P$1102,10,FALSE)="NR","NR",IF(E45="NR","NR",E45/(VLOOKUP(_xlfn.CONCAT(E$6,$C45),BurnRate!$G$3:$P$1102,10,FALSE)/90)))</f>
        <v>NR</v>
      </c>
      <c r="G45" s="169" t="str">
        <f>IF(SUM(VLOOKUP($C45,DATA_Depts[[#All],[COVID-19 Item List]:[SCL]],MATCH(G$6,DATA_Depts[[#Headers],[COVID-19 Item List]:[SCL]],0),FALSE)=0),IF(VLOOKUP(_xlfn.CONCAT(G$6,$C45),BurnRate!$G$3:$P$1102,10,FALSE)="NR","NR",0),VLOOKUP($C45,DATA_Depts[[#All],[COVID-19 Item List]:[SCL]],MATCH(G$6,DATA_Depts[[#Headers],[COVID-19 Item List]:[SCL]],0),FALSE))</f>
        <v>NR</v>
      </c>
      <c r="H45" s="148" t="str">
        <f>IF(VLOOKUP(_xlfn.CONCAT(G$6,$C45),BurnRate!$G$3:$P$1102,10,FALSE)="NR","NR",IF(G45="NR","NR",G45/(VLOOKUP(_xlfn.CONCAT(G$6,$C45),BurnRate!$G$3:$P$1102,10,FALSE)/90)))</f>
        <v>NR</v>
      </c>
      <c r="I45" s="169" t="str">
        <f>IF(SUM(VLOOKUP($C45,DATA_Depts[[#All],[COVID-19 Item List]:[SCL]],MATCH(I$6,DATA_Depts[[#Headers],[COVID-19 Item List]:[SCL]],0),FALSE)=0),IF(VLOOKUP(_xlfn.CONCAT(I$6,$C45),BurnRate!$G$3:$P$1102,10,FALSE)="NR","NR",0),VLOOKUP($C45,DATA_Depts[[#All],[COVID-19 Item List]:[SCL]],MATCH(I$6,DATA_Depts[[#Headers],[COVID-19 Item List]:[SCL]],0),FALSE))</f>
        <v>NR</v>
      </c>
      <c r="J45" s="148" t="str">
        <f>IF(VLOOKUP(_xlfn.CONCAT(I$6,$C45),BurnRate!$G$3:$P$1102,10,FALSE)="NR","NR",IF(I45="NR","NR",I45/(VLOOKUP(_xlfn.CONCAT(I$6,$C45),BurnRate!$G$3:$P$1102,10,FALSE)/90)))</f>
        <v>NR</v>
      </c>
      <c r="K45" s="169" t="str">
        <f>IF(SUM(VLOOKUP($C45,DATA_Depts[[#All],[COVID-19 Item List]:[SCL]],MATCH(K$6,DATA_Depts[[#Headers],[COVID-19 Item List]:[SCL]],0),FALSE)=0),IF(VLOOKUP(_xlfn.CONCAT(K$6,$C45),BurnRate!$G$3:$P$1102,10,FALSE)="NR","NR",0),VLOOKUP($C45,DATA_Depts[[#All],[COVID-19 Item List]:[SCL]],MATCH(K$6,DATA_Depts[[#Headers],[COVID-19 Item List]:[SCL]],0),FALSE))</f>
        <v>NR</v>
      </c>
      <c r="L45" s="148" t="str">
        <f>IF(VLOOKUP(_xlfn.CONCAT(K$6,$C45),BurnRate!$G$3:$P$1102,10,FALSE)="NR","NR",IF(K45="NR","NR",K45/(VLOOKUP(_xlfn.CONCAT(K$6,$C45),BurnRate!$G$3:$P$1102,10,FALSE)/90)))</f>
        <v>NR</v>
      </c>
      <c r="M45" s="169" t="str">
        <f>IF(SUM(VLOOKUP($C45,DATA_Depts[[#All],[COVID-19 Item List]:[SCL]],MATCH(M$6,DATA_Depts[[#Headers],[COVID-19 Item List]:[SCL]],0),FALSE)=0),IF(VLOOKUP(_xlfn.CONCAT(M$6,$C45),BurnRate!$G$3:$P$1102,10,FALSE)="NR","NR",0),VLOOKUP($C45,DATA_Depts[[#All],[COVID-19 Item List]:[SCL]],MATCH(M$6,DATA_Depts[[#Headers],[COVID-19 Item List]:[SCL]],0),FALSE))</f>
        <v>NR</v>
      </c>
      <c r="N45" s="148" t="str">
        <f>IF(VLOOKUP(_xlfn.CONCAT(M$6,$C45),BurnRate!$G$3:$P$1102,10,FALSE)="NR","NR",IF(M45="NR","NR",M45/(VLOOKUP(_xlfn.CONCAT(M$6,$C45),BurnRate!$G$3:$P$1102,10,FALSE)/90)))</f>
        <v>NR</v>
      </c>
      <c r="O45" s="169" t="str">
        <f>IF(SUM(VLOOKUP($C45,DATA_Depts[[#All],[COVID-19 Item List]:[SCL]],MATCH(O$6,DATA_Depts[[#Headers],[COVID-19 Item List]:[SCL]],0),FALSE)=0),IF(VLOOKUP(_xlfn.CONCAT(O$6,$C45),BurnRate!$G$3:$P$1102,10,FALSE)="NR","NR",0),VLOOKUP($C45,DATA_Depts[[#All],[COVID-19 Item List]:[SCL]],MATCH(O$6,DATA_Depts[[#Headers],[COVID-19 Item List]:[SCL]],0),FALSE))</f>
        <v>NR</v>
      </c>
      <c r="P45" s="148" t="str">
        <f>IF(VLOOKUP(_xlfn.CONCAT(O$6,$C45),BurnRate!$G$3:$P$1102,10,FALSE)="NR","NR",IF(O45="NR","NR",O45/(VLOOKUP(_xlfn.CONCAT(O$6,$C45),BurnRate!$G$3:$P$1102,10,FALSE)/90)))</f>
        <v>NR</v>
      </c>
      <c r="Q45" s="169" t="str">
        <f>IF(SUM(VLOOKUP($C45,DATA_Depts[[#All],[COVID-19 Item List]:[SCL]],MATCH(Q$6,DATA_Depts[[#Headers],[COVID-19 Item List]:[SCL]],0),FALSE)=0),IF(VLOOKUP(_xlfn.CONCAT(Q$6,$C45),BurnRate!$G$3:$P$1102,10,FALSE)="NR","NR",0),VLOOKUP($C45,DATA_Depts[[#All],[COVID-19 Item List]:[SCL]],MATCH(Q$6,DATA_Depts[[#Headers],[COVID-19 Item List]:[SCL]],0),FALSE))</f>
        <v>NR</v>
      </c>
      <c r="R45" s="148" t="str">
        <f>IF(VLOOKUP(_xlfn.CONCAT(Q$6,$C45),BurnRate!$G$3:$P$1102,10,FALSE)="NR","NR",IF(Q45="NR","NR",Q45/(VLOOKUP(_xlfn.CONCAT(Q$6,$C45),BurnRate!$G$3:$P$1102,10,FALSE)/90)))</f>
        <v>NR</v>
      </c>
      <c r="S45" s="169" t="str">
        <f>IF(SUM(VLOOKUP($C45,DATA_Depts[[#All],[COVID-19 Item List]:[SCL]],MATCH(S$6,DATA_Depts[[#Headers],[COVID-19 Item List]:[SCL]],0),FALSE)=0),IF(VLOOKUP(_xlfn.CONCAT(S$6,$C45),BurnRate!$G$3:$P$1102,10,FALSE)="NR","NR",0),VLOOKUP($C45,DATA_Depts[[#All],[COVID-19 Item List]:[SCL]],MATCH(S$6,DATA_Depts[[#Headers],[COVID-19 Item List]:[SCL]],0),FALSE))</f>
        <v>NR</v>
      </c>
      <c r="T45" s="148" t="str">
        <f>IF(VLOOKUP(_xlfn.CONCAT(S$6,$C45),BurnRate!$G$3:$P$1102,10,FALSE)="NR","NR",IF(S45="NR","NR",S45/(VLOOKUP(_xlfn.CONCAT(S$6,$C45),BurnRate!$G$3:$P$1102,10,FALSE)/90)))</f>
        <v>NR</v>
      </c>
      <c r="U45" s="169" t="str">
        <f>IF(SUM(VLOOKUP($C45,DATA_Depts[[#All],[COVID-19 Item List]:[SCL]],MATCH(U$6,DATA_Depts[[#Headers],[COVID-19 Item List]:[SCL]],0),FALSE)=0),IF(VLOOKUP(_xlfn.CONCAT(U$6,$C45),BurnRate!$G$3:$P$1102,10,FALSE)="NR","NR",0),VLOOKUP($C45,DATA_Depts[[#All],[COVID-19 Item List]:[SCL]],MATCH(U$6,DATA_Depts[[#Headers],[COVID-19 Item List]:[SCL]],0),FALSE))</f>
        <v>NR</v>
      </c>
      <c r="V45" s="148" t="str">
        <f>IF(VLOOKUP(_xlfn.CONCAT(U$6,$C45),BurnRate!$G$3:$P$1102,10,FALSE)="NR","NR",IF(U45="NR","NR",U45/(VLOOKUP(_xlfn.CONCAT(U$6,$C45),BurnRate!$G$3:$P$1102,10,FALSE)/90)))</f>
        <v>NR</v>
      </c>
      <c r="W45" s="169" t="str">
        <f>IF(SUM(VLOOKUP($C45,DATA_Depts[[#All],[COVID-19 Item List]:[SCL]],MATCH(W$6,DATA_Depts[[#Headers],[COVID-19 Item List]:[SCL]],0),FALSE)=0),IF(VLOOKUP(_xlfn.CONCAT(W$6,$C45),BurnRate!$G$3:$P$1102,10,FALSE)="NR","NR",0),VLOOKUP($C45,DATA_Depts[[#All],[COVID-19 Item List]:[SCL]],MATCH(W$6,DATA_Depts[[#Headers],[COVID-19 Item List]:[SCL]],0),FALSE))</f>
        <v>NR</v>
      </c>
      <c r="X45" s="148" t="str">
        <f>IF(VLOOKUP(_xlfn.CONCAT(W$6,$C45),BurnRate!$G$3:$P$1102,10,FALSE)="NR","NR",IF(W45="NR","NR",W45/(VLOOKUP(_xlfn.CONCAT(W$6,$C45),BurnRate!$G$3:$P$1102,10,FALSE)/90)))</f>
        <v>NR</v>
      </c>
      <c r="Y45" s="169" t="str">
        <f>IF(SUM(VLOOKUP($C45,DATA_Depts[[#All],[COVID-19 Item List]:[SCL]],MATCH(Y$6,DATA_Depts[[#Headers],[COVID-19 Item List]:[SCL]],0),FALSE)=0),IF(VLOOKUP(_xlfn.CONCAT(Y$6,$C45),BurnRate!$G$3:$P$1102,10,FALSE)="NR","NR",0),VLOOKUP($C45,DATA_Depts[[#All],[COVID-19 Item List]:[SCL]],MATCH(Y$6,DATA_Depts[[#Headers],[COVID-19 Item List]:[SCL]],0),FALSE))</f>
        <v>NR</v>
      </c>
      <c r="Z45" s="148" t="str">
        <f>IF(VLOOKUP(_xlfn.CONCAT(Y$6,$C45),BurnRate!$G$3:$P$1102,10,FALSE)="NR","NR",IF(Y45="NR","NR",Y45/(VLOOKUP(_xlfn.CONCAT(Y$6,$C45),BurnRate!$G$3:$P$1102,10,FALSE)/90)))</f>
        <v>NR</v>
      </c>
    </row>
    <row r="46" spans="2:26" s="43" customFormat="1" ht="11" hidden="1">
      <c r="B46" s="46">
        <v>39</v>
      </c>
      <c r="C46" s="47" t="str">
        <f>_xlfn.SINGLE(VLOOKUP(B46,DisplayOrder[#All],2,FALSE))</f>
        <v>Reserved-39</v>
      </c>
      <c r="D46" s="116" t="str">
        <f>_xlfn.SINGLE(VLOOKUP(B46,DisplayOrder!A:C,3,FALSE))</f>
        <v>each</v>
      </c>
      <c r="E46" s="117" t="str">
        <f>IF(VLOOKUP(_xlfn.CONCAT(E$6,$C46),BurnRate!$G$3:$P$1102,10,FALSE)="NR",IF(SUMIF(FAS_Centralized!K:K,C46,FAS_Centralized!N:N)=0,"NR",SUMIF(FAS_Centralized!K:K,C46,FAS_Centralized!N:N)),SUMIF(FAS_Centralized!K:K,C46,FAS_Centralized!N:N))</f>
        <v>NR</v>
      </c>
      <c r="F46" s="148" t="str">
        <f>IF(VLOOKUP(_xlfn.CONCAT(E$6,$C46),BurnRate!$G$3:$P$1102,10,FALSE)="NR","NR",IF(E46="NR","NR",E46/(VLOOKUP(_xlfn.CONCAT(E$6,$C46),BurnRate!$G$3:$P$1102,10,FALSE)/90)))</f>
        <v>NR</v>
      </c>
      <c r="G46" s="169" t="str">
        <f>IF(SUM(VLOOKUP($C46,DATA_Depts[[#All],[COVID-19 Item List]:[SCL]],MATCH(G$6,DATA_Depts[[#Headers],[COVID-19 Item List]:[SCL]],0),FALSE)=0),IF(VLOOKUP(_xlfn.CONCAT(G$6,$C46),BurnRate!$G$3:$P$1102,10,FALSE)="NR","NR",0),VLOOKUP($C46,DATA_Depts[[#All],[COVID-19 Item List]:[SCL]],MATCH(G$6,DATA_Depts[[#Headers],[COVID-19 Item List]:[SCL]],0),FALSE))</f>
        <v>NR</v>
      </c>
      <c r="H46" s="148" t="str">
        <f>IF(VLOOKUP(_xlfn.CONCAT(G$6,$C46),BurnRate!$G$3:$P$1102,10,FALSE)="NR","NR",IF(G46="NR","NR",G46/(VLOOKUP(_xlfn.CONCAT(G$6,$C46),BurnRate!$G$3:$P$1102,10,FALSE)/90)))</f>
        <v>NR</v>
      </c>
      <c r="I46" s="169" t="str">
        <f>IF(SUM(VLOOKUP($C46,DATA_Depts[[#All],[COVID-19 Item List]:[SCL]],MATCH(I$6,DATA_Depts[[#Headers],[COVID-19 Item List]:[SCL]],0),FALSE)=0),IF(VLOOKUP(_xlfn.CONCAT(I$6,$C46),BurnRate!$G$3:$P$1102,10,FALSE)="NR","NR",0),VLOOKUP($C46,DATA_Depts[[#All],[COVID-19 Item List]:[SCL]],MATCH(I$6,DATA_Depts[[#Headers],[COVID-19 Item List]:[SCL]],0),FALSE))</f>
        <v>NR</v>
      </c>
      <c r="J46" s="148" t="str">
        <f>IF(VLOOKUP(_xlfn.CONCAT(I$6,$C46),BurnRate!$G$3:$P$1102,10,FALSE)="NR","NR",IF(I46="NR","NR",I46/(VLOOKUP(_xlfn.CONCAT(I$6,$C46),BurnRate!$G$3:$P$1102,10,FALSE)/90)))</f>
        <v>NR</v>
      </c>
      <c r="K46" s="169" t="str">
        <f>IF(SUM(VLOOKUP($C46,DATA_Depts[[#All],[COVID-19 Item List]:[SCL]],MATCH(K$6,DATA_Depts[[#Headers],[COVID-19 Item List]:[SCL]],0),FALSE)=0),IF(VLOOKUP(_xlfn.CONCAT(K$6,$C46),BurnRate!$G$3:$P$1102,10,FALSE)="NR","NR",0),VLOOKUP($C46,DATA_Depts[[#All],[COVID-19 Item List]:[SCL]],MATCH(K$6,DATA_Depts[[#Headers],[COVID-19 Item List]:[SCL]],0),FALSE))</f>
        <v>NR</v>
      </c>
      <c r="L46" s="148" t="str">
        <f>IF(VLOOKUP(_xlfn.CONCAT(K$6,$C46),BurnRate!$G$3:$P$1102,10,FALSE)="NR","NR",IF(K46="NR","NR",K46/(VLOOKUP(_xlfn.CONCAT(K$6,$C46),BurnRate!$G$3:$P$1102,10,FALSE)/90)))</f>
        <v>NR</v>
      </c>
      <c r="M46" s="169" t="str">
        <f>IF(SUM(VLOOKUP($C46,DATA_Depts[[#All],[COVID-19 Item List]:[SCL]],MATCH(M$6,DATA_Depts[[#Headers],[COVID-19 Item List]:[SCL]],0),FALSE)=0),IF(VLOOKUP(_xlfn.CONCAT(M$6,$C46),BurnRate!$G$3:$P$1102,10,FALSE)="NR","NR",0),VLOOKUP($C46,DATA_Depts[[#All],[COVID-19 Item List]:[SCL]],MATCH(M$6,DATA_Depts[[#Headers],[COVID-19 Item List]:[SCL]],0),FALSE))</f>
        <v>NR</v>
      </c>
      <c r="N46" s="148" t="str">
        <f>IF(VLOOKUP(_xlfn.CONCAT(M$6,$C46),BurnRate!$G$3:$P$1102,10,FALSE)="NR","NR",IF(M46="NR","NR",M46/(VLOOKUP(_xlfn.CONCAT(M$6,$C46),BurnRate!$G$3:$P$1102,10,FALSE)/90)))</f>
        <v>NR</v>
      </c>
      <c r="O46" s="169" t="str">
        <f>IF(SUM(VLOOKUP($C46,DATA_Depts[[#All],[COVID-19 Item List]:[SCL]],MATCH(O$6,DATA_Depts[[#Headers],[COVID-19 Item List]:[SCL]],0),FALSE)=0),IF(VLOOKUP(_xlfn.CONCAT(O$6,$C46),BurnRate!$G$3:$P$1102,10,FALSE)="NR","NR",0),VLOOKUP($C46,DATA_Depts[[#All],[COVID-19 Item List]:[SCL]],MATCH(O$6,DATA_Depts[[#Headers],[COVID-19 Item List]:[SCL]],0),FALSE))</f>
        <v>NR</v>
      </c>
      <c r="P46" s="148" t="str">
        <f>IF(VLOOKUP(_xlfn.CONCAT(O$6,$C46),BurnRate!$G$3:$P$1102,10,FALSE)="NR","NR",IF(O46="NR","NR",O46/(VLOOKUP(_xlfn.CONCAT(O$6,$C46),BurnRate!$G$3:$P$1102,10,FALSE)/90)))</f>
        <v>NR</v>
      </c>
      <c r="Q46" s="169" t="str">
        <f>IF(SUM(VLOOKUP($C46,DATA_Depts[[#All],[COVID-19 Item List]:[SCL]],MATCH(Q$6,DATA_Depts[[#Headers],[COVID-19 Item List]:[SCL]],0),FALSE)=0),IF(VLOOKUP(_xlfn.CONCAT(Q$6,$C46),BurnRate!$G$3:$P$1102,10,FALSE)="NR","NR",0),VLOOKUP($C46,DATA_Depts[[#All],[COVID-19 Item List]:[SCL]],MATCH(Q$6,DATA_Depts[[#Headers],[COVID-19 Item List]:[SCL]],0),FALSE))</f>
        <v>NR</v>
      </c>
      <c r="R46" s="148" t="str">
        <f>IF(VLOOKUP(_xlfn.CONCAT(Q$6,$C46),BurnRate!$G$3:$P$1102,10,FALSE)="NR","NR",IF(Q46="NR","NR",Q46/(VLOOKUP(_xlfn.CONCAT(Q$6,$C46),BurnRate!$G$3:$P$1102,10,FALSE)/90)))</f>
        <v>NR</v>
      </c>
      <c r="S46" s="169" t="str">
        <f>IF(SUM(VLOOKUP($C46,DATA_Depts[[#All],[COVID-19 Item List]:[SCL]],MATCH(S$6,DATA_Depts[[#Headers],[COVID-19 Item List]:[SCL]],0),FALSE)=0),IF(VLOOKUP(_xlfn.CONCAT(S$6,$C46),BurnRate!$G$3:$P$1102,10,FALSE)="NR","NR",0),VLOOKUP($C46,DATA_Depts[[#All],[COVID-19 Item List]:[SCL]],MATCH(S$6,DATA_Depts[[#Headers],[COVID-19 Item List]:[SCL]],0),FALSE))</f>
        <v>NR</v>
      </c>
      <c r="T46" s="148" t="str">
        <f>IF(VLOOKUP(_xlfn.CONCAT(S$6,$C46),BurnRate!$G$3:$P$1102,10,FALSE)="NR","NR",IF(S46="NR","NR",S46/(VLOOKUP(_xlfn.CONCAT(S$6,$C46),BurnRate!$G$3:$P$1102,10,FALSE)/90)))</f>
        <v>NR</v>
      </c>
      <c r="U46" s="169" t="str">
        <f>IF(SUM(VLOOKUP($C46,DATA_Depts[[#All],[COVID-19 Item List]:[SCL]],MATCH(U$6,DATA_Depts[[#Headers],[COVID-19 Item List]:[SCL]],0),FALSE)=0),IF(VLOOKUP(_xlfn.CONCAT(U$6,$C46),BurnRate!$G$3:$P$1102,10,FALSE)="NR","NR",0),VLOOKUP($C46,DATA_Depts[[#All],[COVID-19 Item List]:[SCL]],MATCH(U$6,DATA_Depts[[#Headers],[COVID-19 Item List]:[SCL]],0),FALSE))</f>
        <v>NR</v>
      </c>
      <c r="V46" s="148" t="str">
        <f>IF(VLOOKUP(_xlfn.CONCAT(U$6,$C46),BurnRate!$G$3:$P$1102,10,FALSE)="NR","NR",IF(U46="NR","NR",U46/(VLOOKUP(_xlfn.CONCAT(U$6,$C46),BurnRate!$G$3:$P$1102,10,FALSE)/90)))</f>
        <v>NR</v>
      </c>
      <c r="W46" s="169" t="str">
        <f>IF(SUM(VLOOKUP($C46,DATA_Depts[[#All],[COVID-19 Item List]:[SCL]],MATCH(W$6,DATA_Depts[[#Headers],[COVID-19 Item List]:[SCL]],0),FALSE)=0),IF(VLOOKUP(_xlfn.CONCAT(W$6,$C46),BurnRate!$G$3:$P$1102,10,FALSE)="NR","NR",0),VLOOKUP($C46,DATA_Depts[[#All],[COVID-19 Item List]:[SCL]],MATCH(W$6,DATA_Depts[[#Headers],[COVID-19 Item List]:[SCL]],0),FALSE))</f>
        <v>NR</v>
      </c>
      <c r="X46" s="148" t="str">
        <f>IF(VLOOKUP(_xlfn.CONCAT(W$6,$C46),BurnRate!$G$3:$P$1102,10,FALSE)="NR","NR",IF(W46="NR","NR",W46/(VLOOKUP(_xlfn.CONCAT(W$6,$C46),BurnRate!$G$3:$P$1102,10,FALSE)/90)))</f>
        <v>NR</v>
      </c>
      <c r="Y46" s="169" t="str">
        <f>IF(SUM(VLOOKUP($C46,DATA_Depts[[#All],[COVID-19 Item List]:[SCL]],MATCH(Y$6,DATA_Depts[[#Headers],[COVID-19 Item List]:[SCL]],0),FALSE)=0),IF(VLOOKUP(_xlfn.CONCAT(Y$6,$C46),BurnRate!$G$3:$P$1102,10,FALSE)="NR","NR",0),VLOOKUP($C46,DATA_Depts[[#All],[COVID-19 Item List]:[SCL]],MATCH(Y$6,DATA_Depts[[#Headers],[COVID-19 Item List]:[SCL]],0),FALSE))</f>
        <v>NR</v>
      </c>
      <c r="Z46" s="148" t="str">
        <f>IF(VLOOKUP(_xlfn.CONCAT(Y$6,$C46),BurnRate!$G$3:$P$1102,10,FALSE)="NR","NR",IF(Y46="NR","NR",Y46/(VLOOKUP(_xlfn.CONCAT(Y$6,$C46),BurnRate!$G$3:$P$1102,10,FALSE)/90)))</f>
        <v>NR</v>
      </c>
    </row>
    <row r="47" spans="2:26" s="43" customFormat="1" ht="11" hidden="1">
      <c r="B47" s="46">
        <v>40</v>
      </c>
      <c r="C47" s="47" t="str">
        <f>_xlfn.SINGLE(VLOOKUP(B47,DisplayOrder[#All],2,FALSE))</f>
        <v>Reserved-40</v>
      </c>
      <c r="D47" s="116" t="str">
        <f>_xlfn.SINGLE(VLOOKUP(B47,DisplayOrder!A:C,3,FALSE))</f>
        <v>each</v>
      </c>
      <c r="E47" s="117" t="str">
        <f>IF(VLOOKUP(_xlfn.CONCAT(E$6,$C47),BurnRate!$G$3:$P$1102,10,FALSE)="NR",IF(SUMIF(FAS_Centralized!K:K,C47,FAS_Centralized!N:N)=0,"NR",SUMIF(FAS_Centralized!K:K,C47,FAS_Centralized!N:N)),SUMIF(FAS_Centralized!K:K,C47,FAS_Centralized!N:N))</f>
        <v>NR</v>
      </c>
      <c r="F47" s="148" t="str">
        <f>IF(VLOOKUP(_xlfn.CONCAT(E$6,$C47),BurnRate!$G$3:$P$1102,10,FALSE)="NR","NR",IF(E47="NR","NR",E47/(VLOOKUP(_xlfn.CONCAT(E$6,$C47),BurnRate!$G$3:$P$1102,10,FALSE)/90)))</f>
        <v>NR</v>
      </c>
      <c r="G47" s="169" t="str">
        <f>IF(SUM(VLOOKUP($C47,DATA_Depts[[#All],[COVID-19 Item List]:[SCL]],MATCH(G$6,DATA_Depts[[#Headers],[COVID-19 Item List]:[SCL]],0),FALSE)=0),IF(VLOOKUP(_xlfn.CONCAT(G$6,$C47),BurnRate!$G$3:$P$1102,10,FALSE)="NR","NR",0),VLOOKUP($C47,DATA_Depts[[#All],[COVID-19 Item List]:[SCL]],MATCH(G$6,DATA_Depts[[#Headers],[COVID-19 Item List]:[SCL]],0),FALSE))</f>
        <v>NR</v>
      </c>
      <c r="H47" s="148" t="str">
        <f>IF(VLOOKUP(_xlfn.CONCAT(G$6,$C47),BurnRate!$G$3:$P$1102,10,FALSE)="NR","NR",IF(G47="NR","NR",G47/(VLOOKUP(_xlfn.CONCAT(G$6,$C47),BurnRate!$G$3:$P$1102,10,FALSE)/90)))</f>
        <v>NR</v>
      </c>
      <c r="I47" s="169" t="str">
        <f>IF(SUM(VLOOKUP($C47,DATA_Depts[[#All],[COVID-19 Item List]:[SCL]],MATCH(I$6,DATA_Depts[[#Headers],[COVID-19 Item List]:[SCL]],0),FALSE)=0),IF(VLOOKUP(_xlfn.CONCAT(I$6,$C47),BurnRate!$G$3:$P$1102,10,FALSE)="NR","NR",0),VLOOKUP($C47,DATA_Depts[[#All],[COVID-19 Item List]:[SCL]],MATCH(I$6,DATA_Depts[[#Headers],[COVID-19 Item List]:[SCL]],0),FALSE))</f>
        <v>NR</v>
      </c>
      <c r="J47" s="148" t="str">
        <f>IF(VLOOKUP(_xlfn.CONCAT(I$6,$C47),BurnRate!$G$3:$P$1102,10,FALSE)="NR","NR",IF(I47="NR","NR",I47/(VLOOKUP(_xlfn.CONCAT(I$6,$C47),BurnRate!$G$3:$P$1102,10,FALSE)/90)))</f>
        <v>NR</v>
      </c>
      <c r="K47" s="169" t="str">
        <f>IF(SUM(VLOOKUP($C47,DATA_Depts[[#All],[COVID-19 Item List]:[SCL]],MATCH(K$6,DATA_Depts[[#Headers],[COVID-19 Item List]:[SCL]],0),FALSE)=0),IF(VLOOKUP(_xlfn.CONCAT(K$6,$C47),BurnRate!$G$3:$P$1102,10,FALSE)="NR","NR",0),VLOOKUP($C47,DATA_Depts[[#All],[COVID-19 Item List]:[SCL]],MATCH(K$6,DATA_Depts[[#Headers],[COVID-19 Item List]:[SCL]],0),FALSE))</f>
        <v>NR</v>
      </c>
      <c r="L47" s="148" t="str">
        <f>IF(VLOOKUP(_xlfn.CONCAT(K$6,$C47),BurnRate!$G$3:$P$1102,10,FALSE)="NR","NR",IF(K47="NR","NR",K47/(VLOOKUP(_xlfn.CONCAT(K$6,$C47),BurnRate!$G$3:$P$1102,10,FALSE)/90)))</f>
        <v>NR</v>
      </c>
      <c r="M47" s="169" t="str">
        <f>IF(SUM(VLOOKUP($C47,DATA_Depts[[#All],[COVID-19 Item List]:[SCL]],MATCH(M$6,DATA_Depts[[#Headers],[COVID-19 Item List]:[SCL]],0),FALSE)=0),IF(VLOOKUP(_xlfn.CONCAT(M$6,$C47),BurnRate!$G$3:$P$1102,10,FALSE)="NR","NR",0),VLOOKUP($C47,DATA_Depts[[#All],[COVID-19 Item List]:[SCL]],MATCH(M$6,DATA_Depts[[#Headers],[COVID-19 Item List]:[SCL]],0),FALSE))</f>
        <v>NR</v>
      </c>
      <c r="N47" s="148" t="str">
        <f>IF(VLOOKUP(_xlfn.CONCAT(M$6,$C47),BurnRate!$G$3:$P$1102,10,FALSE)="NR","NR",IF(M47="NR","NR",M47/(VLOOKUP(_xlfn.CONCAT(M$6,$C47),BurnRate!$G$3:$P$1102,10,FALSE)/90)))</f>
        <v>NR</v>
      </c>
      <c r="O47" s="169" t="str">
        <f>IF(SUM(VLOOKUP($C47,DATA_Depts[[#All],[COVID-19 Item List]:[SCL]],MATCH(O$6,DATA_Depts[[#Headers],[COVID-19 Item List]:[SCL]],0),FALSE)=0),IF(VLOOKUP(_xlfn.CONCAT(O$6,$C47),BurnRate!$G$3:$P$1102,10,FALSE)="NR","NR",0),VLOOKUP($C47,DATA_Depts[[#All],[COVID-19 Item List]:[SCL]],MATCH(O$6,DATA_Depts[[#Headers],[COVID-19 Item List]:[SCL]],0),FALSE))</f>
        <v>NR</v>
      </c>
      <c r="P47" s="148" t="str">
        <f>IF(VLOOKUP(_xlfn.CONCAT(O$6,$C47),BurnRate!$G$3:$P$1102,10,FALSE)="NR","NR",IF(O47="NR","NR",O47/(VLOOKUP(_xlfn.CONCAT(O$6,$C47),BurnRate!$G$3:$P$1102,10,FALSE)/90)))</f>
        <v>NR</v>
      </c>
      <c r="Q47" s="169" t="str">
        <f>IF(SUM(VLOOKUP($C47,DATA_Depts[[#All],[COVID-19 Item List]:[SCL]],MATCH(Q$6,DATA_Depts[[#Headers],[COVID-19 Item List]:[SCL]],0),FALSE)=0),IF(VLOOKUP(_xlfn.CONCAT(Q$6,$C47),BurnRate!$G$3:$P$1102,10,FALSE)="NR","NR",0),VLOOKUP($C47,DATA_Depts[[#All],[COVID-19 Item List]:[SCL]],MATCH(Q$6,DATA_Depts[[#Headers],[COVID-19 Item List]:[SCL]],0),FALSE))</f>
        <v>NR</v>
      </c>
      <c r="R47" s="148" t="str">
        <f>IF(VLOOKUP(_xlfn.CONCAT(Q$6,$C47),BurnRate!$G$3:$P$1102,10,FALSE)="NR","NR",IF(Q47="NR","NR",Q47/(VLOOKUP(_xlfn.CONCAT(Q$6,$C47),BurnRate!$G$3:$P$1102,10,FALSE)/90)))</f>
        <v>NR</v>
      </c>
      <c r="S47" s="169" t="str">
        <f>IF(SUM(VLOOKUP($C47,DATA_Depts[[#All],[COVID-19 Item List]:[SCL]],MATCH(S$6,DATA_Depts[[#Headers],[COVID-19 Item List]:[SCL]],0),FALSE)=0),IF(VLOOKUP(_xlfn.CONCAT(S$6,$C47),BurnRate!$G$3:$P$1102,10,FALSE)="NR","NR",0),VLOOKUP($C47,DATA_Depts[[#All],[COVID-19 Item List]:[SCL]],MATCH(S$6,DATA_Depts[[#Headers],[COVID-19 Item List]:[SCL]],0),FALSE))</f>
        <v>NR</v>
      </c>
      <c r="T47" s="148" t="str">
        <f>IF(VLOOKUP(_xlfn.CONCAT(S$6,$C47),BurnRate!$G$3:$P$1102,10,FALSE)="NR","NR",IF(S47="NR","NR",S47/(VLOOKUP(_xlfn.CONCAT(S$6,$C47),BurnRate!$G$3:$P$1102,10,FALSE)/90)))</f>
        <v>NR</v>
      </c>
      <c r="U47" s="169" t="str">
        <f>IF(SUM(VLOOKUP($C47,DATA_Depts[[#All],[COVID-19 Item List]:[SCL]],MATCH(U$6,DATA_Depts[[#Headers],[COVID-19 Item List]:[SCL]],0),FALSE)=0),IF(VLOOKUP(_xlfn.CONCAT(U$6,$C47),BurnRate!$G$3:$P$1102,10,FALSE)="NR","NR",0),VLOOKUP($C47,DATA_Depts[[#All],[COVID-19 Item List]:[SCL]],MATCH(U$6,DATA_Depts[[#Headers],[COVID-19 Item List]:[SCL]],0),FALSE))</f>
        <v>NR</v>
      </c>
      <c r="V47" s="148" t="str">
        <f>IF(VLOOKUP(_xlfn.CONCAT(U$6,$C47),BurnRate!$G$3:$P$1102,10,FALSE)="NR","NR",IF(U47="NR","NR",U47/(VLOOKUP(_xlfn.CONCAT(U$6,$C47),BurnRate!$G$3:$P$1102,10,FALSE)/90)))</f>
        <v>NR</v>
      </c>
      <c r="W47" s="169" t="str">
        <f>IF(SUM(VLOOKUP($C47,DATA_Depts[[#All],[COVID-19 Item List]:[SCL]],MATCH(W$6,DATA_Depts[[#Headers],[COVID-19 Item List]:[SCL]],0),FALSE)=0),IF(VLOOKUP(_xlfn.CONCAT(W$6,$C47),BurnRate!$G$3:$P$1102,10,FALSE)="NR","NR",0),VLOOKUP($C47,DATA_Depts[[#All],[COVID-19 Item List]:[SCL]],MATCH(W$6,DATA_Depts[[#Headers],[COVID-19 Item List]:[SCL]],0),FALSE))</f>
        <v>NR</v>
      </c>
      <c r="X47" s="148" t="str">
        <f>IF(VLOOKUP(_xlfn.CONCAT(W$6,$C47),BurnRate!$G$3:$P$1102,10,FALSE)="NR","NR",IF(W47="NR","NR",W47/(VLOOKUP(_xlfn.CONCAT(W$6,$C47),BurnRate!$G$3:$P$1102,10,FALSE)/90)))</f>
        <v>NR</v>
      </c>
      <c r="Y47" s="169" t="str">
        <f>IF(SUM(VLOOKUP($C47,DATA_Depts[[#All],[COVID-19 Item List]:[SCL]],MATCH(Y$6,DATA_Depts[[#Headers],[COVID-19 Item List]:[SCL]],0),FALSE)=0),IF(VLOOKUP(_xlfn.CONCAT(Y$6,$C47),BurnRate!$G$3:$P$1102,10,FALSE)="NR","NR",0),VLOOKUP($C47,DATA_Depts[[#All],[COVID-19 Item List]:[SCL]],MATCH(Y$6,DATA_Depts[[#Headers],[COVID-19 Item List]:[SCL]],0),FALSE))</f>
        <v>NR</v>
      </c>
      <c r="Z47" s="148" t="str">
        <f>IF(VLOOKUP(_xlfn.CONCAT(Y$6,$C47),BurnRate!$G$3:$P$1102,10,FALSE)="NR","NR",IF(Y47="NR","NR",Y47/(VLOOKUP(_xlfn.CONCAT(Y$6,$C47),BurnRate!$G$3:$P$1102,10,FALSE)/90)))</f>
        <v>NR</v>
      </c>
    </row>
    <row r="48" spans="2:26" s="43" customFormat="1" ht="11" hidden="1">
      <c r="B48" s="46">
        <v>41</v>
      </c>
      <c r="C48" s="47" t="str">
        <f>_xlfn.SINGLE(VLOOKUP(B48,DisplayOrder[#All],2,FALSE))</f>
        <v>Reserved-41</v>
      </c>
      <c r="D48" s="116" t="str">
        <f>_xlfn.SINGLE(VLOOKUP(B48,DisplayOrder!A:C,3,FALSE))</f>
        <v>each</v>
      </c>
      <c r="E48" s="117" t="str">
        <f>IF(VLOOKUP(_xlfn.CONCAT(E$6,$C48),BurnRate!$G$3:$P$1102,10,FALSE)="NR",IF(SUMIF(FAS_Centralized!K:K,C48,FAS_Centralized!N:N)=0,"NR",SUMIF(FAS_Centralized!K:K,C48,FAS_Centralized!N:N)),SUMIF(FAS_Centralized!K:K,C48,FAS_Centralized!N:N))</f>
        <v>NR</v>
      </c>
      <c r="F48" s="148" t="str">
        <f>IF(VLOOKUP(_xlfn.CONCAT(E$6,$C48),BurnRate!$G$3:$P$1102,10,FALSE)="NR","NR",IF(E48="NR","NR",E48/(VLOOKUP(_xlfn.CONCAT(E$6,$C48),BurnRate!$G$3:$P$1102,10,FALSE)/90)))</f>
        <v>NR</v>
      </c>
      <c r="G48" s="169" t="str">
        <f>IF(SUM(VLOOKUP($C48,DATA_Depts[[#All],[COVID-19 Item List]:[SCL]],MATCH(G$6,DATA_Depts[[#Headers],[COVID-19 Item List]:[SCL]],0),FALSE)=0),IF(VLOOKUP(_xlfn.CONCAT(G$6,$C48),BurnRate!$G$3:$P$1102,10,FALSE)="NR","NR",0),VLOOKUP($C48,DATA_Depts[[#All],[COVID-19 Item List]:[SCL]],MATCH(G$6,DATA_Depts[[#Headers],[COVID-19 Item List]:[SCL]],0),FALSE))</f>
        <v>NR</v>
      </c>
      <c r="H48" s="148" t="str">
        <f>IF(VLOOKUP(_xlfn.CONCAT(G$6,$C48),BurnRate!$G$3:$P$1102,10,FALSE)="NR","NR",IF(G48="NR","NR",G48/(VLOOKUP(_xlfn.CONCAT(G$6,$C48),BurnRate!$G$3:$P$1102,10,FALSE)/90)))</f>
        <v>NR</v>
      </c>
      <c r="I48" s="169" t="str">
        <f>IF(SUM(VLOOKUP($C48,DATA_Depts[[#All],[COVID-19 Item List]:[SCL]],MATCH(I$6,DATA_Depts[[#Headers],[COVID-19 Item List]:[SCL]],0),FALSE)=0),IF(VLOOKUP(_xlfn.CONCAT(I$6,$C48),BurnRate!$G$3:$P$1102,10,FALSE)="NR","NR",0),VLOOKUP($C48,DATA_Depts[[#All],[COVID-19 Item List]:[SCL]],MATCH(I$6,DATA_Depts[[#Headers],[COVID-19 Item List]:[SCL]],0),FALSE))</f>
        <v>NR</v>
      </c>
      <c r="J48" s="148" t="str">
        <f>IF(VLOOKUP(_xlfn.CONCAT(I$6,$C48),BurnRate!$G$3:$P$1102,10,FALSE)="NR","NR",IF(I48="NR","NR",I48/(VLOOKUP(_xlfn.CONCAT(I$6,$C48),BurnRate!$G$3:$P$1102,10,FALSE)/90)))</f>
        <v>NR</v>
      </c>
      <c r="K48" s="169" t="str">
        <f>IF(SUM(VLOOKUP($C48,DATA_Depts[[#All],[COVID-19 Item List]:[SCL]],MATCH(K$6,DATA_Depts[[#Headers],[COVID-19 Item List]:[SCL]],0),FALSE)=0),IF(VLOOKUP(_xlfn.CONCAT(K$6,$C48),BurnRate!$G$3:$P$1102,10,FALSE)="NR","NR",0),VLOOKUP($C48,DATA_Depts[[#All],[COVID-19 Item List]:[SCL]],MATCH(K$6,DATA_Depts[[#Headers],[COVID-19 Item List]:[SCL]],0),FALSE))</f>
        <v>NR</v>
      </c>
      <c r="L48" s="148" t="str">
        <f>IF(VLOOKUP(_xlfn.CONCAT(K$6,$C48),BurnRate!$G$3:$P$1102,10,FALSE)="NR","NR",IF(K48="NR","NR",K48/(VLOOKUP(_xlfn.CONCAT(K$6,$C48),BurnRate!$G$3:$P$1102,10,FALSE)/90)))</f>
        <v>NR</v>
      </c>
      <c r="M48" s="169" t="str">
        <f>IF(SUM(VLOOKUP($C48,DATA_Depts[[#All],[COVID-19 Item List]:[SCL]],MATCH(M$6,DATA_Depts[[#Headers],[COVID-19 Item List]:[SCL]],0),FALSE)=0),IF(VLOOKUP(_xlfn.CONCAT(M$6,$C48),BurnRate!$G$3:$P$1102,10,FALSE)="NR","NR",0),VLOOKUP($C48,DATA_Depts[[#All],[COVID-19 Item List]:[SCL]],MATCH(M$6,DATA_Depts[[#Headers],[COVID-19 Item List]:[SCL]],0),FALSE))</f>
        <v>NR</v>
      </c>
      <c r="N48" s="148" t="str">
        <f>IF(VLOOKUP(_xlfn.CONCAT(M$6,$C48),BurnRate!$G$3:$P$1102,10,FALSE)="NR","NR",IF(M48="NR","NR",M48/(VLOOKUP(_xlfn.CONCAT(M$6,$C48),BurnRate!$G$3:$P$1102,10,FALSE)/90)))</f>
        <v>NR</v>
      </c>
      <c r="O48" s="169" t="str">
        <f>IF(SUM(VLOOKUP($C48,DATA_Depts[[#All],[COVID-19 Item List]:[SCL]],MATCH(O$6,DATA_Depts[[#Headers],[COVID-19 Item List]:[SCL]],0),FALSE)=0),IF(VLOOKUP(_xlfn.CONCAT(O$6,$C48),BurnRate!$G$3:$P$1102,10,FALSE)="NR","NR",0),VLOOKUP($C48,DATA_Depts[[#All],[COVID-19 Item List]:[SCL]],MATCH(O$6,DATA_Depts[[#Headers],[COVID-19 Item List]:[SCL]],0),FALSE))</f>
        <v>NR</v>
      </c>
      <c r="P48" s="148" t="str">
        <f>IF(VLOOKUP(_xlfn.CONCAT(O$6,$C48),BurnRate!$G$3:$P$1102,10,FALSE)="NR","NR",IF(O48="NR","NR",O48/(VLOOKUP(_xlfn.CONCAT(O$6,$C48),BurnRate!$G$3:$P$1102,10,FALSE)/90)))</f>
        <v>NR</v>
      </c>
      <c r="Q48" s="169" t="str">
        <f>IF(SUM(VLOOKUP($C48,DATA_Depts[[#All],[COVID-19 Item List]:[SCL]],MATCH(Q$6,DATA_Depts[[#Headers],[COVID-19 Item List]:[SCL]],0),FALSE)=0),IF(VLOOKUP(_xlfn.CONCAT(Q$6,$C48),BurnRate!$G$3:$P$1102,10,FALSE)="NR","NR",0),VLOOKUP($C48,DATA_Depts[[#All],[COVID-19 Item List]:[SCL]],MATCH(Q$6,DATA_Depts[[#Headers],[COVID-19 Item List]:[SCL]],0),FALSE))</f>
        <v>NR</v>
      </c>
      <c r="R48" s="148" t="str">
        <f>IF(VLOOKUP(_xlfn.CONCAT(Q$6,$C48),BurnRate!$G$3:$P$1102,10,FALSE)="NR","NR",IF(Q48="NR","NR",Q48/(VLOOKUP(_xlfn.CONCAT(Q$6,$C48),BurnRate!$G$3:$P$1102,10,FALSE)/90)))</f>
        <v>NR</v>
      </c>
      <c r="S48" s="169" t="str">
        <f>IF(SUM(VLOOKUP($C48,DATA_Depts[[#All],[COVID-19 Item List]:[SCL]],MATCH(S$6,DATA_Depts[[#Headers],[COVID-19 Item List]:[SCL]],0),FALSE)=0),IF(VLOOKUP(_xlfn.CONCAT(S$6,$C48),BurnRate!$G$3:$P$1102,10,FALSE)="NR","NR",0),VLOOKUP($C48,DATA_Depts[[#All],[COVID-19 Item List]:[SCL]],MATCH(S$6,DATA_Depts[[#Headers],[COVID-19 Item List]:[SCL]],0),FALSE))</f>
        <v>NR</v>
      </c>
      <c r="T48" s="148" t="str">
        <f>IF(VLOOKUP(_xlfn.CONCAT(S$6,$C48),BurnRate!$G$3:$P$1102,10,FALSE)="NR","NR",IF(S48="NR","NR",S48/(VLOOKUP(_xlfn.CONCAT(S$6,$C48),BurnRate!$G$3:$P$1102,10,FALSE)/90)))</f>
        <v>NR</v>
      </c>
      <c r="U48" s="169" t="str">
        <f>IF(SUM(VLOOKUP($C48,DATA_Depts[[#All],[COVID-19 Item List]:[SCL]],MATCH(U$6,DATA_Depts[[#Headers],[COVID-19 Item List]:[SCL]],0),FALSE)=0),IF(VLOOKUP(_xlfn.CONCAT(U$6,$C48),BurnRate!$G$3:$P$1102,10,FALSE)="NR","NR",0),VLOOKUP($C48,DATA_Depts[[#All],[COVID-19 Item List]:[SCL]],MATCH(U$6,DATA_Depts[[#Headers],[COVID-19 Item List]:[SCL]],0),FALSE))</f>
        <v>NR</v>
      </c>
      <c r="V48" s="148" t="str">
        <f>IF(VLOOKUP(_xlfn.CONCAT(U$6,$C48),BurnRate!$G$3:$P$1102,10,FALSE)="NR","NR",IF(U48="NR","NR",U48/(VLOOKUP(_xlfn.CONCAT(U$6,$C48),BurnRate!$G$3:$P$1102,10,FALSE)/90)))</f>
        <v>NR</v>
      </c>
      <c r="W48" s="169" t="str">
        <f>IF(SUM(VLOOKUP($C48,DATA_Depts[[#All],[COVID-19 Item List]:[SCL]],MATCH(W$6,DATA_Depts[[#Headers],[COVID-19 Item List]:[SCL]],0),FALSE)=0),IF(VLOOKUP(_xlfn.CONCAT(W$6,$C48),BurnRate!$G$3:$P$1102,10,FALSE)="NR","NR",0),VLOOKUP($C48,DATA_Depts[[#All],[COVID-19 Item List]:[SCL]],MATCH(W$6,DATA_Depts[[#Headers],[COVID-19 Item List]:[SCL]],0),FALSE))</f>
        <v>NR</v>
      </c>
      <c r="X48" s="148" t="str">
        <f>IF(VLOOKUP(_xlfn.CONCAT(W$6,$C48),BurnRate!$G$3:$P$1102,10,FALSE)="NR","NR",IF(W48="NR","NR",W48/(VLOOKUP(_xlfn.CONCAT(W$6,$C48),BurnRate!$G$3:$P$1102,10,FALSE)/90)))</f>
        <v>NR</v>
      </c>
      <c r="Y48" s="169" t="str">
        <f>IF(SUM(VLOOKUP($C48,DATA_Depts[[#All],[COVID-19 Item List]:[SCL]],MATCH(Y$6,DATA_Depts[[#Headers],[COVID-19 Item List]:[SCL]],0),FALSE)=0),IF(VLOOKUP(_xlfn.CONCAT(Y$6,$C48),BurnRate!$G$3:$P$1102,10,FALSE)="NR","NR",0),VLOOKUP($C48,DATA_Depts[[#All],[COVID-19 Item List]:[SCL]],MATCH(Y$6,DATA_Depts[[#Headers],[COVID-19 Item List]:[SCL]],0),FALSE))</f>
        <v>NR</v>
      </c>
      <c r="Z48" s="148" t="str">
        <f>IF(VLOOKUP(_xlfn.CONCAT(Y$6,$C48),BurnRate!$G$3:$P$1102,10,FALSE)="NR","NR",IF(Y48="NR","NR",Y48/(VLOOKUP(_xlfn.CONCAT(Y$6,$C48),BurnRate!$G$3:$P$1102,10,FALSE)/90)))</f>
        <v>NR</v>
      </c>
    </row>
    <row r="49" spans="2:26" s="43" customFormat="1" ht="11" hidden="1">
      <c r="B49" s="46">
        <v>42</v>
      </c>
      <c r="C49" s="47" t="str">
        <f>_xlfn.SINGLE(VLOOKUP(B49,DisplayOrder[#All],2,FALSE))</f>
        <v>Reserved-42</v>
      </c>
      <c r="D49" s="116" t="str">
        <f>_xlfn.SINGLE(VLOOKUP(B49,DisplayOrder!A:C,3,FALSE))</f>
        <v>each</v>
      </c>
      <c r="E49" s="117" t="str">
        <f>IF(VLOOKUP(_xlfn.CONCAT(E$6,$C49),BurnRate!$G$3:$P$1102,10,FALSE)="NR",IF(SUMIF(FAS_Centralized!K:K,C49,FAS_Centralized!N:N)=0,"NR",SUMIF(FAS_Centralized!K:K,C49,FAS_Centralized!N:N)),SUMIF(FAS_Centralized!K:K,C49,FAS_Centralized!N:N))</f>
        <v>NR</v>
      </c>
      <c r="F49" s="148" t="str">
        <f>IF(VLOOKUP(_xlfn.CONCAT(E$6,$C49),BurnRate!$G$3:$P$1102,10,FALSE)="NR","NR",IF(E49="NR","NR",E49/(VLOOKUP(_xlfn.CONCAT(E$6,$C49),BurnRate!$G$3:$P$1102,10,FALSE)/90)))</f>
        <v>NR</v>
      </c>
      <c r="G49" s="169" t="str">
        <f>IF(SUM(VLOOKUP($C49,DATA_Depts[[#All],[COVID-19 Item List]:[SCL]],MATCH(G$6,DATA_Depts[[#Headers],[COVID-19 Item List]:[SCL]],0),FALSE)=0),IF(VLOOKUP(_xlfn.CONCAT(G$6,$C49),BurnRate!$G$3:$P$1102,10,FALSE)="NR","NR",0),VLOOKUP($C49,DATA_Depts[[#All],[COVID-19 Item List]:[SCL]],MATCH(G$6,DATA_Depts[[#Headers],[COVID-19 Item List]:[SCL]],0),FALSE))</f>
        <v>NR</v>
      </c>
      <c r="H49" s="148" t="str">
        <f>IF(VLOOKUP(_xlfn.CONCAT(G$6,$C49),BurnRate!$G$3:$P$1102,10,FALSE)="NR","NR",IF(G49="NR","NR",G49/(VLOOKUP(_xlfn.CONCAT(G$6,$C49),BurnRate!$G$3:$P$1102,10,FALSE)/90)))</f>
        <v>NR</v>
      </c>
      <c r="I49" s="169" t="str">
        <f>IF(SUM(VLOOKUP($C49,DATA_Depts[[#All],[COVID-19 Item List]:[SCL]],MATCH(I$6,DATA_Depts[[#Headers],[COVID-19 Item List]:[SCL]],0),FALSE)=0),IF(VLOOKUP(_xlfn.CONCAT(I$6,$C49),BurnRate!$G$3:$P$1102,10,FALSE)="NR","NR",0),VLOOKUP($C49,DATA_Depts[[#All],[COVID-19 Item List]:[SCL]],MATCH(I$6,DATA_Depts[[#Headers],[COVID-19 Item List]:[SCL]],0),FALSE))</f>
        <v>NR</v>
      </c>
      <c r="J49" s="148" t="str">
        <f>IF(VLOOKUP(_xlfn.CONCAT(I$6,$C49),BurnRate!$G$3:$P$1102,10,FALSE)="NR","NR",IF(I49="NR","NR",I49/(VLOOKUP(_xlfn.CONCAT(I$6,$C49),BurnRate!$G$3:$P$1102,10,FALSE)/90)))</f>
        <v>NR</v>
      </c>
      <c r="K49" s="169" t="str">
        <f>IF(SUM(VLOOKUP($C49,DATA_Depts[[#All],[COVID-19 Item List]:[SCL]],MATCH(K$6,DATA_Depts[[#Headers],[COVID-19 Item List]:[SCL]],0),FALSE)=0),IF(VLOOKUP(_xlfn.CONCAT(K$6,$C49),BurnRate!$G$3:$P$1102,10,FALSE)="NR","NR",0),VLOOKUP($C49,DATA_Depts[[#All],[COVID-19 Item List]:[SCL]],MATCH(K$6,DATA_Depts[[#Headers],[COVID-19 Item List]:[SCL]],0),FALSE))</f>
        <v>NR</v>
      </c>
      <c r="L49" s="148" t="str">
        <f>IF(VLOOKUP(_xlfn.CONCAT(K$6,$C49),BurnRate!$G$3:$P$1102,10,FALSE)="NR","NR",IF(K49="NR","NR",K49/(VLOOKUP(_xlfn.CONCAT(K$6,$C49),BurnRate!$G$3:$P$1102,10,FALSE)/90)))</f>
        <v>NR</v>
      </c>
      <c r="M49" s="169" t="str">
        <f>IF(SUM(VLOOKUP($C49,DATA_Depts[[#All],[COVID-19 Item List]:[SCL]],MATCH(M$6,DATA_Depts[[#Headers],[COVID-19 Item List]:[SCL]],0),FALSE)=0),IF(VLOOKUP(_xlfn.CONCAT(M$6,$C49),BurnRate!$G$3:$P$1102,10,FALSE)="NR","NR",0),VLOOKUP($C49,DATA_Depts[[#All],[COVID-19 Item List]:[SCL]],MATCH(M$6,DATA_Depts[[#Headers],[COVID-19 Item List]:[SCL]],0),FALSE))</f>
        <v>NR</v>
      </c>
      <c r="N49" s="148" t="str">
        <f>IF(VLOOKUP(_xlfn.CONCAT(M$6,$C49),BurnRate!$G$3:$P$1102,10,FALSE)="NR","NR",IF(M49="NR","NR",M49/(VLOOKUP(_xlfn.CONCAT(M$6,$C49),BurnRate!$G$3:$P$1102,10,FALSE)/90)))</f>
        <v>NR</v>
      </c>
      <c r="O49" s="169" t="str">
        <f>IF(SUM(VLOOKUP($C49,DATA_Depts[[#All],[COVID-19 Item List]:[SCL]],MATCH(O$6,DATA_Depts[[#Headers],[COVID-19 Item List]:[SCL]],0),FALSE)=0),IF(VLOOKUP(_xlfn.CONCAT(O$6,$C49),BurnRate!$G$3:$P$1102,10,FALSE)="NR","NR",0),VLOOKUP($C49,DATA_Depts[[#All],[COVID-19 Item List]:[SCL]],MATCH(O$6,DATA_Depts[[#Headers],[COVID-19 Item List]:[SCL]],0),FALSE))</f>
        <v>NR</v>
      </c>
      <c r="P49" s="148" t="str">
        <f>IF(VLOOKUP(_xlfn.CONCAT(O$6,$C49),BurnRate!$G$3:$P$1102,10,FALSE)="NR","NR",IF(O49="NR","NR",O49/(VLOOKUP(_xlfn.CONCAT(O$6,$C49),BurnRate!$G$3:$P$1102,10,FALSE)/90)))</f>
        <v>NR</v>
      </c>
      <c r="Q49" s="169" t="str">
        <f>IF(SUM(VLOOKUP($C49,DATA_Depts[[#All],[COVID-19 Item List]:[SCL]],MATCH(Q$6,DATA_Depts[[#Headers],[COVID-19 Item List]:[SCL]],0),FALSE)=0),IF(VLOOKUP(_xlfn.CONCAT(Q$6,$C49),BurnRate!$G$3:$P$1102,10,FALSE)="NR","NR",0),VLOOKUP($C49,DATA_Depts[[#All],[COVID-19 Item List]:[SCL]],MATCH(Q$6,DATA_Depts[[#Headers],[COVID-19 Item List]:[SCL]],0),FALSE))</f>
        <v>NR</v>
      </c>
      <c r="R49" s="148" t="str">
        <f>IF(VLOOKUP(_xlfn.CONCAT(Q$6,$C49),BurnRate!$G$3:$P$1102,10,FALSE)="NR","NR",IF(Q49="NR","NR",Q49/(VLOOKUP(_xlfn.CONCAT(Q$6,$C49),BurnRate!$G$3:$P$1102,10,FALSE)/90)))</f>
        <v>NR</v>
      </c>
      <c r="S49" s="169" t="str">
        <f>IF(SUM(VLOOKUP($C49,DATA_Depts[[#All],[COVID-19 Item List]:[SCL]],MATCH(S$6,DATA_Depts[[#Headers],[COVID-19 Item List]:[SCL]],0),FALSE)=0),IF(VLOOKUP(_xlfn.CONCAT(S$6,$C49),BurnRate!$G$3:$P$1102,10,FALSE)="NR","NR",0),VLOOKUP($C49,DATA_Depts[[#All],[COVID-19 Item List]:[SCL]],MATCH(S$6,DATA_Depts[[#Headers],[COVID-19 Item List]:[SCL]],0),FALSE))</f>
        <v>NR</v>
      </c>
      <c r="T49" s="148" t="str">
        <f>IF(VLOOKUP(_xlfn.CONCAT(S$6,$C49),BurnRate!$G$3:$P$1102,10,FALSE)="NR","NR",IF(S49="NR","NR",S49/(VLOOKUP(_xlfn.CONCAT(S$6,$C49),BurnRate!$G$3:$P$1102,10,FALSE)/90)))</f>
        <v>NR</v>
      </c>
      <c r="U49" s="169" t="str">
        <f>IF(SUM(VLOOKUP($C49,DATA_Depts[[#All],[COVID-19 Item List]:[SCL]],MATCH(U$6,DATA_Depts[[#Headers],[COVID-19 Item List]:[SCL]],0),FALSE)=0),IF(VLOOKUP(_xlfn.CONCAT(U$6,$C49),BurnRate!$G$3:$P$1102,10,FALSE)="NR","NR",0),VLOOKUP($C49,DATA_Depts[[#All],[COVID-19 Item List]:[SCL]],MATCH(U$6,DATA_Depts[[#Headers],[COVID-19 Item List]:[SCL]],0),FALSE))</f>
        <v>NR</v>
      </c>
      <c r="V49" s="148" t="str">
        <f>IF(VLOOKUP(_xlfn.CONCAT(U$6,$C49),BurnRate!$G$3:$P$1102,10,FALSE)="NR","NR",IF(U49="NR","NR",U49/(VLOOKUP(_xlfn.CONCAT(U$6,$C49),BurnRate!$G$3:$P$1102,10,FALSE)/90)))</f>
        <v>NR</v>
      </c>
      <c r="W49" s="169" t="str">
        <f>IF(SUM(VLOOKUP($C49,DATA_Depts[[#All],[COVID-19 Item List]:[SCL]],MATCH(W$6,DATA_Depts[[#Headers],[COVID-19 Item List]:[SCL]],0),FALSE)=0),IF(VLOOKUP(_xlfn.CONCAT(W$6,$C49),BurnRate!$G$3:$P$1102,10,FALSE)="NR","NR",0),VLOOKUP($C49,DATA_Depts[[#All],[COVID-19 Item List]:[SCL]],MATCH(W$6,DATA_Depts[[#Headers],[COVID-19 Item List]:[SCL]],0),FALSE))</f>
        <v>NR</v>
      </c>
      <c r="X49" s="148" t="str">
        <f>IF(VLOOKUP(_xlfn.CONCAT(W$6,$C49),BurnRate!$G$3:$P$1102,10,FALSE)="NR","NR",IF(W49="NR","NR",W49/(VLOOKUP(_xlfn.CONCAT(W$6,$C49),BurnRate!$G$3:$P$1102,10,FALSE)/90)))</f>
        <v>NR</v>
      </c>
      <c r="Y49" s="169" t="str">
        <f>IF(SUM(VLOOKUP($C49,DATA_Depts[[#All],[COVID-19 Item List]:[SCL]],MATCH(Y$6,DATA_Depts[[#Headers],[COVID-19 Item List]:[SCL]],0),FALSE)=0),IF(VLOOKUP(_xlfn.CONCAT(Y$6,$C49),BurnRate!$G$3:$P$1102,10,FALSE)="NR","NR",0),VLOOKUP($C49,DATA_Depts[[#All],[COVID-19 Item List]:[SCL]],MATCH(Y$6,DATA_Depts[[#Headers],[COVID-19 Item List]:[SCL]],0),FALSE))</f>
        <v>NR</v>
      </c>
      <c r="Z49" s="148" t="str">
        <f>IF(VLOOKUP(_xlfn.CONCAT(Y$6,$C49),BurnRate!$G$3:$P$1102,10,FALSE)="NR","NR",IF(Y49="NR","NR",Y49/(VLOOKUP(_xlfn.CONCAT(Y$6,$C49),BurnRate!$G$3:$P$1102,10,FALSE)/90)))</f>
        <v>NR</v>
      </c>
    </row>
    <row r="50" spans="2:26" s="43" customFormat="1" ht="11" hidden="1">
      <c r="B50" s="46">
        <v>43</v>
      </c>
      <c r="C50" s="47" t="str">
        <f>_xlfn.SINGLE(VLOOKUP(B50,DisplayOrder[#All],2,FALSE))</f>
        <v>Reserved-43</v>
      </c>
      <c r="D50" s="116" t="str">
        <f>_xlfn.SINGLE(VLOOKUP(B50,DisplayOrder!A:C,3,FALSE))</f>
        <v>each</v>
      </c>
      <c r="E50" s="117" t="str">
        <f>IF(VLOOKUP(_xlfn.CONCAT(E$6,$C50),BurnRate!$G$3:$P$1102,10,FALSE)="NR",IF(SUMIF(FAS_Centralized!K:K,C50,FAS_Centralized!N:N)=0,"NR",SUMIF(FAS_Centralized!K:K,C50,FAS_Centralized!N:N)),SUMIF(FAS_Centralized!K:K,C50,FAS_Centralized!N:N))</f>
        <v>NR</v>
      </c>
      <c r="F50" s="148" t="str">
        <f>IF(VLOOKUP(_xlfn.CONCAT(E$6,$C50),BurnRate!$G$3:$P$1102,10,FALSE)="NR","NR",IF(E50="NR","NR",E50/(VLOOKUP(_xlfn.CONCAT(E$6,$C50),BurnRate!$G$3:$P$1102,10,FALSE)/90)))</f>
        <v>NR</v>
      </c>
      <c r="G50" s="169" t="str">
        <f>IF(SUM(VLOOKUP($C50,DATA_Depts[[#All],[COVID-19 Item List]:[SCL]],MATCH(G$6,DATA_Depts[[#Headers],[COVID-19 Item List]:[SCL]],0),FALSE)=0),IF(VLOOKUP(_xlfn.CONCAT(G$6,$C50),BurnRate!$G$3:$P$1102,10,FALSE)="NR","NR",0),VLOOKUP($C50,DATA_Depts[[#All],[COVID-19 Item List]:[SCL]],MATCH(G$6,DATA_Depts[[#Headers],[COVID-19 Item List]:[SCL]],0),FALSE))</f>
        <v>NR</v>
      </c>
      <c r="H50" s="148" t="str">
        <f>IF(VLOOKUP(_xlfn.CONCAT(G$6,$C50),BurnRate!$G$3:$P$1102,10,FALSE)="NR","NR",IF(G50="NR","NR",G50/(VLOOKUP(_xlfn.CONCAT(G$6,$C50),BurnRate!$G$3:$P$1102,10,FALSE)/90)))</f>
        <v>NR</v>
      </c>
      <c r="I50" s="169" t="str">
        <f>IF(SUM(VLOOKUP($C50,DATA_Depts[[#All],[COVID-19 Item List]:[SCL]],MATCH(I$6,DATA_Depts[[#Headers],[COVID-19 Item List]:[SCL]],0),FALSE)=0),IF(VLOOKUP(_xlfn.CONCAT(I$6,$C50),BurnRate!$G$3:$P$1102,10,FALSE)="NR","NR",0),VLOOKUP($C50,DATA_Depts[[#All],[COVID-19 Item List]:[SCL]],MATCH(I$6,DATA_Depts[[#Headers],[COVID-19 Item List]:[SCL]],0),FALSE))</f>
        <v>NR</v>
      </c>
      <c r="J50" s="148" t="str">
        <f>IF(VLOOKUP(_xlfn.CONCAT(I$6,$C50),BurnRate!$G$3:$P$1102,10,FALSE)="NR","NR",IF(I50="NR","NR",I50/(VLOOKUP(_xlfn.CONCAT(I$6,$C50),BurnRate!$G$3:$P$1102,10,FALSE)/90)))</f>
        <v>NR</v>
      </c>
      <c r="K50" s="169" t="str">
        <f>IF(SUM(VLOOKUP($C50,DATA_Depts[[#All],[COVID-19 Item List]:[SCL]],MATCH(K$6,DATA_Depts[[#Headers],[COVID-19 Item List]:[SCL]],0),FALSE)=0),IF(VLOOKUP(_xlfn.CONCAT(K$6,$C50),BurnRate!$G$3:$P$1102,10,FALSE)="NR","NR",0),VLOOKUP($C50,DATA_Depts[[#All],[COVID-19 Item List]:[SCL]],MATCH(K$6,DATA_Depts[[#Headers],[COVID-19 Item List]:[SCL]],0),FALSE))</f>
        <v>NR</v>
      </c>
      <c r="L50" s="148" t="str">
        <f>IF(VLOOKUP(_xlfn.CONCAT(K$6,$C50),BurnRate!$G$3:$P$1102,10,FALSE)="NR","NR",IF(K50="NR","NR",K50/(VLOOKUP(_xlfn.CONCAT(K$6,$C50),BurnRate!$G$3:$P$1102,10,FALSE)/90)))</f>
        <v>NR</v>
      </c>
      <c r="M50" s="169" t="str">
        <f>IF(SUM(VLOOKUP($C50,DATA_Depts[[#All],[COVID-19 Item List]:[SCL]],MATCH(M$6,DATA_Depts[[#Headers],[COVID-19 Item List]:[SCL]],0),FALSE)=0),IF(VLOOKUP(_xlfn.CONCAT(M$6,$C50),BurnRate!$G$3:$P$1102,10,FALSE)="NR","NR",0),VLOOKUP($C50,DATA_Depts[[#All],[COVID-19 Item List]:[SCL]],MATCH(M$6,DATA_Depts[[#Headers],[COVID-19 Item List]:[SCL]],0),FALSE))</f>
        <v>NR</v>
      </c>
      <c r="N50" s="148" t="str">
        <f>IF(VLOOKUP(_xlfn.CONCAT(M$6,$C50),BurnRate!$G$3:$P$1102,10,FALSE)="NR","NR",IF(M50="NR","NR",M50/(VLOOKUP(_xlfn.CONCAT(M$6,$C50),BurnRate!$G$3:$P$1102,10,FALSE)/90)))</f>
        <v>NR</v>
      </c>
      <c r="O50" s="169" t="str">
        <f>IF(SUM(VLOOKUP($C50,DATA_Depts[[#All],[COVID-19 Item List]:[SCL]],MATCH(O$6,DATA_Depts[[#Headers],[COVID-19 Item List]:[SCL]],0),FALSE)=0),IF(VLOOKUP(_xlfn.CONCAT(O$6,$C50),BurnRate!$G$3:$P$1102,10,FALSE)="NR","NR",0),VLOOKUP($C50,DATA_Depts[[#All],[COVID-19 Item List]:[SCL]],MATCH(O$6,DATA_Depts[[#Headers],[COVID-19 Item List]:[SCL]],0),FALSE))</f>
        <v>NR</v>
      </c>
      <c r="P50" s="148" t="str">
        <f>IF(VLOOKUP(_xlfn.CONCAT(O$6,$C50),BurnRate!$G$3:$P$1102,10,FALSE)="NR","NR",IF(O50="NR","NR",O50/(VLOOKUP(_xlfn.CONCAT(O$6,$C50),BurnRate!$G$3:$P$1102,10,FALSE)/90)))</f>
        <v>NR</v>
      </c>
      <c r="Q50" s="169" t="str">
        <f>IF(SUM(VLOOKUP($C50,DATA_Depts[[#All],[COVID-19 Item List]:[SCL]],MATCH(Q$6,DATA_Depts[[#Headers],[COVID-19 Item List]:[SCL]],0),FALSE)=0),IF(VLOOKUP(_xlfn.CONCAT(Q$6,$C50),BurnRate!$G$3:$P$1102,10,FALSE)="NR","NR",0),VLOOKUP($C50,DATA_Depts[[#All],[COVID-19 Item List]:[SCL]],MATCH(Q$6,DATA_Depts[[#Headers],[COVID-19 Item List]:[SCL]],0),FALSE))</f>
        <v>NR</v>
      </c>
      <c r="R50" s="148" t="str">
        <f>IF(VLOOKUP(_xlfn.CONCAT(Q$6,$C50),BurnRate!$G$3:$P$1102,10,FALSE)="NR","NR",IF(Q50="NR","NR",Q50/(VLOOKUP(_xlfn.CONCAT(Q$6,$C50),BurnRate!$G$3:$P$1102,10,FALSE)/90)))</f>
        <v>NR</v>
      </c>
      <c r="S50" s="169" t="str">
        <f>IF(SUM(VLOOKUP($C50,DATA_Depts[[#All],[COVID-19 Item List]:[SCL]],MATCH(S$6,DATA_Depts[[#Headers],[COVID-19 Item List]:[SCL]],0),FALSE)=0),IF(VLOOKUP(_xlfn.CONCAT(S$6,$C50),BurnRate!$G$3:$P$1102,10,FALSE)="NR","NR",0),VLOOKUP($C50,DATA_Depts[[#All],[COVID-19 Item List]:[SCL]],MATCH(S$6,DATA_Depts[[#Headers],[COVID-19 Item List]:[SCL]],0),FALSE))</f>
        <v>NR</v>
      </c>
      <c r="T50" s="148" t="str">
        <f>IF(VLOOKUP(_xlfn.CONCAT(S$6,$C50),BurnRate!$G$3:$P$1102,10,FALSE)="NR","NR",IF(S50="NR","NR",S50/(VLOOKUP(_xlfn.CONCAT(S$6,$C50),BurnRate!$G$3:$P$1102,10,FALSE)/90)))</f>
        <v>NR</v>
      </c>
      <c r="U50" s="169" t="str">
        <f>IF(SUM(VLOOKUP($C50,DATA_Depts[[#All],[COVID-19 Item List]:[SCL]],MATCH(U$6,DATA_Depts[[#Headers],[COVID-19 Item List]:[SCL]],0),FALSE)=0),IF(VLOOKUP(_xlfn.CONCAT(U$6,$C50),BurnRate!$G$3:$P$1102,10,FALSE)="NR","NR",0),VLOOKUP($C50,DATA_Depts[[#All],[COVID-19 Item List]:[SCL]],MATCH(U$6,DATA_Depts[[#Headers],[COVID-19 Item List]:[SCL]],0),FALSE))</f>
        <v>NR</v>
      </c>
      <c r="V50" s="148" t="str">
        <f>IF(VLOOKUP(_xlfn.CONCAT(U$6,$C50),BurnRate!$G$3:$P$1102,10,FALSE)="NR","NR",IF(U50="NR","NR",U50/(VLOOKUP(_xlfn.CONCAT(U$6,$C50),BurnRate!$G$3:$P$1102,10,FALSE)/90)))</f>
        <v>NR</v>
      </c>
      <c r="W50" s="169" t="str">
        <f>IF(SUM(VLOOKUP($C50,DATA_Depts[[#All],[COVID-19 Item List]:[SCL]],MATCH(W$6,DATA_Depts[[#Headers],[COVID-19 Item List]:[SCL]],0),FALSE)=0),IF(VLOOKUP(_xlfn.CONCAT(W$6,$C50),BurnRate!$G$3:$P$1102,10,FALSE)="NR","NR",0),VLOOKUP($C50,DATA_Depts[[#All],[COVID-19 Item List]:[SCL]],MATCH(W$6,DATA_Depts[[#Headers],[COVID-19 Item List]:[SCL]],0),FALSE))</f>
        <v>NR</v>
      </c>
      <c r="X50" s="148" t="str">
        <f>IF(VLOOKUP(_xlfn.CONCAT(W$6,$C50),BurnRate!$G$3:$P$1102,10,FALSE)="NR","NR",IF(W50="NR","NR",W50/(VLOOKUP(_xlfn.CONCAT(W$6,$C50),BurnRate!$G$3:$P$1102,10,FALSE)/90)))</f>
        <v>NR</v>
      </c>
      <c r="Y50" s="169" t="str">
        <f>IF(SUM(VLOOKUP($C50,DATA_Depts[[#All],[COVID-19 Item List]:[SCL]],MATCH(Y$6,DATA_Depts[[#Headers],[COVID-19 Item List]:[SCL]],0),FALSE)=0),IF(VLOOKUP(_xlfn.CONCAT(Y$6,$C50),BurnRate!$G$3:$P$1102,10,FALSE)="NR","NR",0),VLOOKUP($C50,DATA_Depts[[#All],[COVID-19 Item List]:[SCL]],MATCH(Y$6,DATA_Depts[[#Headers],[COVID-19 Item List]:[SCL]],0),FALSE))</f>
        <v>NR</v>
      </c>
      <c r="Z50" s="148" t="str">
        <f>IF(VLOOKUP(_xlfn.CONCAT(Y$6,$C50),BurnRate!$G$3:$P$1102,10,FALSE)="NR","NR",IF(Y50="NR","NR",Y50/(VLOOKUP(_xlfn.CONCAT(Y$6,$C50),BurnRate!$G$3:$P$1102,10,FALSE)/90)))</f>
        <v>NR</v>
      </c>
    </row>
    <row r="51" spans="2:26" s="43" customFormat="1" ht="11" hidden="1">
      <c r="B51" s="46">
        <v>44</v>
      </c>
      <c r="C51" s="47" t="str">
        <f>_xlfn.SINGLE(VLOOKUP(B51,DisplayOrder[#All],2,FALSE))</f>
        <v>Reserved-44</v>
      </c>
      <c r="D51" s="116" t="str">
        <f>_xlfn.SINGLE(VLOOKUP(B51,DisplayOrder!A:C,3,FALSE))</f>
        <v>each</v>
      </c>
      <c r="E51" s="117" t="str">
        <f>IF(VLOOKUP(_xlfn.CONCAT(E$6,$C51),BurnRate!$G$3:$P$1102,10,FALSE)="NR",IF(SUMIF(FAS_Centralized!K:K,C51,FAS_Centralized!N:N)=0,"NR",SUMIF(FAS_Centralized!K:K,C51,FAS_Centralized!N:N)),SUMIF(FAS_Centralized!K:K,C51,FAS_Centralized!N:N))</f>
        <v>NR</v>
      </c>
      <c r="F51" s="148" t="str">
        <f>IF(VLOOKUP(_xlfn.CONCAT(E$6,$C51),BurnRate!$G$3:$P$1102,10,FALSE)="NR","NR",IF(E51="NR","NR",E51/(VLOOKUP(_xlfn.CONCAT(E$6,$C51),BurnRate!$G$3:$P$1102,10,FALSE)/90)))</f>
        <v>NR</v>
      </c>
      <c r="G51" s="169" t="str">
        <f>IF(SUM(VLOOKUP($C51,DATA_Depts[[#All],[COVID-19 Item List]:[SCL]],MATCH(G$6,DATA_Depts[[#Headers],[COVID-19 Item List]:[SCL]],0),FALSE)=0),IF(VLOOKUP(_xlfn.CONCAT(G$6,$C51),BurnRate!$G$3:$P$1102,10,FALSE)="NR","NR",0),VLOOKUP($C51,DATA_Depts[[#All],[COVID-19 Item List]:[SCL]],MATCH(G$6,DATA_Depts[[#Headers],[COVID-19 Item List]:[SCL]],0),FALSE))</f>
        <v>NR</v>
      </c>
      <c r="H51" s="148" t="str">
        <f>IF(VLOOKUP(_xlfn.CONCAT(G$6,$C51),BurnRate!$G$3:$P$1102,10,FALSE)="NR","NR",IF(G51="NR","NR",G51/(VLOOKUP(_xlfn.CONCAT(G$6,$C51),BurnRate!$G$3:$P$1102,10,FALSE)/90)))</f>
        <v>NR</v>
      </c>
      <c r="I51" s="169" t="str">
        <f>IF(SUM(VLOOKUP($C51,DATA_Depts[[#All],[COVID-19 Item List]:[SCL]],MATCH(I$6,DATA_Depts[[#Headers],[COVID-19 Item List]:[SCL]],0),FALSE)=0),IF(VLOOKUP(_xlfn.CONCAT(I$6,$C51),BurnRate!$G$3:$P$1102,10,FALSE)="NR","NR",0),VLOOKUP($C51,DATA_Depts[[#All],[COVID-19 Item List]:[SCL]],MATCH(I$6,DATA_Depts[[#Headers],[COVID-19 Item List]:[SCL]],0),FALSE))</f>
        <v>NR</v>
      </c>
      <c r="J51" s="148" t="str">
        <f>IF(VLOOKUP(_xlfn.CONCAT(I$6,$C51),BurnRate!$G$3:$P$1102,10,FALSE)="NR","NR",IF(I51="NR","NR",I51/(VLOOKUP(_xlfn.CONCAT(I$6,$C51),BurnRate!$G$3:$P$1102,10,FALSE)/90)))</f>
        <v>NR</v>
      </c>
      <c r="K51" s="169" t="str">
        <f>IF(SUM(VLOOKUP($C51,DATA_Depts[[#All],[COVID-19 Item List]:[SCL]],MATCH(K$6,DATA_Depts[[#Headers],[COVID-19 Item List]:[SCL]],0),FALSE)=0),IF(VLOOKUP(_xlfn.CONCAT(K$6,$C51),BurnRate!$G$3:$P$1102,10,FALSE)="NR","NR",0),VLOOKUP($C51,DATA_Depts[[#All],[COVID-19 Item List]:[SCL]],MATCH(K$6,DATA_Depts[[#Headers],[COVID-19 Item List]:[SCL]],0),FALSE))</f>
        <v>NR</v>
      </c>
      <c r="L51" s="148" t="str">
        <f>IF(VLOOKUP(_xlfn.CONCAT(K$6,$C51),BurnRate!$G$3:$P$1102,10,FALSE)="NR","NR",IF(K51="NR","NR",K51/(VLOOKUP(_xlfn.CONCAT(K$6,$C51),BurnRate!$G$3:$P$1102,10,FALSE)/90)))</f>
        <v>NR</v>
      </c>
      <c r="M51" s="169" t="str">
        <f>IF(SUM(VLOOKUP($C51,DATA_Depts[[#All],[COVID-19 Item List]:[SCL]],MATCH(M$6,DATA_Depts[[#Headers],[COVID-19 Item List]:[SCL]],0),FALSE)=0),IF(VLOOKUP(_xlfn.CONCAT(M$6,$C51),BurnRate!$G$3:$P$1102,10,FALSE)="NR","NR",0),VLOOKUP($C51,DATA_Depts[[#All],[COVID-19 Item List]:[SCL]],MATCH(M$6,DATA_Depts[[#Headers],[COVID-19 Item List]:[SCL]],0),FALSE))</f>
        <v>NR</v>
      </c>
      <c r="N51" s="148" t="str">
        <f>IF(VLOOKUP(_xlfn.CONCAT(M$6,$C51),BurnRate!$G$3:$P$1102,10,FALSE)="NR","NR",IF(M51="NR","NR",M51/(VLOOKUP(_xlfn.CONCAT(M$6,$C51),BurnRate!$G$3:$P$1102,10,FALSE)/90)))</f>
        <v>NR</v>
      </c>
      <c r="O51" s="169" t="str">
        <f>IF(SUM(VLOOKUP($C51,DATA_Depts[[#All],[COVID-19 Item List]:[SCL]],MATCH(O$6,DATA_Depts[[#Headers],[COVID-19 Item List]:[SCL]],0),FALSE)=0),IF(VLOOKUP(_xlfn.CONCAT(O$6,$C51),BurnRate!$G$3:$P$1102,10,FALSE)="NR","NR",0),VLOOKUP($C51,DATA_Depts[[#All],[COVID-19 Item List]:[SCL]],MATCH(O$6,DATA_Depts[[#Headers],[COVID-19 Item List]:[SCL]],0),FALSE))</f>
        <v>NR</v>
      </c>
      <c r="P51" s="148" t="str">
        <f>IF(VLOOKUP(_xlfn.CONCAT(O$6,$C51),BurnRate!$G$3:$P$1102,10,FALSE)="NR","NR",IF(O51="NR","NR",O51/(VLOOKUP(_xlfn.CONCAT(O$6,$C51),BurnRate!$G$3:$P$1102,10,FALSE)/90)))</f>
        <v>NR</v>
      </c>
      <c r="Q51" s="169" t="str">
        <f>IF(SUM(VLOOKUP($C51,DATA_Depts[[#All],[COVID-19 Item List]:[SCL]],MATCH(Q$6,DATA_Depts[[#Headers],[COVID-19 Item List]:[SCL]],0),FALSE)=0),IF(VLOOKUP(_xlfn.CONCAT(Q$6,$C51),BurnRate!$G$3:$P$1102,10,FALSE)="NR","NR",0),VLOOKUP($C51,DATA_Depts[[#All],[COVID-19 Item List]:[SCL]],MATCH(Q$6,DATA_Depts[[#Headers],[COVID-19 Item List]:[SCL]],0),FALSE))</f>
        <v>NR</v>
      </c>
      <c r="R51" s="148" t="str">
        <f>IF(VLOOKUP(_xlfn.CONCAT(Q$6,$C51),BurnRate!$G$3:$P$1102,10,FALSE)="NR","NR",IF(Q51="NR","NR",Q51/(VLOOKUP(_xlfn.CONCAT(Q$6,$C51),BurnRate!$G$3:$P$1102,10,FALSE)/90)))</f>
        <v>NR</v>
      </c>
      <c r="S51" s="169" t="str">
        <f>IF(SUM(VLOOKUP($C51,DATA_Depts[[#All],[COVID-19 Item List]:[SCL]],MATCH(S$6,DATA_Depts[[#Headers],[COVID-19 Item List]:[SCL]],0),FALSE)=0),IF(VLOOKUP(_xlfn.CONCAT(S$6,$C51),BurnRate!$G$3:$P$1102,10,FALSE)="NR","NR",0),VLOOKUP($C51,DATA_Depts[[#All],[COVID-19 Item List]:[SCL]],MATCH(S$6,DATA_Depts[[#Headers],[COVID-19 Item List]:[SCL]],0),FALSE))</f>
        <v>NR</v>
      </c>
      <c r="T51" s="148" t="str">
        <f>IF(VLOOKUP(_xlfn.CONCAT(S$6,$C51),BurnRate!$G$3:$P$1102,10,FALSE)="NR","NR",IF(S51="NR","NR",S51/(VLOOKUP(_xlfn.CONCAT(S$6,$C51),BurnRate!$G$3:$P$1102,10,FALSE)/90)))</f>
        <v>NR</v>
      </c>
      <c r="U51" s="169" t="str">
        <f>IF(SUM(VLOOKUP($C51,DATA_Depts[[#All],[COVID-19 Item List]:[SCL]],MATCH(U$6,DATA_Depts[[#Headers],[COVID-19 Item List]:[SCL]],0),FALSE)=0),IF(VLOOKUP(_xlfn.CONCAT(U$6,$C51),BurnRate!$G$3:$P$1102,10,FALSE)="NR","NR",0),VLOOKUP($C51,DATA_Depts[[#All],[COVID-19 Item List]:[SCL]],MATCH(U$6,DATA_Depts[[#Headers],[COVID-19 Item List]:[SCL]],0),FALSE))</f>
        <v>NR</v>
      </c>
      <c r="V51" s="148" t="str">
        <f>IF(VLOOKUP(_xlfn.CONCAT(U$6,$C51),BurnRate!$G$3:$P$1102,10,FALSE)="NR","NR",IF(U51="NR","NR",U51/(VLOOKUP(_xlfn.CONCAT(U$6,$C51),BurnRate!$G$3:$P$1102,10,FALSE)/90)))</f>
        <v>NR</v>
      </c>
      <c r="W51" s="169" t="str">
        <f>IF(SUM(VLOOKUP($C51,DATA_Depts[[#All],[COVID-19 Item List]:[SCL]],MATCH(W$6,DATA_Depts[[#Headers],[COVID-19 Item List]:[SCL]],0),FALSE)=0),IF(VLOOKUP(_xlfn.CONCAT(W$6,$C51),BurnRate!$G$3:$P$1102,10,FALSE)="NR","NR",0),VLOOKUP($C51,DATA_Depts[[#All],[COVID-19 Item List]:[SCL]],MATCH(W$6,DATA_Depts[[#Headers],[COVID-19 Item List]:[SCL]],0),FALSE))</f>
        <v>NR</v>
      </c>
      <c r="X51" s="148" t="str">
        <f>IF(VLOOKUP(_xlfn.CONCAT(W$6,$C51),BurnRate!$G$3:$P$1102,10,FALSE)="NR","NR",IF(W51="NR","NR",W51/(VLOOKUP(_xlfn.CONCAT(W$6,$C51),BurnRate!$G$3:$P$1102,10,FALSE)/90)))</f>
        <v>NR</v>
      </c>
      <c r="Y51" s="169" t="str">
        <f>IF(SUM(VLOOKUP($C51,DATA_Depts[[#All],[COVID-19 Item List]:[SCL]],MATCH(Y$6,DATA_Depts[[#Headers],[COVID-19 Item List]:[SCL]],0),FALSE)=0),IF(VLOOKUP(_xlfn.CONCAT(Y$6,$C51),BurnRate!$G$3:$P$1102,10,FALSE)="NR","NR",0),VLOOKUP($C51,DATA_Depts[[#All],[COVID-19 Item List]:[SCL]],MATCH(Y$6,DATA_Depts[[#Headers],[COVID-19 Item List]:[SCL]],0),FALSE))</f>
        <v>NR</v>
      </c>
      <c r="Z51" s="148" t="str">
        <f>IF(VLOOKUP(_xlfn.CONCAT(Y$6,$C51),BurnRate!$G$3:$P$1102,10,FALSE)="NR","NR",IF(Y51="NR","NR",Y51/(VLOOKUP(_xlfn.CONCAT(Y$6,$C51),BurnRate!$G$3:$P$1102,10,FALSE)/90)))</f>
        <v>NR</v>
      </c>
    </row>
    <row r="52" spans="2:26" s="43" customFormat="1" ht="11" hidden="1">
      <c r="B52" s="46">
        <v>45</v>
      </c>
      <c r="C52" s="47" t="str">
        <f>_xlfn.SINGLE(VLOOKUP(B52,DisplayOrder[#All],2,FALSE))</f>
        <v>Reserved-45</v>
      </c>
      <c r="D52" s="116" t="str">
        <f>_xlfn.SINGLE(VLOOKUP(B52,DisplayOrder!A:C,3,FALSE))</f>
        <v>each</v>
      </c>
      <c r="E52" s="117" t="str">
        <f>IF(VLOOKUP(_xlfn.CONCAT(E$6,$C52),BurnRate!$G$3:$P$1102,10,FALSE)="NR",IF(SUMIF(FAS_Centralized!K:K,C52,FAS_Centralized!N:N)=0,"NR",SUMIF(FAS_Centralized!K:K,C52,FAS_Centralized!N:N)),SUMIF(FAS_Centralized!K:K,C52,FAS_Centralized!N:N))</f>
        <v>NR</v>
      </c>
      <c r="F52" s="148" t="str">
        <f>IF(VLOOKUP(_xlfn.CONCAT(E$6,$C52),BurnRate!$G$3:$P$1102,10,FALSE)="NR","NR",IF(E52="NR","NR",E52/(VLOOKUP(_xlfn.CONCAT(E$6,$C52),BurnRate!$G$3:$P$1102,10,FALSE)/90)))</f>
        <v>NR</v>
      </c>
      <c r="G52" s="169" t="str">
        <f>IF(SUM(VLOOKUP($C52,DATA_Depts[[#All],[COVID-19 Item List]:[SCL]],MATCH(G$6,DATA_Depts[[#Headers],[COVID-19 Item List]:[SCL]],0),FALSE)=0),IF(VLOOKUP(_xlfn.CONCAT(G$6,$C52),BurnRate!$G$3:$P$1102,10,FALSE)="NR","NR",0),VLOOKUP($C52,DATA_Depts[[#All],[COVID-19 Item List]:[SCL]],MATCH(G$6,DATA_Depts[[#Headers],[COVID-19 Item List]:[SCL]],0),FALSE))</f>
        <v>NR</v>
      </c>
      <c r="H52" s="148" t="str">
        <f>IF(VLOOKUP(_xlfn.CONCAT(G$6,$C52),BurnRate!$G$3:$P$1102,10,FALSE)="NR","NR",IF(G52="NR","NR",G52/(VLOOKUP(_xlfn.CONCAT(G$6,$C52),BurnRate!$G$3:$P$1102,10,FALSE)/90)))</f>
        <v>NR</v>
      </c>
      <c r="I52" s="169" t="str">
        <f>IF(SUM(VLOOKUP($C52,DATA_Depts[[#All],[COVID-19 Item List]:[SCL]],MATCH(I$6,DATA_Depts[[#Headers],[COVID-19 Item List]:[SCL]],0),FALSE)=0),IF(VLOOKUP(_xlfn.CONCAT(I$6,$C52),BurnRate!$G$3:$P$1102,10,FALSE)="NR","NR",0),VLOOKUP($C52,DATA_Depts[[#All],[COVID-19 Item List]:[SCL]],MATCH(I$6,DATA_Depts[[#Headers],[COVID-19 Item List]:[SCL]],0),FALSE))</f>
        <v>NR</v>
      </c>
      <c r="J52" s="148" t="str">
        <f>IF(VLOOKUP(_xlfn.CONCAT(I$6,$C52),BurnRate!$G$3:$P$1102,10,FALSE)="NR","NR",IF(I52="NR","NR",I52/(VLOOKUP(_xlfn.CONCAT(I$6,$C52),BurnRate!$G$3:$P$1102,10,FALSE)/90)))</f>
        <v>NR</v>
      </c>
      <c r="K52" s="169" t="str">
        <f>IF(SUM(VLOOKUP($C52,DATA_Depts[[#All],[COVID-19 Item List]:[SCL]],MATCH(K$6,DATA_Depts[[#Headers],[COVID-19 Item List]:[SCL]],0),FALSE)=0),IF(VLOOKUP(_xlfn.CONCAT(K$6,$C52),BurnRate!$G$3:$P$1102,10,FALSE)="NR","NR",0),VLOOKUP($C52,DATA_Depts[[#All],[COVID-19 Item List]:[SCL]],MATCH(K$6,DATA_Depts[[#Headers],[COVID-19 Item List]:[SCL]],0),FALSE))</f>
        <v>NR</v>
      </c>
      <c r="L52" s="148" t="str">
        <f>IF(VLOOKUP(_xlfn.CONCAT(K$6,$C52),BurnRate!$G$3:$P$1102,10,FALSE)="NR","NR",IF(K52="NR","NR",K52/(VLOOKUP(_xlfn.CONCAT(K$6,$C52),BurnRate!$G$3:$P$1102,10,FALSE)/90)))</f>
        <v>NR</v>
      </c>
      <c r="M52" s="169" t="str">
        <f>IF(SUM(VLOOKUP($C52,DATA_Depts[[#All],[COVID-19 Item List]:[SCL]],MATCH(M$6,DATA_Depts[[#Headers],[COVID-19 Item List]:[SCL]],0),FALSE)=0),IF(VLOOKUP(_xlfn.CONCAT(M$6,$C52),BurnRate!$G$3:$P$1102,10,FALSE)="NR","NR",0),VLOOKUP($C52,DATA_Depts[[#All],[COVID-19 Item List]:[SCL]],MATCH(M$6,DATA_Depts[[#Headers],[COVID-19 Item List]:[SCL]],0),FALSE))</f>
        <v>NR</v>
      </c>
      <c r="N52" s="148" t="str">
        <f>IF(VLOOKUP(_xlfn.CONCAT(M$6,$C52),BurnRate!$G$3:$P$1102,10,FALSE)="NR","NR",IF(M52="NR","NR",M52/(VLOOKUP(_xlfn.CONCAT(M$6,$C52),BurnRate!$G$3:$P$1102,10,FALSE)/90)))</f>
        <v>NR</v>
      </c>
      <c r="O52" s="169" t="str">
        <f>IF(SUM(VLOOKUP($C52,DATA_Depts[[#All],[COVID-19 Item List]:[SCL]],MATCH(O$6,DATA_Depts[[#Headers],[COVID-19 Item List]:[SCL]],0),FALSE)=0),IF(VLOOKUP(_xlfn.CONCAT(O$6,$C52),BurnRate!$G$3:$P$1102,10,FALSE)="NR","NR",0),VLOOKUP($C52,DATA_Depts[[#All],[COVID-19 Item List]:[SCL]],MATCH(O$6,DATA_Depts[[#Headers],[COVID-19 Item List]:[SCL]],0),FALSE))</f>
        <v>NR</v>
      </c>
      <c r="P52" s="148" t="str">
        <f>IF(VLOOKUP(_xlfn.CONCAT(O$6,$C52),BurnRate!$G$3:$P$1102,10,FALSE)="NR","NR",IF(O52="NR","NR",O52/(VLOOKUP(_xlfn.CONCAT(O$6,$C52),BurnRate!$G$3:$P$1102,10,FALSE)/90)))</f>
        <v>NR</v>
      </c>
      <c r="Q52" s="169" t="str">
        <f>IF(SUM(VLOOKUP($C52,DATA_Depts[[#All],[COVID-19 Item List]:[SCL]],MATCH(Q$6,DATA_Depts[[#Headers],[COVID-19 Item List]:[SCL]],0),FALSE)=0),IF(VLOOKUP(_xlfn.CONCAT(Q$6,$C52),BurnRate!$G$3:$P$1102,10,FALSE)="NR","NR",0),VLOOKUP($C52,DATA_Depts[[#All],[COVID-19 Item List]:[SCL]],MATCH(Q$6,DATA_Depts[[#Headers],[COVID-19 Item List]:[SCL]],0),FALSE))</f>
        <v>NR</v>
      </c>
      <c r="R52" s="148" t="str">
        <f>IF(VLOOKUP(_xlfn.CONCAT(Q$6,$C52),BurnRate!$G$3:$P$1102,10,FALSE)="NR","NR",IF(Q52="NR","NR",Q52/(VLOOKUP(_xlfn.CONCAT(Q$6,$C52),BurnRate!$G$3:$P$1102,10,FALSE)/90)))</f>
        <v>NR</v>
      </c>
      <c r="S52" s="169" t="str">
        <f>IF(SUM(VLOOKUP($C52,DATA_Depts[[#All],[COVID-19 Item List]:[SCL]],MATCH(S$6,DATA_Depts[[#Headers],[COVID-19 Item List]:[SCL]],0),FALSE)=0),IF(VLOOKUP(_xlfn.CONCAT(S$6,$C52),BurnRate!$G$3:$P$1102,10,FALSE)="NR","NR",0),VLOOKUP($C52,DATA_Depts[[#All],[COVID-19 Item List]:[SCL]],MATCH(S$6,DATA_Depts[[#Headers],[COVID-19 Item List]:[SCL]],0),FALSE))</f>
        <v>NR</v>
      </c>
      <c r="T52" s="148" t="str">
        <f>IF(VLOOKUP(_xlfn.CONCAT(S$6,$C52),BurnRate!$G$3:$P$1102,10,FALSE)="NR","NR",IF(S52="NR","NR",S52/(VLOOKUP(_xlfn.CONCAT(S$6,$C52),BurnRate!$G$3:$P$1102,10,FALSE)/90)))</f>
        <v>NR</v>
      </c>
      <c r="U52" s="169" t="str">
        <f>IF(SUM(VLOOKUP($C52,DATA_Depts[[#All],[COVID-19 Item List]:[SCL]],MATCH(U$6,DATA_Depts[[#Headers],[COVID-19 Item List]:[SCL]],0),FALSE)=0),IF(VLOOKUP(_xlfn.CONCAT(U$6,$C52),BurnRate!$G$3:$P$1102,10,FALSE)="NR","NR",0),VLOOKUP($C52,DATA_Depts[[#All],[COVID-19 Item List]:[SCL]],MATCH(U$6,DATA_Depts[[#Headers],[COVID-19 Item List]:[SCL]],0),FALSE))</f>
        <v>NR</v>
      </c>
      <c r="V52" s="148" t="str">
        <f>IF(VLOOKUP(_xlfn.CONCAT(U$6,$C52),BurnRate!$G$3:$P$1102,10,FALSE)="NR","NR",IF(U52="NR","NR",U52/(VLOOKUP(_xlfn.CONCAT(U$6,$C52),BurnRate!$G$3:$P$1102,10,FALSE)/90)))</f>
        <v>NR</v>
      </c>
      <c r="W52" s="169" t="str">
        <f>IF(SUM(VLOOKUP($C52,DATA_Depts[[#All],[COVID-19 Item List]:[SCL]],MATCH(W$6,DATA_Depts[[#Headers],[COVID-19 Item List]:[SCL]],0),FALSE)=0),IF(VLOOKUP(_xlfn.CONCAT(W$6,$C52),BurnRate!$G$3:$P$1102,10,FALSE)="NR","NR",0),VLOOKUP($C52,DATA_Depts[[#All],[COVID-19 Item List]:[SCL]],MATCH(W$6,DATA_Depts[[#Headers],[COVID-19 Item List]:[SCL]],0),FALSE))</f>
        <v>NR</v>
      </c>
      <c r="X52" s="148" t="str">
        <f>IF(VLOOKUP(_xlfn.CONCAT(W$6,$C52),BurnRate!$G$3:$P$1102,10,FALSE)="NR","NR",IF(W52="NR","NR",W52/(VLOOKUP(_xlfn.CONCAT(W$6,$C52),BurnRate!$G$3:$P$1102,10,FALSE)/90)))</f>
        <v>NR</v>
      </c>
      <c r="Y52" s="169" t="str">
        <f>IF(SUM(VLOOKUP($C52,DATA_Depts[[#All],[COVID-19 Item List]:[SCL]],MATCH(Y$6,DATA_Depts[[#Headers],[COVID-19 Item List]:[SCL]],0),FALSE)=0),IF(VLOOKUP(_xlfn.CONCAT(Y$6,$C52),BurnRate!$G$3:$P$1102,10,FALSE)="NR","NR",0),VLOOKUP($C52,DATA_Depts[[#All],[COVID-19 Item List]:[SCL]],MATCH(Y$6,DATA_Depts[[#Headers],[COVID-19 Item List]:[SCL]],0),FALSE))</f>
        <v>NR</v>
      </c>
      <c r="Z52" s="148" t="str">
        <f>IF(VLOOKUP(_xlfn.CONCAT(Y$6,$C52),BurnRate!$G$3:$P$1102,10,FALSE)="NR","NR",IF(Y52="NR","NR",Y52/(VLOOKUP(_xlfn.CONCAT(Y$6,$C52),BurnRate!$G$3:$P$1102,10,FALSE)/90)))</f>
        <v>NR</v>
      </c>
    </row>
    <row r="53" spans="2:26" s="43" customFormat="1" ht="11" hidden="1">
      <c r="B53" s="46">
        <v>46</v>
      </c>
      <c r="C53" s="47" t="str">
        <f>_xlfn.SINGLE(VLOOKUP(B53,DisplayOrder[#All],2,FALSE))</f>
        <v>Reserved-46</v>
      </c>
      <c r="D53" s="116" t="str">
        <f>_xlfn.SINGLE(VLOOKUP(B53,DisplayOrder!A:C,3,FALSE))</f>
        <v>each</v>
      </c>
      <c r="E53" s="117" t="str">
        <f>IF(VLOOKUP(_xlfn.CONCAT(E$6,$C53),BurnRate!$G$3:$P$1102,10,FALSE)="NR",IF(SUMIF(FAS_Centralized!K:K,C53,FAS_Centralized!N:N)=0,"NR",SUMIF(FAS_Centralized!K:K,C53,FAS_Centralized!N:N)),SUMIF(FAS_Centralized!K:K,C53,FAS_Centralized!N:N))</f>
        <v>NR</v>
      </c>
      <c r="F53" s="148" t="str">
        <f>IF(VLOOKUP(_xlfn.CONCAT(E$6,$C53),BurnRate!$G$3:$P$1102,10,FALSE)="NR","NR",IF(E53="NR","NR",E53/(VLOOKUP(_xlfn.CONCAT(E$6,$C53),BurnRate!$G$3:$P$1102,10,FALSE)/90)))</f>
        <v>NR</v>
      </c>
      <c r="G53" s="169" t="str">
        <f>IF(SUM(VLOOKUP($C53,DATA_Depts[[#All],[COVID-19 Item List]:[SCL]],MATCH(G$6,DATA_Depts[[#Headers],[COVID-19 Item List]:[SCL]],0),FALSE)=0),IF(VLOOKUP(_xlfn.CONCAT(G$6,$C53),BurnRate!$G$3:$P$1102,10,FALSE)="NR","NR",0),VLOOKUP($C53,DATA_Depts[[#All],[COVID-19 Item List]:[SCL]],MATCH(G$6,DATA_Depts[[#Headers],[COVID-19 Item List]:[SCL]],0),FALSE))</f>
        <v>NR</v>
      </c>
      <c r="H53" s="148" t="str">
        <f>IF(VLOOKUP(_xlfn.CONCAT(G$6,$C53),BurnRate!$G$3:$P$1102,10,FALSE)="NR","NR",IF(G53="NR","NR",G53/(VLOOKUP(_xlfn.CONCAT(G$6,$C53),BurnRate!$G$3:$P$1102,10,FALSE)/90)))</f>
        <v>NR</v>
      </c>
      <c r="I53" s="169" t="str">
        <f>IF(SUM(VLOOKUP($C53,DATA_Depts[[#All],[COVID-19 Item List]:[SCL]],MATCH(I$6,DATA_Depts[[#Headers],[COVID-19 Item List]:[SCL]],0),FALSE)=0),IF(VLOOKUP(_xlfn.CONCAT(I$6,$C53),BurnRate!$G$3:$P$1102,10,FALSE)="NR","NR",0),VLOOKUP($C53,DATA_Depts[[#All],[COVID-19 Item List]:[SCL]],MATCH(I$6,DATA_Depts[[#Headers],[COVID-19 Item List]:[SCL]],0),FALSE))</f>
        <v>NR</v>
      </c>
      <c r="J53" s="148" t="str">
        <f>IF(VLOOKUP(_xlfn.CONCAT(I$6,$C53),BurnRate!$G$3:$P$1102,10,FALSE)="NR","NR",IF(I53="NR","NR",I53/(VLOOKUP(_xlfn.CONCAT(I$6,$C53),BurnRate!$G$3:$P$1102,10,FALSE)/90)))</f>
        <v>NR</v>
      </c>
      <c r="K53" s="169" t="str">
        <f>IF(SUM(VLOOKUP($C53,DATA_Depts[[#All],[COVID-19 Item List]:[SCL]],MATCH(K$6,DATA_Depts[[#Headers],[COVID-19 Item List]:[SCL]],0),FALSE)=0),IF(VLOOKUP(_xlfn.CONCAT(K$6,$C53),BurnRate!$G$3:$P$1102,10,FALSE)="NR","NR",0),VLOOKUP($C53,DATA_Depts[[#All],[COVID-19 Item List]:[SCL]],MATCH(K$6,DATA_Depts[[#Headers],[COVID-19 Item List]:[SCL]],0),FALSE))</f>
        <v>NR</v>
      </c>
      <c r="L53" s="148" t="str">
        <f>IF(VLOOKUP(_xlfn.CONCAT(K$6,$C53),BurnRate!$G$3:$P$1102,10,FALSE)="NR","NR",IF(K53="NR","NR",K53/(VLOOKUP(_xlfn.CONCAT(K$6,$C53),BurnRate!$G$3:$P$1102,10,FALSE)/90)))</f>
        <v>NR</v>
      </c>
      <c r="M53" s="169" t="str">
        <f>IF(SUM(VLOOKUP($C53,DATA_Depts[[#All],[COVID-19 Item List]:[SCL]],MATCH(M$6,DATA_Depts[[#Headers],[COVID-19 Item List]:[SCL]],0),FALSE)=0),IF(VLOOKUP(_xlfn.CONCAT(M$6,$C53),BurnRate!$G$3:$P$1102,10,FALSE)="NR","NR",0),VLOOKUP($C53,DATA_Depts[[#All],[COVID-19 Item List]:[SCL]],MATCH(M$6,DATA_Depts[[#Headers],[COVID-19 Item List]:[SCL]],0),FALSE))</f>
        <v>NR</v>
      </c>
      <c r="N53" s="148" t="str">
        <f>IF(VLOOKUP(_xlfn.CONCAT(M$6,$C53),BurnRate!$G$3:$P$1102,10,FALSE)="NR","NR",IF(M53="NR","NR",M53/(VLOOKUP(_xlfn.CONCAT(M$6,$C53),BurnRate!$G$3:$P$1102,10,FALSE)/90)))</f>
        <v>NR</v>
      </c>
      <c r="O53" s="169" t="str">
        <f>IF(SUM(VLOOKUP($C53,DATA_Depts[[#All],[COVID-19 Item List]:[SCL]],MATCH(O$6,DATA_Depts[[#Headers],[COVID-19 Item List]:[SCL]],0),FALSE)=0),IF(VLOOKUP(_xlfn.CONCAT(O$6,$C53),BurnRate!$G$3:$P$1102,10,FALSE)="NR","NR",0),VLOOKUP($C53,DATA_Depts[[#All],[COVID-19 Item List]:[SCL]],MATCH(O$6,DATA_Depts[[#Headers],[COVID-19 Item List]:[SCL]],0),FALSE))</f>
        <v>NR</v>
      </c>
      <c r="P53" s="148" t="str">
        <f>IF(VLOOKUP(_xlfn.CONCAT(O$6,$C53),BurnRate!$G$3:$P$1102,10,FALSE)="NR","NR",IF(O53="NR","NR",O53/(VLOOKUP(_xlfn.CONCAT(O$6,$C53),BurnRate!$G$3:$P$1102,10,FALSE)/90)))</f>
        <v>NR</v>
      </c>
      <c r="Q53" s="169" t="str">
        <f>IF(SUM(VLOOKUP($C53,DATA_Depts[[#All],[COVID-19 Item List]:[SCL]],MATCH(Q$6,DATA_Depts[[#Headers],[COVID-19 Item List]:[SCL]],0),FALSE)=0),IF(VLOOKUP(_xlfn.CONCAT(Q$6,$C53),BurnRate!$G$3:$P$1102,10,FALSE)="NR","NR",0),VLOOKUP($C53,DATA_Depts[[#All],[COVID-19 Item List]:[SCL]],MATCH(Q$6,DATA_Depts[[#Headers],[COVID-19 Item List]:[SCL]],0),FALSE))</f>
        <v>NR</v>
      </c>
      <c r="R53" s="148" t="str">
        <f>IF(VLOOKUP(_xlfn.CONCAT(Q$6,$C53),BurnRate!$G$3:$P$1102,10,FALSE)="NR","NR",IF(Q53="NR","NR",Q53/(VLOOKUP(_xlfn.CONCAT(Q$6,$C53),BurnRate!$G$3:$P$1102,10,FALSE)/90)))</f>
        <v>NR</v>
      </c>
      <c r="S53" s="169" t="str">
        <f>IF(SUM(VLOOKUP($C53,DATA_Depts[[#All],[COVID-19 Item List]:[SCL]],MATCH(S$6,DATA_Depts[[#Headers],[COVID-19 Item List]:[SCL]],0),FALSE)=0),IF(VLOOKUP(_xlfn.CONCAT(S$6,$C53),BurnRate!$G$3:$P$1102,10,FALSE)="NR","NR",0),VLOOKUP($C53,DATA_Depts[[#All],[COVID-19 Item List]:[SCL]],MATCH(S$6,DATA_Depts[[#Headers],[COVID-19 Item List]:[SCL]],0),FALSE))</f>
        <v>NR</v>
      </c>
      <c r="T53" s="148" t="str">
        <f>IF(VLOOKUP(_xlfn.CONCAT(S$6,$C53),BurnRate!$G$3:$P$1102,10,FALSE)="NR","NR",IF(S53="NR","NR",S53/(VLOOKUP(_xlfn.CONCAT(S$6,$C53),BurnRate!$G$3:$P$1102,10,FALSE)/90)))</f>
        <v>NR</v>
      </c>
      <c r="U53" s="169" t="str">
        <f>IF(SUM(VLOOKUP($C53,DATA_Depts[[#All],[COVID-19 Item List]:[SCL]],MATCH(U$6,DATA_Depts[[#Headers],[COVID-19 Item List]:[SCL]],0),FALSE)=0),IF(VLOOKUP(_xlfn.CONCAT(U$6,$C53),BurnRate!$G$3:$P$1102,10,FALSE)="NR","NR",0),VLOOKUP($C53,DATA_Depts[[#All],[COVID-19 Item List]:[SCL]],MATCH(U$6,DATA_Depts[[#Headers],[COVID-19 Item List]:[SCL]],0),FALSE))</f>
        <v>NR</v>
      </c>
      <c r="V53" s="148" t="str">
        <f>IF(VLOOKUP(_xlfn.CONCAT(U$6,$C53),BurnRate!$G$3:$P$1102,10,FALSE)="NR","NR",IF(U53="NR","NR",U53/(VLOOKUP(_xlfn.CONCAT(U$6,$C53),BurnRate!$G$3:$P$1102,10,FALSE)/90)))</f>
        <v>NR</v>
      </c>
      <c r="W53" s="169" t="str">
        <f>IF(SUM(VLOOKUP($C53,DATA_Depts[[#All],[COVID-19 Item List]:[SCL]],MATCH(W$6,DATA_Depts[[#Headers],[COVID-19 Item List]:[SCL]],0),FALSE)=0),IF(VLOOKUP(_xlfn.CONCAT(W$6,$C53),BurnRate!$G$3:$P$1102,10,FALSE)="NR","NR",0),VLOOKUP($C53,DATA_Depts[[#All],[COVID-19 Item List]:[SCL]],MATCH(W$6,DATA_Depts[[#Headers],[COVID-19 Item List]:[SCL]],0),FALSE))</f>
        <v>NR</v>
      </c>
      <c r="X53" s="148" t="str">
        <f>IF(VLOOKUP(_xlfn.CONCAT(W$6,$C53),BurnRate!$G$3:$P$1102,10,FALSE)="NR","NR",IF(W53="NR","NR",W53/(VLOOKUP(_xlfn.CONCAT(W$6,$C53),BurnRate!$G$3:$P$1102,10,FALSE)/90)))</f>
        <v>NR</v>
      </c>
      <c r="Y53" s="169" t="str">
        <f>IF(SUM(VLOOKUP($C53,DATA_Depts[[#All],[COVID-19 Item List]:[SCL]],MATCH(Y$6,DATA_Depts[[#Headers],[COVID-19 Item List]:[SCL]],0),FALSE)=0),IF(VLOOKUP(_xlfn.CONCAT(Y$6,$C53),BurnRate!$G$3:$P$1102,10,FALSE)="NR","NR",0),VLOOKUP($C53,DATA_Depts[[#All],[COVID-19 Item List]:[SCL]],MATCH(Y$6,DATA_Depts[[#Headers],[COVID-19 Item List]:[SCL]],0),FALSE))</f>
        <v>NR</v>
      </c>
      <c r="Z53" s="148" t="str">
        <f>IF(VLOOKUP(_xlfn.CONCAT(Y$6,$C53),BurnRate!$G$3:$P$1102,10,FALSE)="NR","NR",IF(Y53="NR","NR",Y53/(VLOOKUP(_xlfn.CONCAT(Y$6,$C53),BurnRate!$G$3:$P$1102,10,FALSE)/90)))</f>
        <v>NR</v>
      </c>
    </row>
    <row r="54" spans="2:26" s="43" customFormat="1" ht="11" hidden="1">
      <c r="B54" s="46">
        <v>47</v>
      </c>
      <c r="C54" s="47" t="str">
        <f>_xlfn.SINGLE(VLOOKUP(B54,DisplayOrder[#All],2,FALSE))</f>
        <v>Reserved-47</v>
      </c>
      <c r="D54" s="116" t="str">
        <f>_xlfn.SINGLE(VLOOKUP(B54,DisplayOrder!A:C,3,FALSE))</f>
        <v>each</v>
      </c>
      <c r="E54" s="117" t="str">
        <f>IF(VLOOKUP(_xlfn.CONCAT(E$6,$C54),BurnRate!$G$3:$P$1102,10,FALSE)="NR",IF(SUMIF(FAS_Centralized!K:K,C54,FAS_Centralized!N:N)=0,"NR",SUMIF(FAS_Centralized!K:K,C54,FAS_Centralized!N:N)),SUMIF(FAS_Centralized!K:K,C54,FAS_Centralized!N:N))</f>
        <v>NR</v>
      </c>
      <c r="F54" s="148" t="str">
        <f>IF(VLOOKUP(_xlfn.CONCAT(E$6,$C54),BurnRate!$G$3:$P$1102,10,FALSE)="NR","NR",IF(E54="NR","NR",E54/(VLOOKUP(_xlfn.CONCAT(E$6,$C54),BurnRate!$G$3:$P$1102,10,FALSE)/90)))</f>
        <v>NR</v>
      </c>
      <c r="G54" s="169" t="str">
        <f>IF(SUM(VLOOKUP($C54,DATA_Depts[[#All],[COVID-19 Item List]:[SCL]],MATCH(G$6,DATA_Depts[[#Headers],[COVID-19 Item List]:[SCL]],0),FALSE)=0),IF(VLOOKUP(_xlfn.CONCAT(G$6,$C54),BurnRate!$G$3:$P$1102,10,FALSE)="NR","NR",0),VLOOKUP($C54,DATA_Depts[[#All],[COVID-19 Item List]:[SCL]],MATCH(G$6,DATA_Depts[[#Headers],[COVID-19 Item List]:[SCL]],0),FALSE))</f>
        <v>NR</v>
      </c>
      <c r="H54" s="148" t="str">
        <f>IF(VLOOKUP(_xlfn.CONCAT(G$6,$C54),BurnRate!$G$3:$P$1102,10,FALSE)="NR","NR",IF(G54="NR","NR",G54/(VLOOKUP(_xlfn.CONCAT(G$6,$C54),BurnRate!$G$3:$P$1102,10,FALSE)/90)))</f>
        <v>NR</v>
      </c>
      <c r="I54" s="169" t="str">
        <f>IF(SUM(VLOOKUP($C54,DATA_Depts[[#All],[COVID-19 Item List]:[SCL]],MATCH(I$6,DATA_Depts[[#Headers],[COVID-19 Item List]:[SCL]],0),FALSE)=0),IF(VLOOKUP(_xlfn.CONCAT(I$6,$C54),BurnRate!$G$3:$P$1102,10,FALSE)="NR","NR",0),VLOOKUP($C54,DATA_Depts[[#All],[COVID-19 Item List]:[SCL]],MATCH(I$6,DATA_Depts[[#Headers],[COVID-19 Item List]:[SCL]],0),FALSE))</f>
        <v>NR</v>
      </c>
      <c r="J54" s="148" t="str">
        <f>IF(VLOOKUP(_xlfn.CONCAT(I$6,$C54),BurnRate!$G$3:$P$1102,10,FALSE)="NR","NR",IF(I54="NR","NR",I54/(VLOOKUP(_xlfn.CONCAT(I$6,$C54),BurnRate!$G$3:$P$1102,10,FALSE)/90)))</f>
        <v>NR</v>
      </c>
      <c r="K54" s="169" t="str">
        <f>IF(SUM(VLOOKUP($C54,DATA_Depts[[#All],[COVID-19 Item List]:[SCL]],MATCH(K$6,DATA_Depts[[#Headers],[COVID-19 Item List]:[SCL]],0),FALSE)=0),IF(VLOOKUP(_xlfn.CONCAT(K$6,$C54),BurnRate!$G$3:$P$1102,10,FALSE)="NR","NR",0),VLOOKUP($C54,DATA_Depts[[#All],[COVID-19 Item List]:[SCL]],MATCH(K$6,DATA_Depts[[#Headers],[COVID-19 Item List]:[SCL]],0),FALSE))</f>
        <v>NR</v>
      </c>
      <c r="L54" s="148" t="str">
        <f>IF(VLOOKUP(_xlfn.CONCAT(K$6,$C54),BurnRate!$G$3:$P$1102,10,FALSE)="NR","NR",IF(K54="NR","NR",K54/(VLOOKUP(_xlfn.CONCAT(K$6,$C54),BurnRate!$G$3:$P$1102,10,FALSE)/90)))</f>
        <v>NR</v>
      </c>
      <c r="M54" s="169" t="str">
        <f>IF(SUM(VLOOKUP($C54,DATA_Depts[[#All],[COVID-19 Item List]:[SCL]],MATCH(M$6,DATA_Depts[[#Headers],[COVID-19 Item List]:[SCL]],0),FALSE)=0),IF(VLOOKUP(_xlfn.CONCAT(M$6,$C54),BurnRate!$G$3:$P$1102,10,FALSE)="NR","NR",0),VLOOKUP($C54,DATA_Depts[[#All],[COVID-19 Item List]:[SCL]],MATCH(M$6,DATA_Depts[[#Headers],[COVID-19 Item List]:[SCL]],0),FALSE))</f>
        <v>NR</v>
      </c>
      <c r="N54" s="148" t="str">
        <f>IF(VLOOKUP(_xlfn.CONCAT(M$6,$C54),BurnRate!$G$3:$P$1102,10,FALSE)="NR","NR",IF(M54="NR","NR",M54/(VLOOKUP(_xlfn.CONCAT(M$6,$C54),BurnRate!$G$3:$P$1102,10,FALSE)/90)))</f>
        <v>NR</v>
      </c>
      <c r="O54" s="169" t="str">
        <f>IF(SUM(VLOOKUP($C54,DATA_Depts[[#All],[COVID-19 Item List]:[SCL]],MATCH(O$6,DATA_Depts[[#Headers],[COVID-19 Item List]:[SCL]],0),FALSE)=0),IF(VLOOKUP(_xlfn.CONCAT(O$6,$C54),BurnRate!$G$3:$P$1102,10,FALSE)="NR","NR",0),VLOOKUP($C54,DATA_Depts[[#All],[COVID-19 Item List]:[SCL]],MATCH(O$6,DATA_Depts[[#Headers],[COVID-19 Item List]:[SCL]],0),FALSE))</f>
        <v>NR</v>
      </c>
      <c r="P54" s="148" t="str">
        <f>IF(VLOOKUP(_xlfn.CONCAT(O$6,$C54),BurnRate!$G$3:$P$1102,10,FALSE)="NR","NR",IF(O54="NR","NR",O54/(VLOOKUP(_xlfn.CONCAT(O$6,$C54),BurnRate!$G$3:$P$1102,10,FALSE)/90)))</f>
        <v>NR</v>
      </c>
      <c r="Q54" s="169" t="str">
        <f>IF(SUM(VLOOKUP($C54,DATA_Depts[[#All],[COVID-19 Item List]:[SCL]],MATCH(Q$6,DATA_Depts[[#Headers],[COVID-19 Item List]:[SCL]],0),FALSE)=0),IF(VLOOKUP(_xlfn.CONCAT(Q$6,$C54),BurnRate!$G$3:$P$1102,10,FALSE)="NR","NR",0),VLOOKUP($C54,DATA_Depts[[#All],[COVID-19 Item List]:[SCL]],MATCH(Q$6,DATA_Depts[[#Headers],[COVID-19 Item List]:[SCL]],0),FALSE))</f>
        <v>NR</v>
      </c>
      <c r="R54" s="148" t="str">
        <f>IF(VLOOKUP(_xlfn.CONCAT(Q$6,$C54),BurnRate!$G$3:$P$1102,10,FALSE)="NR","NR",IF(Q54="NR","NR",Q54/(VLOOKUP(_xlfn.CONCAT(Q$6,$C54),BurnRate!$G$3:$P$1102,10,FALSE)/90)))</f>
        <v>NR</v>
      </c>
      <c r="S54" s="169" t="str">
        <f>IF(SUM(VLOOKUP($C54,DATA_Depts[[#All],[COVID-19 Item List]:[SCL]],MATCH(S$6,DATA_Depts[[#Headers],[COVID-19 Item List]:[SCL]],0),FALSE)=0),IF(VLOOKUP(_xlfn.CONCAT(S$6,$C54),BurnRate!$G$3:$P$1102,10,FALSE)="NR","NR",0),VLOOKUP($C54,DATA_Depts[[#All],[COVID-19 Item List]:[SCL]],MATCH(S$6,DATA_Depts[[#Headers],[COVID-19 Item List]:[SCL]],0),FALSE))</f>
        <v>NR</v>
      </c>
      <c r="T54" s="148" t="str">
        <f>IF(VLOOKUP(_xlfn.CONCAT(S$6,$C54),BurnRate!$G$3:$P$1102,10,FALSE)="NR","NR",IF(S54="NR","NR",S54/(VLOOKUP(_xlfn.CONCAT(S$6,$C54),BurnRate!$G$3:$P$1102,10,FALSE)/90)))</f>
        <v>NR</v>
      </c>
      <c r="U54" s="169" t="str">
        <f>IF(SUM(VLOOKUP($C54,DATA_Depts[[#All],[COVID-19 Item List]:[SCL]],MATCH(U$6,DATA_Depts[[#Headers],[COVID-19 Item List]:[SCL]],0),FALSE)=0),IF(VLOOKUP(_xlfn.CONCAT(U$6,$C54),BurnRate!$G$3:$P$1102,10,FALSE)="NR","NR",0),VLOOKUP($C54,DATA_Depts[[#All],[COVID-19 Item List]:[SCL]],MATCH(U$6,DATA_Depts[[#Headers],[COVID-19 Item List]:[SCL]],0),FALSE))</f>
        <v>NR</v>
      </c>
      <c r="V54" s="148" t="str">
        <f>IF(VLOOKUP(_xlfn.CONCAT(U$6,$C54),BurnRate!$G$3:$P$1102,10,FALSE)="NR","NR",IF(U54="NR","NR",U54/(VLOOKUP(_xlfn.CONCAT(U$6,$C54),BurnRate!$G$3:$P$1102,10,FALSE)/90)))</f>
        <v>NR</v>
      </c>
      <c r="W54" s="169" t="str">
        <f>IF(SUM(VLOOKUP($C54,DATA_Depts[[#All],[COVID-19 Item List]:[SCL]],MATCH(W$6,DATA_Depts[[#Headers],[COVID-19 Item List]:[SCL]],0),FALSE)=0),IF(VLOOKUP(_xlfn.CONCAT(W$6,$C54),BurnRate!$G$3:$P$1102,10,FALSE)="NR","NR",0),VLOOKUP($C54,DATA_Depts[[#All],[COVID-19 Item List]:[SCL]],MATCH(W$6,DATA_Depts[[#Headers],[COVID-19 Item List]:[SCL]],0),FALSE))</f>
        <v>NR</v>
      </c>
      <c r="X54" s="148" t="str">
        <f>IF(VLOOKUP(_xlfn.CONCAT(W$6,$C54),BurnRate!$G$3:$P$1102,10,FALSE)="NR","NR",IF(W54="NR","NR",W54/(VLOOKUP(_xlfn.CONCAT(W$6,$C54),BurnRate!$G$3:$P$1102,10,FALSE)/90)))</f>
        <v>NR</v>
      </c>
      <c r="Y54" s="169" t="str">
        <f>IF(SUM(VLOOKUP($C54,DATA_Depts[[#All],[COVID-19 Item List]:[SCL]],MATCH(Y$6,DATA_Depts[[#Headers],[COVID-19 Item List]:[SCL]],0),FALSE)=0),IF(VLOOKUP(_xlfn.CONCAT(Y$6,$C54),BurnRate!$G$3:$P$1102,10,FALSE)="NR","NR",0),VLOOKUP($C54,DATA_Depts[[#All],[COVID-19 Item List]:[SCL]],MATCH(Y$6,DATA_Depts[[#Headers],[COVID-19 Item List]:[SCL]],0),FALSE))</f>
        <v>NR</v>
      </c>
      <c r="Z54" s="148" t="str">
        <f>IF(VLOOKUP(_xlfn.CONCAT(Y$6,$C54),BurnRate!$G$3:$P$1102,10,FALSE)="NR","NR",IF(Y54="NR","NR",Y54/(VLOOKUP(_xlfn.CONCAT(Y$6,$C54),BurnRate!$G$3:$P$1102,10,FALSE)/90)))</f>
        <v>NR</v>
      </c>
    </row>
    <row r="55" spans="2:26" s="43" customFormat="1" ht="11" hidden="1">
      <c r="B55" s="46">
        <v>48</v>
      </c>
      <c r="C55" s="47" t="str">
        <f>_xlfn.SINGLE(VLOOKUP(B55,DisplayOrder[#All],2,FALSE))</f>
        <v>Reserved-48</v>
      </c>
      <c r="D55" s="116" t="str">
        <f>_xlfn.SINGLE(VLOOKUP(B55,DisplayOrder!A:C,3,FALSE))</f>
        <v>each</v>
      </c>
      <c r="E55" s="117" t="str">
        <f>IF(VLOOKUP(_xlfn.CONCAT(E$6,$C55),BurnRate!$G$3:$P$1102,10,FALSE)="NR",IF(SUMIF(FAS_Centralized!K:K,C55,FAS_Centralized!N:N)=0,"NR",SUMIF(FAS_Centralized!K:K,C55,FAS_Centralized!N:N)),SUMIF(FAS_Centralized!K:K,C55,FAS_Centralized!N:N))</f>
        <v>NR</v>
      </c>
      <c r="F55" s="148" t="str">
        <f>IF(VLOOKUP(_xlfn.CONCAT(E$6,$C55),BurnRate!$G$3:$P$1102,10,FALSE)="NR","NR",IF(E55="NR","NR",E55/(VLOOKUP(_xlfn.CONCAT(E$6,$C55),BurnRate!$G$3:$P$1102,10,FALSE)/90)))</f>
        <v>NR</v>
      </c>
      <c r="G55" s="169" t="str">
        <f>IF(SUM(VLOOKUP($C55,DATA_Depts[[#All],[COVID-19 Item List]:[SCL]],MATCH(G$6,DATA_Depts[[#Headers],[COVID-19 Item List]:[SCL]],0),FALSE)=0),IF(VLOOKUP(_xlfn.CONCAT(G$6,$C55),BurnRate!$G$3:$P$1102,10,FALSE)="NR","NR",0),VLOOKUP($C55,DATA_Depts[[#All],[COVID-19 Item List]:[SCL]],MATCH(G$6,DATA_Depts[[#Headers],[COVID-19 Item List]:[SCL]],0),FALSE))</f>
        <v>NR</v>
      </c>
      <c r="H55" s="148" t="str">
        <f>IF(VLOOKUP(_xlfn.CONCAT(G$6,$C55),BurnRate!$G$3:$P$1102,10,FALSE)="NR","NR",IF(G55="NR","NR",G55/(VLOOKUP(_xlfn.CONCAT(G$6,$C55),BurnRate!$G$3:$P$1102,10,FALSE)/90)))</f>
        <v>NR</v>
      </c>
      <c r="I55" s="169" t="str">
        <f>IF(SUM(VLOOKUP($C55,DATA_Depts[[#All],[COVID-19 Item List]:[SCL]],MATCH(I$6,DATA_Depts[[#Headers],[COVID-19 Item List]:[SCL]],0),FALSE)=0),IF(VLOOKUP(_xlfn.CONCAT(I$6,$C55),BurnRate!$G$3:$P$1102,10,FALSE)="NR","NR",0),VLOOKUP($C55,DATA_Depts[[#All],[COVID-19 Item List]:[SCL]],MATCH(I$6,DATA_Depts[[#Headers],[COVID-19 Item List]:[SCL]],0),FALSE))</f>
        <v>NR</v>
      </c>
      <c r="J55" s="148" t="str">
        <f>IF(VLOOKUP(_xlfn.CONCAT(I$6,$C55),BurnRate!$G$3:$P$1102,10,FALSE)="NR","NR",IF(I55="NR","NR",I55/(VLOOKUP(_xlfn.CONCAT(I$6,$C55),BurnRate!$G$3:$P$1102,10,FALSE)/90)))</f>
        <v>NR</v>
      </c>
      <c r="K55" s="169" t="str">
        <f>IF(SUM(VLOOKUP($C55,DATA_Depts[[#All],[COVID-19 Item List]:[SCL]],MATCH(K$6,DATA_Depts[[#Headers],[COVID-19 Item List]:[SCL]],0),FALSE)=0),IF(VLOOKUP(_xlfn.CONCAT(K$6,$C55),BurnRate!$G$3:$P$1102,10,FALSE)="NR","NR",0),VLOOKUP($C55,DATA_Depts[[#All],[COVID-19 Item List]:[SCL]],MATCH(K$6,DATA_Depts[[#Headers],[COVID-19 Item List]:[SCL]],0),FALSE))</f>
        <v>NR</v>
      </c>
      <c r="L55" s="148" t="str">
        <f>IF(VLOOKUP(_xlfn.CONCAT(K$6,$C55),BurnRate!$G$3:$P$1102,10,FALSE)="NR","NR",IF(K55="NR","NR",K55/(VLOOKUP(_xlfn.CONCAT(K$6,$C55),BurnRate!$G$3:$P$1102,10,FALSE)/90)))</f>
        <v>NR</v>
      </c>
      <c r="M55" s="169" t="str">
        <f>IF(SUM(VLOOKUP($C55,DATA_Depts[[#All],[COVID-19 Item List]:[SCL]],MATCH(M$6,DATA_Depts[[#Headers],[COVID-19 Item List]:[SCL]],0),FALSE)=0),IF(VLOOKUP(_xlfn.CONCAT(M$6,$C55),BurnRate!$G$3:$P$1102,10,FALSE)="NR","NR",0),VLOOKUP($C55,DATA_Depts[[#All],[COVID-19 Item List]:[SCL]],MATCH(M$6,DATA_Depts[[#Headers],[COVID-19 Item List]:[SCL]],0),FALSE))</f>
        <v>NR</v>
      </c>
      <c r="N55" s="148" t="str">
        <f>IF(VLOOKUP(_xlfn.CONCAT(M$6,$C55),BurnRate!$G$3:$P$1102,10,FALSE)="NR","NR",IF(M55="NR","NR",M55/(VLOOKUP(_xlfn.CONCAT(M$6,$C55),BurnRate!$G$3:$P$1102,10,FALSE)/90)))</f>
        <v>NR</v>
      </c>
      <c r="O55" s="169" t="str">
        <f>IF(SUM(VLOOKUP($C55,DATA_Depts[[#All],[COVID-19 Item List]:[SCL]],MATCH(O$6,DATA_Depts[[#Headers],[COVID-19 Item List]:[SCL]],0),FALSE)=0),IF(VLOOKUP(_xlfn.CONCAT(O$6,$C55),BurnRate!$G$3:$P$1102,10,FALSE)="NR","NR",0),VLOOKUP($C55,DATA_Depts[[#All],[COVID-19 Item List]:[SCL]],MATCH(O$6,DATA_Depts[[#Headers],[COVID-19 Item List]:[SCL]],0),FALSE))</f>
        <v>NR</v>
      </c>
      <c r="P55" s="148" t="str">
        <f>IF(VLOOKUP(_xlfn.CONCAT(O$6,$C55),BurnRate!$G$3:$P$1102,10,FALSE)="NR","NR",IF(O55="NR","NR",O55/(VLOOKUP(_xlfn.CONCAT(O$6,$C55),BurnRate!$G$3:$P$1102,10,FALSE)/90)))</f>
        <v>NR</v>
      </c>
      <c r="Q55" s="169" t="str">
        <f>IF(SUM(VLOOKUP($C55,DATA_Depts[[#All],[COVID-19 Item List]:[SCL]],MATCH(Q$6,DATA_Depts[[#Headers],[COVID-19 Item List]:[SCL]],0),FALSE)=0),IF(VLOOKUP(_xlfn.CONCAT(Q$6,$C55),BurnRate!$G$3:$P$1102,10,FALSE)="NR","NR",0),VLOOKUP($C55,DATA_Depts[[#All],[COVID-19 Item List]:[SCL]],MATCH(Q$6,DATA_Depts[[#Headers],[COVID-19 Item List]:[SCL]],0),FALSE))</f>
        <v>NR</v>
      </c>
      <c r="R55" s="148" t="str">
        <f>IF(VLOOKUP(_xlfn.CONCAT(Q$6,$C55),BurnRate!$G$3:$P$1102,10,FALSE)="NR","NR",IF(Q55="NR","NR",Q55/(VLOOKUP(_xlfn.CONCAT(Q$6,$C55),BurnRate!$G$3:$P$1102,10,FALSE)/90)))</f>
        <v>NR</v>
      </c>
      <c r="S55" s="169" t="str">
        <f>IF(SUM(VLOOKUP($C55,DATA_Depts[[#All],[COVID-19 Item List]:[SCL]],MATCH(S$6,DATA_Depts[[#Headers],[COVID-19 Item List]:[SCL]],0),FALSE)=0),IF(VLOOKUP(_xlfn.CONCAT(S$6,$C55),BurnRate!$G$3:$P$1102,10,FALSE)="NR","NR",0),VLOOKUP($C55,DATA_Depts[[#All],[COVID-19 Item List]:[SCL]],MATCH(S$6,DATA_Depts[[#Headers],[COVID-19 Item List]:[SCL]],0),FALSE))</f>
        <v>NR</v>
      </c>
      <c r="T55" s="148" t="str">
        <f>IF(VLOOKUP(_xlfn.CONCAT(S$6,$C55),BurnRate!$G$3:$P$1102,10,FALSE)="NR","NR",IF(S55="NR","NR",S55/(VLOOKUP(_xlfn.CONCAT(S$6,$C55),BurnRate!$G$3:$P$1102,10,FALSE)/90)))</f>
        <v>NR</v>
      </c>
      <c r="U55" s="169" t="str">
        <f>IF(SUM(VLOOKUP($C55,DATA_Depts[[#All],[COVID-19 Item List]:[SCL]],MATCH(U$6,DATA_Depts[[#Headers],[COVID-19 Item List]:[SCL]],0),FALSE)=0),IF(VLOOKUP(_xlfn.CONCAT(U$6,$C55),BurnRate!$G$3:$P$1102,10,FALSE)="NR","NR",0),VLOOKUP($C55,DATA_Depts[[#All],[COVID-19 Item List]:[SCL]],MATCH(U$6,DATA_Depts[[#Headers],[COVID-19 Item List]:[SCL]],0),FALSE))</f>
        <v>NR</v>
      </c>
      <c r="V55" s="148" t="str">
        <f>IF(VLOOKUP(_xlfn.CONCAT(U$6,$C55),BurnRate!$G$3:$P$1102,10,FALSE)="NR","NR",IF(U55="NR","NR",U55/(VLOOKUP(_xlfn.CONCAT(U$6,$C55),BurnRate!$G$3:$P$1102,10,FALSE)/90)))</f>
        <v>NR</v>
      </c>
      <c r="W55" s="169" t="str">
        <f>IF(SUM(VLOOKUP($C55,DATA_Depts[[#All],[COVID-19 Item List]:[SCL]],MATCH(W$6,DATA_Depts[[#Headers],[COVID-19 Item List]:[SCL]],0),FALSE)=0),IF(VLOOKUP(_xlfn.CONCAT(W$6,$C55),BurnRate!$G$3:$P$1102,10,FALSE)="NR","NR",0),VLOOKUP($C55,DATA_Depts[[#All],[COVID-19 Item List]:[SCL]],MATCH(W$6,DATA_Depts[[#Headers],[COVID-19 Item List]:[SCL]],0),FALSE))</f>
        <v>NR</v>
      </c>
      <c r="X55" s="148" t="str">
        <f>IF(VLOOKUP(_xlfn.CONCAT(W$6,$C55),BurnRate!$G$3:$P$1102,10,FALSE)="NR","NR",IF(W55="NR","NR",W55/(VLOOKUP(_xlfn.CONCAT(W$6,$C55),BurnRate!$G$3:$P$1102,10,FALSE)/90)))</f>
        <v>NR</v>
      </c>
      <c r="Y55" s="169" t="str">
        <f>IF(SUM(VLOOKUP($C55,DATA_Depts[[#All],[COVID-19 Item List]:[SCL]],MATCH(Y$6,DATA_Depts[[#Headers],[COVID-19 Item List]:[SCL]],0),FALSE)=0),IF(VLOOKUP(_xlfn.CONCAT(Y$6,$C55),BurnRate!$G$3:$P$1102,10,FALSE)="NR","NR",0),VLOOKUP($C55,DATA_Depts[[#All],[COVID-19 Item List]:[SCL]],MATCH(Y$6,DATA_Depts[[#Headers],[COVID-19 Item List]:[SCL]],0),FALSE))</f>
        <v>NR</v>
      </c>
      <c r="Z55" s="148" t="str">
        <f>IF(VLOOKUP(_xlfn.CONCAT(Y$6,$C55),BurnRate!$G$3:$P$1102,10,FALSE)="NR","NR",IF(Y55="NR","NR",Y55/(VLOOKUP(_xlfn.CONCAT(Y$6,$C55),BurnRate!$G$3:$P$1102,10,FALSE)/90)))</f>
        <v>NR</v>
      </c>
    </row>
    <row r="56" spans="2:26" s="43" customFormat="1" ht="11" hidden="1">
      <c r="B56" s="46">
        <v>49</v>
      </c>
      <c r="C56" s="47" t="str">
        <f>_xlfn.SINGLE(VLOOKUP(B56,DisplayOrder[#All],2,FALSE))</f>
        <v>Reserved-49</v>
      </c>
      <c r="D56" s="116" t="str">
        <f>_xlfn.SINGLE(VLOOKUP(B56,DisplayOrder!A:C,3,FALSE))</f>
        <v>each</v>
      </c>
      <c r="E56" s="117" t="str">
        <f>IF(VLOOKUP(_xlfn.CONCAT(E$6,$C56),BurnRate!$G$3:$P$1102,10,FALSE)="NR",IF(SUMIF(FAS_Centralized!K:K,C56,FAS_Centralized!N:N)=0,"NR",SUMIF(FAS_Centralized!K:K,C56,FAS_Centralized!N:N)),SUMIF(FAS_Centralized!K:K,C56,FAS_Centralized!N:N))</f>
        <v>NR</v>
      </c>
      <c r="F56" s="148" t="str">
        <f>IF(VLOOKUP(_xlfn.CONCAT(E$6,$C56),BurnRate!$G$3:$P$1102,10,FALSE)="NR","NR",IF(E56="NR","NR",E56/(VLOOKUP(_xlfn.CONCAT(E$6,$C56),BurnRate!$G$3:$P$1102,10,FALSE)/90)))</f>
        <v>NR</v>
      </c>
      <c r="G56" s="169" t="str">
        <f>IF(SUM(VLOOKUP($C56,DATA_Depts[[#All],[COVID-19 Item List]:[SCL]],MATCH(G$6,DATA_Depts[[#Headers],[COVID-19 Item List]:[SCL]],0),FALSE)=0),IF(VLOOKUP(_xlfn.CONCAT(G$6,$C56),BurnRate!$G$3:$P$1102,10,FALSE)="NR","NR",0),VLOOKUP($C56,DATA_Depts[[#All],[COVID-19 Item List]:[SCL]],MATCH(G$6,DATA_Depts[[#Headers],[COVID-19 Item List]:[SCL]],0),FALSE))</f>
        <v>NR</v>
      </c>
      <c r="H56" s="148" t="str">
        <f>IF(VLOOKUP(_xlfn.CONCAT(G$6,$C56),BurnRate!$G$3:$P$1102,10,FALSE)="NR","NR",IF(G56="NR","NR",G56/(VLOOKUP(_xlfn.CONCAT(G$6,$C56),BurnRate!$G$3:$P$1102,10,FALSE)/90)))</f>
        <v>NR</v>
      </c>
      <c r="I56" s="169" t="str">
        <f>IF(SUM(VLOOKUP($C56,DATA_Depts[[#All],[COVID-19 Item List]:[SCL]],MATCH(I$6,DATA_Depts[[#Headers],[COVID-19 Item List]:[SCL]],0),FALSE)=0),IF(VLOOKUP(_xlfn.CONCAT(I$6,$C56),BurnRate!$G$3:$P$1102,10,FALSE)="NR","NR",0),VLOOKUP($C56,DATA_Depts[[#All],[COVID-19 Item List]:[SCL]],MATCH(I$6,DATA_Depts[[#Headers],[COVID-19 Item List]:[SCL]],0),FALSE))</f>
        <v>NR</v>
      </c>
      <c r="J56" s="148" t="str">
        <f>IF(VLOOKUP(_xlfn.CONCAT(I$6,$C56),BurnRate!$G$3:$P$1102,10,FALSE)="NR","NR",IF(I56="NR","NR",I56/(VLOOKUP(_xlfn.CONCAT(I$6,$C56),BurnRate!$G$3:$P$1102,10,FALSE)/90)))</f>
        <v>NR</v>
      </c>
      <c r="K56" s="169" t="str">
        <f>IF(SUM(VLOOKUP($C56,DATA_Depts[[#All],[COVID-19 Item List]:[SCL]],MATCH(K$6,DATA_Depts[[#Headers],[COVID-19 Item List]:[SCL]],0),FALSE)=0),IF(VLOOKUP(_xlfn.CONCAT(K$6,$C56),BurnRate!$G$3:$P$1102,10,FALSE)="NR","NR",0),VLOOKUP($C56,DATA_Depts[[#All],[COVID-19 Item List]:[SCL]],MATCH(K$6,DATA_Depts[[#Headers],[COVID-19 Item List]:[SCL]],0),FALSE))</f>
        <v>NR</v>
      </c>
      <c r="L56" s="148" t="str">
        <f>IF(VLOOKUP(_xlfn.CONCAT(K$6,$C56),BurnRate!$G$3:$P$1102,10,FALSE)="NR","NR",IF(K56="NR","NR",K56/(VLOOKUP(_xlfn.CONCAT(K$6,$C56),BurnRate!$G$3:$P$1102,10,FALSE)/90)))</f>
        <v>NR</v>
      </c>
      <c r="M56" s="169" t="str">
        <f>IF(SUM(VLOOKUP($C56,DATA_Depts[[#All],[COVID-19 Item List]:[SCL]],MATCH(M$6,DATA_Depts[[#Headers],[COVID-19 Item List]:[SCL]],0),FALSE)=0),IF(VLOOKUP(_xlfn.CONCAT(M$6,$C56),BurnRate!$G$3:$P$1102,10,FALSE)="NR","NR",0),VLOOKUP($C56,DATA_Depts[[#All],[COVID-19 Item List]:[SCL]],MATCH(M$6,DATA_Depts[[#Headers],[COVID-19 Item List]:[SCL]],0),FALSE))</f>
        <v>NR</v>
      </c>
      <c r="N56" s="148" t="str">
        <f>IF(VLOOKUP(_xlfn.CONCAT(M$6,$C56),BurnRate!$G$3:$P$1102,10,FALSE)="NR","NR",IF(M56="NR","NR",M56/(VLOOKUP(_xlfn.CONCAT(M$6,$C56),BurnRate!$G$3:$P$1102,10,FALSE)/90)))</f>
        <v>NR</v>
      </c>
      <c r="O56" s="169" t="str">
        <f>IF(SUM(VLOOKUP($C56,DATA_Depts[[#All],[COVID-19 Item List]:[SCL]],MATCH(O$6,DATA_Depts[[#Headers],[COVID-19 Item List]:[SCL]],0),FALSE)=0),IF(VLOOKUP(_xlfn.CONCAT(O$6,$C56),BurnRate!$G$3:$P$1102,10,FALSE)="NR","NR",0),VLOOKUP($C56,DATA_Depts[[#All],[COVID-19 Item List]:[SCL]],MATCH(O$6,DATA_Depts[[#Headers],[COVID-19 Item List]:[SCL]],0),FALSE))</f>
        <v>NR</v>
      </c>
      <c r="P56" s="148" t="str">
        <f>IF(VLOOKUP(_xlfn.CONCAT(O$6,$C56),BurnRate!$G$3:$P$1102,10,FALSE)="NR","NR",IF(O56="NR","NR",O56/(VLOOKUP(_xlfn.CONCAT(O$6,$C56),BurnRate!$G$3:$P$1102,10,FALSE)/90)))</f>
        <v>NR</v>
      </c>
      <c r="Q56" s="169" t="str">
        <f>IF(SUM(VLOOKUP($C56,DATA_Depts[[#All],[COVID-19 Item List]:[SCL]],MATCH(Q$6,DATA_Depts[[#Headers],[COVID-19 Item List]:[SCL]],0),FALSE)=0),IF(VLOOKUP(_xlfn.CONCAT(Q$6,$C56),BurnRate!$G$3:$P$1102,10,FALSE)="NR","NR",0),VLOOKUP($C56,DATA_Depts[[#All],[COVID-19 Item List]:[SCL]],MATCH(Q$6,DATA_Depts[[#Headers],[COVID-19 Item List]:[SCL]],0),FALSE))</f>
        <v>NR</v>
      </c>
      <c r="R56" s="148" t="str">
        <f>IF(VLOOKUP(_xlfn.CONCAT(Q$6,$C56),BurnRate!$G$3:$P$1102,10,FALSE)="NR","NR",IF(Q56="NR","NR",Q56/(VLOOKUP(_xlfn.CONCAT(Q$6,$C56),BurnRate!$G$3:$P$1102,10,FALSE)/90)))</f>
        <v>NR</v>
      </c>
      <c r="S56" s="169" t="str">
        <f>IF(SUM(VLOOKUP($C56,DATA_Depts[[#All],[COVID-19 Item List]:[SCL]],MATCH(S$6,DATA_Depts[[#Headers],[COVID-19 Item List]:[SCL]],0),FALSE)=0),IF(VLOOKUP(_xlfn.CONCAT(S$6,$C56),BurnRate!$G$3:$P$1102,10,FALSE)="NR","NR",0),VLOOKUP($C56,DATA_Depts[[#All],[COVID-19 Item List]:[SCL]],MATCH(S$6,DATA_Depts[[#Headers],[COVID-19 Item List]:[SCL]],0),FALSE))</f>
        <v>NR</v>
      </c>
      <c r="T56" s="148" t="str">
        <f>IF(VLOOKUP(_xlfn.CONCAT(S$6,$C56),BurnRate!$G$3:$P$1102,10,FALSE)="NR","NR",IF(S56="NR","NR",S56/(VLOOKUP(_xlfn.CONCAT(S$6,$C56),BurnRate!$G$3:$P$1102,10,FALSE)/90)))</f>
        <v>NR</v>
      </c>
      <c r="U56" s="169" t="str">
        <f>IF(SUM(VLOOKUP($C56,DATA_Depts[[#All],[COVID-19 Item List]:[SCL]],MATCH(U$6,DATA_Depts[[#Headers],[COVID-19 Item List]:[SCL]],0),FALSE)=0),IF(VLOOKUP(_xlfn.CONCAT(U$6,$C56),BurnRate!$G$3:$P$1102,10,FALSE)="NR","NR",0),VLOOKUP($C56,DATA_Depts[[#All],[COVID-19 Item List]:[SCL]],MATCH(U$6,DATA_Depts[[#Headers],[COVID-19 Item List]:[SCL]],0),FALSE))</f>
        <v>NR</v>
      </c>
      <c r="V56" s="148" t="str">
        <f>IF(VLOOKUP(_xlfn.CONCAT(U$6,$C56),BurnRate!$G$3:$P$1102,10,FALSE)="NR","NR",IF(U56="NR","NR",U56/(VLOOKUP(_xlfn.CONCAT(U$6,$C56),BurnRate!$G$3:$P$1102,10,FALSE)/90)))</f>
        <v>NR</v>
      </c>
      <c r="W56" s="169" t="str">
        <f>IF(SUM(VLOOKUP($C56,DATA_Depts[[#All],[COVID-19 Item List]:[SCL]],MATCH(W$6,DATA_Depts[[#Headers],[COVID-19 Item List]:[SCL]],0),FALSE)=0),IF(VLOOKUP(_xlfn.CONCAT(W$6,$C56),BurnRate!$G$3:$P$1102,10,FALSE)="NR","NR",0),VLOOKUP($C56,DATA_Depts[[#All],[COVID-19 Item List]:[SCL]],MATCH(W$6,DATA_Depts[[#Headers],[COVID-19 Item List]:[SCL]],0),FALSE))</f>
        <v>NR</v>
      </c>
      <c r="X56" s="148" t="str">
        <f>IF(VLOOKUP(_xlfn.CONCAT(W$6,$C56),BurnRate!$G$3:$P$1102,10,FALSE)="NR","NR",IF(W56="NR","NR",W56/(VLOOKUP(_xlfn.CONCAT(W$6,$C56),BurnRate!$G$3:$P$1102,10,FALSE)/90)))</f>
        <v>NR</v>
      </c>
      <c r="Y56" s="169" t="str">
        <f>IF(SUM(VLOOKUP($C56,DATA_Depts[[#All],[COVID-19 Item List]:[SCL]],MATCH(Y$6,DATA_Depts[[#Headers],[COVID-19 Item List]:[SCL]],0),FALSE)=0),IF(VLOOKUP(_xlfn.CONCAT(Y$6,$C56),BurnRate!$G$3:$P$1102,10,FALSE)="NR","NR",0),VLOOKUP($C56,DATA_Depts[[#All],[COVID-19 Item List]:[SCL]],MATCH(Y$6,DATA_Depts[[#Headers],[COVID-19 Item List]:[SCL]],0),FALSE))</f>
        <v>NR</v>
      </c>
      <c r="Z56" s="148" t="str">
        <f>IF(VLOOKUP(_xlfn.CONCAT(Y$6,$C56),BurnRate!$G$3:$P$1102,10,FALSE)="NR","NR",IF(Y56="NR","NR",Y56/(VLOOKUP(_xlfn.CONCAT(Y$6,$C56),BurnRate!$G$3:$P$1102,10,FALSE)/90)))</f>
        <v>NR</v>
      </c>
    </row>
    <row r="57" spans="2:26" s="43" customFormat="1" ht="11" hidden="1">
      <c r="B57" s="46">
        <v>50</v>
      </c>
      <c r="C57" s="47" t="str">
        <f>_xlfn.SINGLE(VLOOKUP(B57,DisplayOrder[#All],2,FALSE))</f>
        <v>Reserved-50</v>
      </c>
      <c r="D57" s="116" t="str">
        <f>_xlfn.SINGLE(VLOOKUP(B57,DisplayOrder!A:C,3,FALSE))</f>
        <v>each</v>
      </c>
      <c r="E57" s="117" t="str">
        <f>IF(VLOOKUP(_xlfn.CONCAT(E$6,$C57),BurnRate!$G$3:$P$1102,10,FALSE)="NR",IF(SUMIF(FAS_Centralized!K:K,C57,FAS_Centralized!N:N)=0,"NR",SUMIF(FAS_Centralized!K:K,C57,FAS_Centralized!N:N)),SUMIF(FAS_Centralized!K:K,C57,FAS_Centralized!N:N))</f>
        <v>NR</v>
      </c>
      <c r="F57" s="148" t="str">
        <f>IF(VLOOKUP(_xlfn.CONCAT(E$6,$C57),BurnRate!$G$3:$P$1102,10,FALSE)="NR","NR",IF(E57="NR","NR",E57/(VLOOKUP(_xlfn.CONCAT(E$6,$C57),BurnRate!$G$3:$P$1102,10,FALSE)/90)))</f>
        <v>NR</v>
      </c>
      <c r="G57" s="169" t="str">
        <f>IF(SUM(VLOOKUP($C57,DATA_Depts[[#All],[COVID-19 Item List]:[SCL]],MATCH(G$6,DATA_Depts[[#Headers],[COVID-19 Item List]:[SCL]],0),FALSE)=0),IF(VLOOKUP(_xlfn.CONCAT(G$6,$C57),BurnRate!$G$3:$P$1102,10,FALSE)="NR","NR",0),VLOOKUP($C57,DATA_Depts[[#All],[COVID-19 Item List]:[SCL]],MATCH(G$6,DATA_Depts[[#Headers],[COVID-19 Item List]:[SCL]],0),FALSE))</f>
        <v>NR</v>
      </c>
      <c r="H57" s="148" t="str">
        <f>IF(VLOOKUP(_xlfn.CONCAT(G$6,$C57),BurnRate!$G$3:$P$1102,10,FALSE)="NR","NR",IF(G57="NR","NR",G57/(VLOOKUP(_xlfn.CONCAT(G$6,$C57),BurnRate!$G$3:$P$1102,10,FALSE)/90)))</f>
        <v>NR</v>
      </c>
      <c r="I57" s="169" t="str">
        <f>IF(SUM(VLOOKUP($C57,DATA_Depts[[#All],[COVID-19 Item List]:[SCL]],MATCH(I$6,DATA_Depts[[#Headers],[COVID-19 Item List]:[SCL]],0),FALSE)=0),IF(VLOOKUP(_xlfn.CONCAT(I$6,$C57),BurnRate!$G$3:$P$1102,10,FALSE)="NR","NR",0),VLOOKUP($C57,DATA_Depts[[#All],[COVID-19 Item List]:[SCL]],MATCH(I$6,DATA_Depts[[#Headers],[COVID-19 Item List]:[SCL]],0),FALSE))</f>
        <v>NR</v>
      </c>
      <c r="J57" s="148" t="str">
        <f>IF(VLOOKUP(_xlfn.CONCAT(I$6,$C57),BurnRate!$G$3:$P$1102,10,FALSE)="NR","NR",IF(I57="NR","NR",I57/(VLOOKUP(_xlfn.CONCAT(I$6,$C57),BurnRate!$G$3:$P$1102,10,FALSE)/90)))</f>
        <v>NR</v>
      </c>
      <c r="K57" s="169" t="str">
        <f>IF(SUM(VLOOKUP($C57,DATA_Depts[[#All],[COVID-19 Item List]:[SCL]],MATCH(K$6,DATA_Depts[[#Headers],[COVID-19 Item List]:[SCL]],0),FALSE)=0),IF(VLOOKUP(_xlfn.CONCAT(K$6,$C57),BurnRate!$G$3:$P$1102,10,FALSE)="NR","NR",0),VLOOKUP($C57,DATA_Depts[[#All],[COVID-19 Item List]:[SCL]],MATCH(K$6,DATA_Depts[[#Headers],[COVID-19 Item List]:[SCL]],0),FALSE))</f>
        <v>NR</v>
      </c>
      <c r="L57" s="148" t="str">
        <f>IF(VLOOKUP(_xlfn.CONCAT(K$6,$C57),BurnRate!$G$3:$P$1102,10,FALSE)="NR","NR",IF(K57="NR","NR",K57/(VLOOKUP(_xlfn.CONCAT(K$6,$C57),BurnRate!$G$3:$P$1102,10,FALSE)/90)))</f>
        <v>NR</v>
      </c>
      <c r="M57" s="169" t="str">
        <f>IF(SUM(VLOOKUP($C57,DATA_Depts[[#All],[COVID-19 Item List]:[SCL]],MATCH(M$6,DATA_Depts[[#Headers],[COVID-19 Item List]:[SCL]],0),FALSE)=0),IF(VLOOKUP(_xlfn.CONCAT(M$6,$C57),BurnRate!$G$3:$P$1102,10,FALSE)="NR","NR",0),VLOOKUP($C57,DATA_Depts[[#All],[COVID-19 Item List]:[SCL]],MATCH(M$6,DATA_Depts[[#Headers],[COVID-19 Item List]:[SCL]],0),FALSE))</f>
        <v>NR</v>
      </c>
      <c r="N57" s="148" t="str">
        <f>IF(VLOOKUP(_xlfn.CONCAT(M$6,$C57),BurnRate!$G$3:$P$1102,10,FALSE)="NR","NR",IF(M57="NR","NR",M57/(VLOOKUP(_xlfn.CONCAT(M$6,$C57),BurnRate!$G$3:$P$1102,10,FALSE)/90)))</f>
        <v>NR</v>
      </c>
      <c r="O57" s="169" t="str">
        <f>IF(SUM(VLOOKUP($C57,DATA_Depts[[#All],[COVID-19 Item List]:[SCL]],MATCH(O$6,DATA_Depts[[#Headers],[COVID-19 Item List]:[SCL]],0),FALSE)=0),IF(VLOOKUP(_xlfn.CONCAT(O$6,$C57),BurnRate!$G$3:$P$1102,10,FALSE)="NR","NR",0),VLOOKUP($C57,DATA_Depts[[#All],[COVID-19 Item List]:[SCL]],MATCH(O$6,DATA_Depts[[#Headers],[COVID-19 Item List]:[SCL]],0),FALSE))</f>
        <v>NR</v>
      </c>
      <c r="P57" s="148" t="str">
        <f>IF(VLOOKUP(_xlfn.CONCAT(O$6,$C57),BurnRate!$G$3:$P$1102,10,FALSE)="NR","NR",IF(O57="NR","NR",O57/(VLOOKUP(_xlfn.CONCAT(O$6,$C57),BurnRate!$G$3:$P$1102,10,FALSE)/90)))</f>
        <v>NR</v>
      </c>
      <c r="Q57" s="169" t="str">
        <f>IF(SUM(VLOOKUP($C57,DATA_Depts[[#All],[COVID-19 Item List]:[SCL]],MATCH(Q$6,DATA_Depts[[#Headers],[COVID-19 Item List]:[SCL]],0),FALSE)=0),IF(VLOOKUP(_xlfn.CONCAT(Q$6,$C57),BurnRate!$G$3:$P$1102,10,FALSE)="NR","NR",0),VLOOKUP($C57,DATA_Depts[[#All],[COVID-19 Item List]:[SCL]],MATCH(Q$6,DATA_Depts[[#Headers],[COVID-19 Item List]:[SCL]],0),FALSE))</f>
        <v>NR</v>
      </c>
      <c r="R57" s="148" t="str">
        <f>IF(VLOOKUP(_xlfn.CONCAT(Q$6,$C57),BurnRate!$G$3:$P$1102,10,FALSE)="NR","NR",IF(Q57="NR","NR",Q57/(VLOOKUP(_xlfn.CONCAT(Q$6,$C57),BurnRate!$G$3:$P$1102,10,FALSE)/90)))</f>
        <v>NR</v>
      </c>
      <c r="S57" s="169" t="str">
        <f>IF(SUM(VLOOKUP($C57,DATA_Depts[[#All],[COVID-19 Item List]:[SCL]],MATCH(S$6,DATA_Depts[[#Headers],[COVID-19 Item List]:[SCL]],0),FALSE)=0),IF(VLOOKUP(_xlfn.CONCAT(S$6,$C57),BurnRate!$G$3:$P$1102,10,FALSE)="NR","NR",0),VLOOKUP($C57,DATA_Depts[[#All],[COVID-19 Item List]:[SCL]],MATCH(S$6,DATA_Depts[[#Headers],[COVID-19 Item List]:[SCL]],0),FALSE))</f>
        <v>NR</v>
      </c>
      <c r="T57" s="148" t="str">
        <f>IF(VLOOKUP(_xlfn.CONCAT(S$6,$C57),BurnRate!$G$3:$P$1102,10,FALSE)="NR","NR",IF(S57="NR","NR",S57/(VLOOKUP(_xlfn.CONCAT(S$6,$C57),BurnRate!$G$3:$P$1102,10,FALSE)/90)))</f>
        <v>NR</v>
      </c>
      <c r="U57" s="169" t="str">
        <f>IF(SUM(VLOOKUP($C57,DATA_Depts[[#All],[COVID-19 Item List]:[SCL]],MATCH(U$6,DATA_Depts[[#Headers],[COVID-19 Item List]:[SCL]],0),FALSE)=0),IF(VLOOKUP(_xlfn.CONCAT(U$6,$C57),BurnRate!$G$3:$P$1102,10,FALSE)="NR","NR",0),VLOOKUP($C57,DATA_Depts[[#All],[COVID-19 Item List]:[SCL]],MATCH(U$6,DATA_Depts[[#Headers],[COVID-19 Item List]:[SCL]],0),FALSE))</f>
        <v>NR</v>
      </c>
      <c r="V57" s="148" t="str">
        <f>IF(VLOOKUP(_xlfn.CONCAT(U$6,$C57),BurnRate!$G$3:$P$1102,10,FALSE)="NR","NR",IF(U57="NR","NR",U57/(VLOOKUP(_xlfn.CONCAT(U$6,$C57),BurnRate!$G$3:$P$1102,10,FALSE)/90)))</f>
        <v>NR</v>
      </c>
      <c r="W57" s="169" t="str">
        <f>IF(SUM(VLOOKUP($C57,DATA_Depts[[#All],[COVID-19 Item List]:[SCL]],MATCH(W$6,DATA_Depts[[#Headers],[COVID-19 Item List]:[SCL]],0),FALSE)=0),IF(VLOOKUP(_xlfn.CONCAT(W$6,$C57),BurnRate!$G$3:$P$1102,10,FALSE)="NR","NR",0),VLOOKUP($C57,DATA_Depts[[#All],[COVID-19 Item List]:[SCL]],MATCH(W$6,DATA_Depts[[#Headers],[COVID-19 Item List]:[SCL]],0),FALSE))</f>
        <v>NR</v>
      </c>
      <c r="X57" s="148" t="str">
        <f>IF(VLOOKUP(_xlfn.CONCAT(W$6,$C57),BurnRate!$G$3:$P$1102,10,FALSE)="NR","NR",IF(W57="NR","NR",W57/(VLOOKUP(_xlfn.CONCAT(W$6,$C57),BurnRate!$G$3:$P$1102,10,FALSE)/90)))</f>
        <v>NR</v>
      </c>
      <c r="Y57" s="169" t="str">
        <f>IF(SUM(VLOOKUP($C57,DATA_Depts[[#All],[COVID-19 Item List]:[SCL]],MATCH(Y$6,DATA_Depts[[#Headers],[COVID-19 Item List]:[SCL]],0),FALSE)=0),IF(VLOOKUP(_xlfn.CONCAT(Y$6,$C57),BurnRate!$G$3:$P$1102,10,FALSE)="NR","NR",0),VLOOKUP($C57,DATA_Depts[[#All],[COVID-19 Item List]:[SCL]],MATCH(Y$6,DATA_Depts[[#Headers],[COVID-19 Item List]:[SCL]],0),FALSE))</f>
        <v>NR</v>
      </c>
      <c r="Z57" s="148" t="str">
        <f>IF(VLOOKUP(_xlfn.CONCAT(Y$6,$C57),BurnRate!$G$3:$P$1102,10,FALSE)="NR","NR",IF(Y57="NR","NR",Y57/(VLOOKUP(_xlfn.CONCAT(Y$6,$C57),BurnRate!$G$3:$P$1102,10,FALSE)/90)))</f>
        <v>NR</v>
      </c>
    </row>
    <row r="58" spans="2:26" s="43" customFormat="1" ht="11" hidden="1">
      <c r="B58" s="46">
        <v>51</v>
      </c>
      <c r="C58" s="47" t="str">
        <f>_xlfn.SINGLE(VLOOKUP(B58,DisplayOrder[#All],2,FALSE))</f>
        <v>Reserved-51</v>
      </c>
      <c r="D58" s="116" t="str">
        <f>_xlfn.SINGLE(VLOOKUP(B58,DisplayOrder!A:C,3,FALSE))</f>
        <v>each</v>
      </c>
      <c r="E58" s="117" t="str">
        <f>IF(VLOOKUP(_xlfn.CONCAT(E$6,$C58),BurnRate!$G$3:$P$1102,10,FALSE)="NR",IF(SUMIF(FAS_Centralized!K:K,C58,FAS_Centralized!N:N)=0,"NR",SUMIF(FAS_Centralized!K:K,C58,FAS_Centralized!N:N)),SUMIF(FAS_Centralized!K:K,C58,FAS_Centralized!N:N))</f>
        <v>NR</v>
      </c>
      <c r="F58" s="148" t="str">
        <f>IF(VLOOKUP(_xlfn.CONCAT(E$6,$C58),BurnRate!$G$3:$P$1102,10,FALSE)="NR","NR",IF(E58="NR","NR",E58/(VLOOKUP(_xlfn.CONCAT(E$6,$C58),BurnRate!$G$3:$P$1102,10,FALSE)/90)))</f>
        <v>NR</v>
      </c>
      <c r="G58" s="169" t="str">
        <f>IF(SUM(VLOOKUP($C58,DATA_Depts[[#All],[COVID-19 Item List]:[SCL]],MATCH(G$6,DATA_Depts[[#Headers],[COVID-19 Item List]:[SCL]],0),FALSE)=0),IF(VLOOKUP(_xlfn.CONCAT(G$6,$C58),BurnRate!$G$3:$P$1102,10,FALSE)="NR","NR",0),VLOOKUP($C58,DATA_Depts[[#All],[COVID-19 Item List]:[SCL]],MATCH(G$6,DATA_Depts[[#Headers],[COVID-19 Item List]:[SCL]],0),FALSE))</f>
        <v>NR</v>
      </c>
      <c r="H58" s="148" t="str">
        <f>IF(VLOOKUP(_xlfn.CONCAT(G$6,$C58),BurnRate!$G$3:$P$1102,10,FALSE)="NR","NR",IF(G58="NR","NR",G58/(VLOOKUP(_xlfn.CONCAT(G$6,$C58),BurnRate!$G$3:$P$1102,10,FALSE)/90)))</f>
        <v>NR</v>
      </c>
      <c r="I58" s="169" t="str">
        <f>IF(SUM(VLOOKUP($C58,DATA_Depts[[#All],[COVID-19 Item List]:[SCL]],MATCH(I$6,DATA_Depts[[#Headers],[COVID-19 Item List]:[SCL]],0),FALSE)=0),IF(VLOOKUP(_xlfn.CONCAT(I$6,$C58),BurnRate!$G$3:$P$1102,10,FALSE)="NR","NR",0),VLOOKUP($C58,DATA_Depts[[#All],[COVID-19 Item List]:[SCL]],MATCH(I$6,DATA_Depts[[#Headers],[COVID-19 Item List]:[SCL]],0),FALSE))</f>
        <v>NR</v>
      </c>
      <c r="J58" s="148" t="str">
        <f>IF(VLOOKUP(_xlfn.CONCAT(I$6,$C58),BurnRate!$G$3:$P$1102,10,FALSE)="NR","NR",IF(I58="NR","NR",I58/(VLOOKUP(_xlfn.CONCAT(I$6,$C58),BurnRate!$G$3:$P$1102,10,FALSE)/90)))</f>
        <v>NR</v>
      </c>
      <c r="K58" s="169" t="str">
        <f>IF(SUM(VLOOKUP($C58,DATA_Depts[[#All],[COVID-19 Item List]:[SCL]],MATCH(K$6,DATA_Depts[[#Headers],[COVID-19 Item List]:[SCL]],0),FALSE)=0),IF(VLOOKUP(_xlfn.CONCAT(K$6,$C58),BurnRate!$G$3:$P$1102,10,FALSE)="NR","NR",0),VLOOKUP($C58,DATA_Depts[[#All],[COVID-19 Item List]:[SCL]],MATCH(K$6,DATA_Depts[[#Headers],[COVID-19 Item List]:[SCL]],0),FALSE))</f>
        <v>NR</v>
      </c>
      <c r="L58" s="148" t="str">
        <f>IF(VLOOKUP(_xlfn.CONCAT(K$6,$C58),BurnRate!$G$3:$P$1102,10,FALSE)="NR","NR",IF(K58="NR","NR",K58/(VLOOKUP(_xlfn.CONCAT(K$6,$C58),BurnRate!$G$3:$P$1102,10,FALSE)/90)))</f>
        <v>NR</v>
      </c>
      <c r="M58" s="169" t="str">
        <f>IF(SUM(VLOOKUP($C58,DATA_Depts[[#All],[COVID-19 Item List]:[SCL]],MATCH(M$6,DATA_Depts[[#Headers],[COVID-19 Item List]:[SCL]],0),FALSE)=0),IF(VLOOKUP(_xlfn.CONCAT(M$6,$C58),BurnRate!$G$3:$P$1102,10,FALSE)="NR","NR",0),VLOOKUP($C58,DATA_Depts[[#All],[COVID-19 Item List]:[SCL]],MATCH(M$6,DATA_Depts[[#Headers],[COVID-19 Item List]:[SCL]],0),FALSE))</f>
        <v>NR</v>
      </c>
      <c r="N58" s="148" t="str">
        <f>IF(VLOOKUP(_xlfn.CONCAT(M$6,$C58),BurnRate!$G$3:$P$1102,10,FALSE)="NR","NR",IF(M58="NR","NR",M58/(VLOOKUP(_xlfn.CONCAT(M$6,$C58),BurnRate!$G$3:$P$1102,10,FALSE)/90)))</f>
        <v>NR</v>
      </c>
      <c r="O58" s="169" t="str">
        <f>IF(SUM(VLOOKUP($C58,DATA_Depts[[#All],[COVID-19 Item List]:[SCL]],MATCH(O$6,DATA_Depts[[#Headers],[COVID-19 Item List]:[SCL]],0),FALSE)=0),IF(VLOOKUP(_xlfn.CONCAT(O$6,$C58),BurnRate!$G$3:$P$1102,10,FALSE)="NR","NR",0),VLOOKUP($C58,DATA_Depts[[#All],[COVID-19 Item List]:[SCL]],MATCH(O$6,DATA_Depts[[#Headers],[COVID-19 Item List]:[SCL]],0),FALSE))</f>
        <v>NR</v>
      </c>
      <c r="P58" s="148" t="str">
        <f>IF(VLOOKUP(_xlfn.CONCAT(O$6,$C58),BurnRate!$G$3:$P$1102,10,FALSE)="NR","NR",IF(O58="NR","NR",O58/(VLOOKUP(_xlfn.CONCAT(O$6,$C58),BurnRate!$G$3:$P$1102,10,FALSE)/90)))</f>
        <v>NR</v>
      </c>
      <c r="Q58" s="169" t="str">
        <f>IF(SUM(VLOOKUP($C58,DATA_Depts[[#All],[COVID-19 Item List]:[SCL]],MATCH(Q$6,DATA_Depts[[#Headers],[COVID-19 Item List]:[SCL]],0),FALSE)=0),IF(VLOOKUP(_xlfn.CONCAT(Q$6,$C58),BurnRate!$G$3:$P$1102,10,FALSE)="NR","NR",0),VLOOKUP($C58,DATA_Depts[[#All],[COVID-19 Item List]:[SCL]],MATCH(Q$6,DATA_Depts[[#Headers],[COVID-19 Item List]:[SCL]],0),FALSE))</f>
        <v>NR</v>
      </c>
      <c r="R58" s="148" t="str">
        <f>IF(VLOOKUP(_xlfn.CONCAT(Q$6,$C58),BurnRate!$G$3:$P$1102,10,FALSE)="NR","NR",IF(Q58="NR","NR",Q58/(VLOOKUP(_xlfn.CONCAT(Q$6,$C58),BurnRate!$G$3:$P$1102,10,FALSE)/90)))</f>
        <v>NR</v>
      </c>
      <c r="S58" s="169" t="str">
        <f>IF(SUM(VLOOKUP($C58,DATA_Depts[[#All],[COVID-19 Item List]:[SCL]],MATCH(S$6,DATA_Depts[[#Headers],[COVID-19 Item List]:[SCL]],0),FALSE)=0),IF(VLOOKUP(_xlfn.CONCAT(S$6,$C58),BurnRate!$G$3:$P$1102,10,FALSE)="NR","NR",0),VLOOKUP($C58,DATA_Depts[[#All],[COVID-19 Item List]:[SCL]],MATCH(S$6,DATA_Depts[[#Headers],[COVID-19 Item List]:[SCL]],0),FALSE))</f>
        <v>NR</v>
      </c>
      <c r="T58" s="148" t="str">
        <f>IF(VLOOKUP(_xlfn.CONCAT(S$6,$C58),BurnRate!$G$3:$P$1102,10,FALSE)="NR","NR",IF(S58="NR","NR",S58/(VLOOKUP(_xlfn.CONCAT(S$6,$C58),BurnRate!$G$3:$P$1102,10,FALSE)/90)))</f>
        <v>NR</v>
      </c>
      <c r="U58" s="169" t="str">
        <f>IF(SUM(VLOOKUP($C58,DATA_Depts[[#All],[COVID-19 Item List]:[SCL]],MATCH(U$6,DATA_Depts[[#Headers],[COVID-19 Item List]:[SCL]],0),FALSE)=0),IF(VLOOKUP(_xlfn.CONCAT(U$6,$C58),BurnRate!$G$3:$P$1102,10,FALSE)="NR","NR",0),VLOOKUP($C58,DATA_Depts[[#All],[COVID-19 Item List]:[SCL]],MATCH(U$6,DATA_Depts[[#Headers],[COVID-19 Item List]:[SCL]],0),FALSE))</f>
        <v>NR</v>
      </c>
      <c r="V58" s="148" t="str">
        <f>IF(VLOOKUP(_xlfn.CONCAT(U$6,$C58),BurnRate!$G$3:$P$1102,10,FALSE)="NR","NR",IF(U58="NR","NR",U58/(VLOOKUP(_xlfn.CONCAT(U$6,$C58),BurnRate!$G$3:$P$1102,10,FALSE)/90)))</f>
        <v>NR</v>
      </c>
      <c r="W58" s="169" t="str">
        <f>IF(SUM(VLOOKUP($C58,DATA_Depts[[#All],[COVID-19 Item List]:[SCL]],MATCH(W$6,DATA_Depts[[#Headers],[COVID-19 Item List]:[SCL]],0),FALSE)=0),IF(VLOOKUP(_xlfn.CONCAT(W$6,$C58),BurnRate!$G$3:$P$1102,10,FALSE)="NR","NR",0),VLOOKUP($C58,DATA_Depts[[#All],[COVID-19 Item List]:[SCL]],MATCH(W$6,DATA_Depts[[#Headers],[COVID-19 Item List]:[SCL]],0),FALSE))</f>
        <v>NR</v>
      </c>
      <c r="X58" s="148" t="str">
        <f>IF(VLOOKUP(_xlfn.CONCAT(W$6,$C58),BurnRate!$G$3:$P$1102,10,FALSE)="NR","NR",IF(W58="NR","NR",W58/(VLOOKUP(_xlfn.CONCAT(W$6,$C58),BurnRate!$G$3:$P$1102,10,FALSE)/90)))</f>
        <v>NR</v>
      </c>
      <c r="Y58" s="169" t="str">
        <f>IF(SUM(VLOOKUP($C58,DATA_Depts[[#All],[COVID-19 Item List]:[SCL]],MATCH(Y$6,DATA_Depts[[#Headers],[COVID-19 Item List]:[SCL]],0),FALSE)=0),IF(VLOOKUP(_xlfn.CONCAT(Y$6,$C58),BurnRate!$G$3:$P$1102,10,FALSE)="NR","NR",0),VLOOKUP($C58,DATA_Depts[[#All],[COVID-19 Item List]:[SCL]],MATCH(Y$6,DATA_Depts[[#Headers],[COVID-19 Item List]:[SCL]],0),FALSE))</f>
        <v>NR</v>
      </c>
      <c r="Z58" s="148" t="str">
        <f>IF(VLOOKUP(_xlfn.CONCAT(Y$6,$C58),BurnRate!$G$3:$P$1102,10,FALSE)="NR","NR",IF(Y58="NR","NR",Y58/(VLOOKUP(_xlfn.CONCAT(Y$6,$C58),BurnRate!$G$3:$P$1102,10,FALSE)/90)))</f>
        <v>NR</v>
      </c>
    </row>
    <row r="59" spans="2:26" s="43" customFormat="1" ht="11" hidden="1">
      <c r="B59" s="46">
        <v>52</v>
      </c>
      <c r="C59" s="47" t="str">
        <f>_xlfn.SINGLE(VLOOKUP(B59,DisplayOrder[#All],2,FALSE))</f>
        <v>Reserved-52</v>
      </c>
      <c r="D59" s="116" t="str">
        <f>_xlfn.SINGLE(VLOOKUP(B59,DisplayOrder!A:C,3,FALSE))</f>
        <v>each</v>
      </c>
      <c r="E59" s="117" t="str">
        <f>IF(VLOOKUP(_xlfn.CONCAT(E$6,$C59),BurnRate!$G$3:$P$1102,10,FALSE)="NR",IF(SUMIF(FAS_Centralized!K:K,C59,FAS_Centralized!N:N)=0,"NR",SUMIF(FAS_Centralized!K:K,C59,FAS_Centralized!N:N)),SUMIF(FAS_Centralized!K:K,C59,FAS_Centralized!N:N))</f>
        <v>NR</v>
      </c>
      <c r="F59" s="148" t="str">
        <f>IF(VLOOKUP(_xlfn.CONCAT(E$6,$C59),BurnRate!$G$3:$P$1102,10,FALSE)="NR","NR",IF(E59="NR","NR",E59/(VLOOKUP(_xlfn.CONCAT(E$6,$C59),BurnRate!$G$3:$P$1102,10,FALSE)/90)))</f>
        <v>NR</v>
      </c>
      <c r="G59" s="169" t="str">
        <f>IF(SUM(VLOOKUP($C59,DATA_Depts[[#All],[COVID-19 Item List]:[SCL]],MATCH(G$6,DATA_Depts[[#Headers],[COVID-19 Item List]:[SCL]],0),FALSE)=0),IF(VLOOKUP(_xlfn.CONCAT(G$6,$C59),BurnRate!$G$3:$P$1102,10,FALSE)="NR","NR",0),VLOOKUP($C59,DATA_Depts[[#All],[COVID-19 Item List]:[SCL]],MATCH(G$6,DATA_Depts[[#Headers],[COVID-19 Item List]:[SCL]],0),FALSE))</f>
        <v>NR</v>
      </c>
      <c r="H59" s="148" t="str">
        <f>IF(VLOOKUP(_xlfn.CONCAT(G$6,$C59),BurnRate!$G$3:$P$1102,10,FALSE)="NR","NR",IF(G59="NR","NR",G59/(VLOOKUP(_xlfn.CONCAT(G$6,$C59),BurnRate!$G$3:$P$1102,10,FALSE)/90)))</f>
        <v>NR</v>
      </c>
      <c r="I59" s="169" t="str">
        <f>IF(SUM(VLOOKUP($C59,DATA_Depts[[#All],[COVID-19 Item List]:[SCL]],MATCH(I$6,DATA_Depts[[#Headers],[COVID-19 Item List]:[SCL]],0),FALSE)=0),IF(VLOOKUP(_xlfn.CONCAT(I$6,$C59),BurnRate!$G$3:$P$1102,10,FALSE)="NR","NR",0),VLOOKUP($C59,DATA_Depts[[#All],[COVID-19 Item List]:[SCL]],MATCH(I$6,DATA_Depts[[#Headers],[COVID-19 Item List]:[SCL]],0),FALSE))</f>
        <v>NR</v>
      </c>
      <c r="J59" s="148" t="str">
        <f>IF(VLOOKUP(_xlfn.CONCAT(I$6,$C59),BurnRate!$G$3:$P$1102,10,FALSE)="NR","NR",IF(I59="NR","NR",I59/(VLOOKUP(_xlfn.CONCAT(I$6,$C59),BurnRate!$G$3:$P$1102,10,FALSE)/90)))</f>
        <v>NR</v>
      </c>
      <c r="K59" s="169" t="str">
        <f>IF(SUM(VLOOKUP($C59,DATA_Depts[[#All],[COVID-19 Item List]:[SCL]],MATCH(K$6,DATA_Depts[[#Headers],[COVID-19 Item List]:[SCL]],0),FALSE)=0),IF(VLOOKUP(_xlfn.CONCAT(K$6,$C59),BurnRate!$G$3:$P$1102,10,FALSE)="NR","NR",0),VLOOKUP($C59,DATA_Depts[[#All],[COVID-19 Item List]:[SCL]],MATCH(K$6,DATA_Depts[[#Headers],[COVID-19 Item List]:[SCL]],0),FALSE))</f>
        <v>NR</v>
      </c>
      <c r="L59" s="148" t="str">
        <f>IF(VLOOKUP(_xlfn.CONCAT(K$6,$C59),BurnRate!$G$3:$P$1102,10,FALSE)="NR","NR",IF(K59="NR","NR",K59/(VLOOKUP(_xlfn.CONCAT(K$6,$C59),BurnRate!$G$3:$P$1102,10,FALSE)/90)))</f>
        <v>NR</v>
      </c>
      <c r="M59" s="169" t="str">
        <f>IF(SUM(VLOOKUP($C59,DATA_Depts[[#All],[COVID-19 Item List]:[SCL]],MATCH(M$6,DATA_Depts[[#Headers],[COVID-19 Item List]:[SCL]],0),FALSE)=0),IF(VLOOKUP(_xlfn.CONCAT(M$6,$C59),BurnRate!$G$3:$P$1102,10,FALSE)="NR","NR",0),VLOOKUP($C59,DATA_Depts[[#All],[COVID-19 Item List]:[SCL]],MATCH(M$6,DATA_Depts[[#Headers],[COVID-19 Item List]:[SCL]],0),FALSE))</f>
        <v>NR</v>
      </c>
      <c r="N59" s="148" t="str">
        <f>IF(VLOOKUP(_xlfn.CONCAT(M$6,$C59),BurnRate!$G$3:$P$1102,10,FALSE)="NR","NR",IF(M59="NR","NR",M59/(VLOOKUP(_xlfn.CONCAT(M$6,$C59),BurnRate!$G$3:$P$1102,10,FALSE)/90)))</f>
        <v>NR</v>
      </c>
      <c r="O59" s="169" t="str">
        <f>IF(SUM(VLOOKUP($C59,DATA_Depts[[#All],[COVID-19 Item List]:[SCL]],MATCH(O$6,DATA_Depts[[#Headers],[COVID-19 Item List]:[SCL]],0),FALSE)=0),IF(VLOOKUP(_xlfn.CONCAT(O$6,$C59),BurnRate!$G$3:$P$1102,10,FALSE)="NR","NR",0),VLOOKUP($C59,DATA_Depts[[#All],[COVID-19 Item List]:[SCL]],MATCH(O$6,DATA_Depts[[#Headers],[COVID-19 Item List]:[SCL]],0),FALSE))</f>
        <v>NR</v>
      </c>
      <c r="P59" s="148" t="str">
        <f>IF(VLOOKUP(_xlfn.CONCAT(O$6,$C59),BurnRate!$G$3:$P$1102,10,FALSE)="NR","NR",IF(O59="NR","NR",O59/(VLOOKUP(_xlfn.CONCAT(O$6,$C59),BurnRate!$G$3:$P$1102,10,FALSE)/90)))</f>
        <v>NR</v>
      </c>
      <c r="Q59" s="169" t="str">
        <f>IF(SUM(VLOOKUP($C59,DATA_Depts[[#All],[COVID-19 Item List]:[SCL]],MATCH(Q$6,DATA_Depts[[#Headers],[COVID-19 Item List]:[SCL]],0),FALSE)=0),IF(VLOOKUP(_xlfn.CONCAT(Q$6,$C59),BurnRate!$G$3:$P$1102,10,FALSE)="NR","NR",0),VLOOKUP($C59,DATA_Depts[[#All],[COVID-19 Item List]:[SCL]],MATCH(Q$6,DATA_Depts[[#Headers],[COVID-19 Item List]:[SCL]],0),FALSE))</f>
        <v>NR</v>
      </c>
      <c r="R59" s="148" t="str">
        <f>IF(VLOOKUP(_xlfn.CONCAT(Q$6,$C59),BurnRate!$G$3:$P$1102,10,FALSE)="NR","NR",IF(Q59="NR","NR",Q59/(VLOOKUP(_xlfn.CONCAT(Q$6,$C59),BurnRate!$G$3:$P$1102,10,FALSE)/90)))</f>
        <v>NR</v>
      </c>
      <c r="S59" s="169" t="str">
        <f>IF(SUM(VLOOKUP($C59,DATA_Depts[[#All],[COVID-19 Item List]:[SCL]],MATCH(S$6,DATA_Depts[[#Headers],[COVID-19 Item List]:[SCL]],0),FALSE)=0),IF(VLOOKUP(_xlfn.CONCAT(S$6,$C59),BurnRate!$G$3:$P$1102,10,FALSE)="NR","NR",0),VLOOKUP($C59,DATA_Depts[[#All],[COVID-19 Item List]:[SCL]],MATCH(S$6,DATA_Depts[[#Headers],[COVID-19 Item List]:[SCL]],0),FALSE))</f>
        <v>NR</v>
      </c>
      <c r="T59" s="148" t="str">
        <f>IF(VLOOKUP(_xlfn.CONCAT(S$6,$C59),BurnRate!$G$3:$P$1102,10,FALSE)="NR","NR",IF(S59="NR","NR",S59/(VLOOKUP(_xlfn.CONCAT(S$6,$C59),BurnRate!$G$3:$P$1102,10,FALSE)/90)))</f>
        <v>NR</v>
      </c>
      <c r="U59" s="169" t="str">
        <f>IF(SUM(VLOOKUP($C59,DATA_Depts[[#All],[COVID-19 Item List]:[SCL]],MATCH(U$6,DATA_Depts[[#Headers],[COVID-19 Item List]:[SCL]],0),FALSE)=0),IF(VLOOKUP(_xlfn.CONCAT(U$6,$C59),BurnRate!$G$3:$P$1102,10,FALSE)="NR","NR",0),VLOOKUP($C59,DATA_Depts[[#All],[COVID-19 Item List]:[SCL]],MATCH(U$6,DATA_Depts[[#Headers],[COVID-19 Item List]:[SCL]],0),FALSE))</f>
        <v>NR</v>
      </c>
      <c r="V59" s="148" t="str">
        <f>IF(VLOOKUP(_xlfn.CONCAT(U$6,$C59),BurnRate!$G$3:$P$1102,10,FALSE)="NR","NR",IF(U59="NR","NR",U59/(VLOOKUP(_xlfn.CONCAT(U$6,$C59),BurnRate!$G$3:$P$1102,10,FALSE)/90)))</f>
        <v>NR</v>
      </c>
      <c r="W59" s="169" t="str">
        <f>IF(SUM(VLOOKUP($C59,DATA_Depts[[#All],[COVID-19 Item List]:[SCL]],MATCH(W$6,DATA_Depts[[#Headers],[COVID-19 Item List]:[SCL]],0),FALSE)=0),IF(VLOOKUP(_xlfn.CONCAT(W$6,$C59),BurnRate!$G$3:$P$1102,10,FALSE)="NR","NR",0),VLOOKUP($C59,DATA_Depts[[#All],[COVID-19 Item List]:[SCL]],MATCH(W$6,DATA_Depts[[#Headers],[COVID-19 Item List]:[SCL]],0),FALSE))</f>
        <v>NR</v>
      </c>
      <c r="X59" s="148" t="str">
        <f>IF(VLOOKUP(_xlfn.CONCAT(W$6,$C59),BurnRate!$G$3:$P$1102,10,FALSE)="NR","NR",IF(W59="NR","NR",W59/(VLOOKUP(_xlfn.CONCAT(W$6,$C59),BurnRate!$G$3:$P$1102,10,FALSE)/90)))</f>
        <v>NR</v>
      </c>
      <c r="Y59" s="169" t="str">
        <f>IF(SUM(VLOOKUP($C59,DATA_Depts[[#All],[COVID-19 Item List]:[SCL]],MATCH(Y$6,DATA_Depts[[#Headers],[COVID-19 Item List]:[SCL]],0),FALSE)=0),IF(VLOOKUP(_xlfn.CONCAT(Y$6,$C59),BurnRate!$G$3:$P$1102,10,FALSE)="NR","NR",0),VLOOKUP($C59,DATA_Depts[[#All],[COVID-19 Item List]:[SCL]],MATCH(Y$6,DATA_Depts[[#Headers],[COVID-19 Item List]:[SCL]],0),FALSE))</f>
        <v>NR</v>
      </c>
      <c r="Z59" s="148" t="str">
        <f>IF(VLOOKUP(_xlfn.CONCAT(Y$6,$C59),BurnRate!$G$3:$P$1102,10,FALSE)="NR","NR",IF(Y59="NR","NR",Y59/(VLOOKUP(_xlfn.CONCAT(Y$6,$C59),BurnRate!$G$3:$P$1102,10,FALSE)/90)))</f>
        <v>NR</v>
      </c>
    </row>
    <row r="60" spans="2:26" s="43" customFormat="1" ht="11" hidden="1">
      <c r="B60" s="46">
        <v>53</v>
      </c>
      <c r="C60" s="47" t="str">
        <f>_xlfn.SINGLE(VLOOKUP(B60,DisplayOrder[#All],2,FALSE))</f>
        <v>Reserved-53</v>
      </c>
      <c r="D60" s="116" t="str">
        <f>_xlfn.SINGLE(VLOOKUP(B60,DisplayOrder!A:C,3,FALSE))</f>
        <v>each</v>
      </c>
      <c r="E60" s="117" t="str">
        <f>IF(VLOOKUP(_xlfn.CONCAT(E$6,$C60),BurnRate!$G$3:$P$1102,10,FALSE)="NR",IF(SUMIF(FAS_Centralized!K:K,C60,FAS_Centralized!N:N)=0,"NR",SUMIF(FAS_Centralized!K:K,C60,FAS_Centralized!N:N)),SUMIF(FAS_Centralized!K:K,C60,FAS_Centralized!N:N))</f>
        <v>NR</v>
      </c>
      <c r="F60" s="148" t="str">
        <f>IF(VLOOKUP(_xlfn.CONCAT(E$6,$C60),BurnRate!$G$3:$P$1102,10,FALSE)="NR","NR",IF(E60="NR","NR",E60/(VLOOKUP(_xlfn.CONCAT(E$6,$C60),BurnRate!$G$3:$P$1102,10,FALSE)/90)))</f>
        <v>NR</v>
      </c>
      <c r="G60" s="169" t="str">
        <f>IF(SUM(VLOOKUP($C60,DATA_Depts[[#All],[COVID-19 Item List]:[SCL]],MATCH(G$6,DATA_Depts[[#Headers],[COVID-19 Item List]:[SCL]],0),FALSE)=0),IF(VLOOKUP(_xlfn.CONCAT(G$6,$C60),BurnRate!$G$3:$P$1102,10,FALSE)="NR","NR",0),VLOOKUP($C60,DATA_Depts[[#All],[COVID-19 Item List]:[SCL]],MATCH(G$6,DATA_Depts[[#Headers],[COVID-19 Item List]:[SCL]],0),FALSE))</f>
        <v>NR</v>
      </c>
      <c r="H60" s="148" t="str">
        <f>IF(VLOOKUP(_xlfn.CONCAT(G$6,$C60),BurnRate!$G$3:$P$1102,10,FALSE)="NR","NR",IF(G60="NR","NR",G60/(VLOOKUP(_xlfn.CONCAT(G$6,$C60),BurnRate!$G$3:$P$1102,10,FALSE)/90)))</f>
        <v>NR</v>
      </c>
      <c r="I60" s="169" t="str">
        <f>IF(SUM(VLOOKUP($C60,DATA_Depts[[#All],[COVID-19 Item List]:[SCL]],MATCH(I$6,DATA_Depts[[#Headers],[COVID-19 Item List]:[SCL]],0),FALSE)=0),IF(VLOOKUP(_xlfn.CONCAT(I$6,$C60),BurnRate!$G$3:$P$1102,10,FALSE)="NR","NR",0),VLOOKUP($C60,DATA_Depts[[#All],[COVID-19 Item List]:[SCL]],MATCH(I$6,DATA_Depts[[#Headers],[COVID-19 Item List]:[SCL]],0),FALSE))</f>
        <v>NR</v>
      </c>
      <c r="J60" s="148" t="str">
        <f>IF(VLOOKUP(_xlfn.CONCAT(I$6,$C60),BurnRate!$G$3:$P$1102,10,FALSE)="NR","NR",IF(I60="NR","NR",I60/(VLOOKUP(_xlfn.CONCAT(I$6,$C60),BurnRate!$G$3:$P$1102,10,FALSE)/90)))</f>
        <v>NR</v>
      </c>
      <c r="K60" s="169" t="str">
        <f>IF(SUM(VLOOKUP($C60,DATA_Depts[[#All],[COVID-19 Item List]:[SCL]],MATCH(K$6,DATA_Depts[[#Headers],[COVID-19 Item List]:[SCL]],0),FALSE)=0),IF(VLOOKUP(_xlfn.CONCAT(K$6,$C60),BurnRate!$G$3:$P$1102,10,FALSE)="NR","NR",0),VLOOKUP($C60,DATA_Depts[[#All],[COVID-19 Item List]:[SCL]],MATCH(K$6,DATA_Depts[[#Headers],[COVID-19 Item List]:[SCL]],0),FALSE))</f>
        <v>NR</v>
      </c>
      <c r="L60" s="148" t="str">
        <f>IF(VLOOKUP(_xlfn.CONCAT(K$6,$C60),BurnRate!$G$3:$P$1102,10,FALSE)="NR","NR",IF(K60="NR","NR",K60/(VLOOKUP(_xlfn.CONCAT(K$6,$C60),BurnRate!$G$3:$P$1102,10,FALSE)/90)))</f>
        <v>NR</v>
      </c>
      <c r="M60" s="169" t="str">
        <f>IF(SUM(VLOOKUP($C60,DATA_Depts[[#All],[COVID-19 Item List]:[SCL]],MATCH(M$6,DATA_Depts[[#Headers],[COVID-19 Item List]:[SCL]],0),FALSE)=0),IF(VLOOKUP(_xlfn.CONCAT(M$6,$C60),BurnRate!$G$3:$P$1102,10,FALSE)="NR","NR",0),VLOOKUP($C60,DATA_Depts[[#All],[COVID-19 Item List]:[SCL]],MATCH(M$6,DATA_Depts[[#Headers],[COVID-19 Item List]:[SCL]],0),FALSE))</f>
        <v>NR</v>
      </c>
      <c r="N60" s="148" t="str">
        <f>IF(VLOOKUP(_xlfn.CONCAT(M$6,$C60),BurnRate!$G$3:$P$1102,10,FALSE)="NR","NR",IF(M60="NR","NR",M60/(VLOOKUP(_xlfn.CONCAT(M$6,$C60),BurnRate!$G$3:$P$1102,10,FALSE)/90)))</f>
        <v>NR</v>
      </c>
      <c r="O60" s="169" t="str">
        <f>IF(SUM(VLOOKUP($C60,DATA_Depts[[#All],[COVID-19 Item List]:[SCL]],MATCH(O$6,DATA_Depts[[#Headers],[COVID-19 Item List]:[SCL]],0),FALSE)=0),IF(VLOOKUP(_xlfn.CONCAT(O$6,$C60),BurnRate!$G$3:$P$1102,10,FALSE)="NR","NR",0),VLOOKUP($C60,DATA_Depts[[#All],[COVID-19 Item List]:[SCL]],MATCH(O$6,DATA_Depts[[#Headers],[COVID-19 Item List]:[SCL]],0),FALSE))</f>
        <v>NR</v>
      </c>
      <c r="P60" s="148" t="str">
        <f>IF(VLOOKUP(_xlfn.CONCAT(O$6,$C60),BurnRate!$G$3:$P$1102,10,FALSE)="NR","NR",IF(O60="NR","NR",O60/(VLOOKUP(_xlfn.CONCAT(O$6,$C60),BurnRate!$G$3:$P$1102,10,FALSE)/90)))</f>
        <v>NR</v>
      </c>
      <c r="Q60" s="169" t="str">
        <f>IF(SUM(VLOOKUP($C60,DATA_Depts[[#All],[COVID-19 Item List]:[SCL]],MATCH(Q$6,DATA_Depts[[#Headers],[COVID-19 Item List]:[SCL]],0),FALSE)=0),IF(VLOOKUP(_xlfn.CONCAT(Q$6,$C60),BurnRate!$G$3:$P$1102,10,FALSE)="NR","NR",0),VLOOKUP($C60,DATA_Depts[[#All],[COVID-19 Item List]:[SCL]],MATCH(Q$6,DATA_Depts[[#Headers],[COVID-19 Item List]:[SCL]],0),FALSE))</f>
        <v>NR</v>
      </c>
      <c r="R60" s="148" t="str">
        <f>IF(VLOOKUP(_xlfn.CONCAT(Q$6,$C60),BurnRate!$G$3:$P$1102,10,FALSE)="NR","NR",IF(Q60="NR","NR",Q60/(VLOOKUP(_xlfn.CONCAT(Q$6,$C60),BurnRate!$G$3:$P$1102,10,FALSE)/90)))</f>
        <v>NR</v>
      </c>
      <c r="S60" s="169" t="str">
        <f>IF(SUM(VLOOKUP($C60,DATA_Depts[[#All],[COVID-19 Item List]:[SCL]],MATCH(S$6,DATA_Depts[[#Headers],[COVID-19 Item List]:[SCL]],0),FALSE)=0),IF(VLOOKUP(_xlfn.CONCAT(S$6,$C60),BurnRate!$G$3:$P$1102,10,FALSE)="NR","NR",0),VLOOKUP($C60,DATA_Depts[[#All],[COVID-19 Item List]:[SCL]],MATCH(S$6,DATA_Depts[[#Headers],[COVID-19 Item List]:[SCL]],0),FALSE))</f>
        <v>NR</v>
      </c>
      <c r="T60" s="148" t="str">
        <f>IF(VLOOKUP(_xlfn.CONCAT(S$6,$C60),BurnRate!$G$3:$P$1102,10,FALSE)="NR","NR",IF(S60="NR","NR",S60/(VLOOKUP(_xlfn.CONCAT(S$6,$C60),BurnRate!$G$3:$P$1102,10,FALSE)/90)))</f>
        <v>NR</v>
      </c>
      <c r="U60" s="169" t="str">
        <f>IF(SUM(VLOOKUP($C60,DATA_Depts[[#All],[COVID-19 Item List]:[SCL]],MATCH(U$6,DATA_Depts[[#Headers],[COVID-19 Item List]:[SCL]],0),FALSE)=0),IF(VLOOKUP(_xlfn.CONCAT(U$6,$C60),BurnRate!$G$3:$P$1102,10,FALSE)="NR","NR",0),VLOOKUP($C60,DATA_Depts[[#All],[COVID-19 Item List]:[SCL]],MATCH(U$6,DATA_Depts[[#Headers],[COVID-19 Item List]:[SCL]],0),FALSE))</f>
        <v>NR</v>
      </c>
      <c r="V60" s="148" t="str">
        <f>IF(VLOOKUP(_xlfn.CONCAT(U$6,$C60),BurnRate!$G$3:$P$1102,10,FALSE)="NR","NR",IF(U60="NR","NR",U60/(VLOOKUP(_xlfn.CONCAT(U$6,$C60),BurnRate!$G$3:$P$1102,10,FALSE)/90)))</f>
        <v>NR</v>
      </c>
      <c r="W60" s="169" t="str">
        <f>IF(SUM(VLOOKUP($C60,DATA_Depts[[#All],[COVID-19 Item List]:[SCL]],MATCH(W$6,DATA_Depts[[#Headers],[COVID-19 Item List]:[SCL]],0),FALSE)=0),IF(VLOOKUP(_xlfn.CONCAT(W$6,$C60),BurnRate!$G$3:$P$1102,10,FALSE)="NR","NR",0),VLOOKUP($C60,DATA_Depts[[#All],[COVID-19 Item List]:[SCL]],MATCH(W$6,DATA_Depts[[#Headers],[COVID-19 Item List]:[SCL]],0),FALSE))</f>
        <v>NR</v>
      </c>
      <c r="X60" s="148" t="str">
        <f>IF(VLOOKUP(_xlfn.CONCAT(W$6,$C60),BurnRate!$G$3:$P$1102,10,FALSE)="NR","NR",IF(W60="NR","NR",W60/(VLOOKUP(_xlfn.CONCAT(W$6,$C60),BurnRate!$G$3:$P$1102,10,FALSE)/90)))</f>
        <v>NR</v>
      </c>
      <c r="Y60" s="169" t="str">
        <f>IF(SUM(VLOOKUP($C60,DATA_Depts[[#All],[COVID-19 Item List]:[SCL]],MATCH(Y$6,DATA_Depts[[#Headers],[COVID-19 Item List]:[SCL]],0),FALSE)=0),IF(VLOOKUP(_xlfn.CONCAT(Y$6,$C60),BurnRate!$G$3:$P$1102,10,FALSE)="NR","NR",0),VLOOKUP($C60,DATA_Depts[[#All],[COVID-19 Item List]:[SCL]],MATCH(Y$6,DATA_Depts[[#Headers],[COVID-19 Item List]:[SCL]],0),FALSE))</f>
        <v>NR</v>
      </c>
      <c r="Z60" s="148" t="str">
        <f>IF(VLOOKUP(_xlfn.CONCAT(Y$6,$C60),BurnRate!$G$3:$P$1102,10,FALSE)="NR","NR",IF(Y60="NR","NR",Y60/(VLOOKUP(_xlfn.CONCAT(Y$6,$C60),BurnRate!$G$3:$P$1102,10,FALSE)/90)))</f>
        <v>NR</v>
      </c>
    </row>
    <row r="61" spans="2:26" s="43" customFormat="1" ht="11" hidden="1">
      <c r="B61" s="46">
        <v>54</v>
      </c>
      <c r="C61" s="47" t="str">
        <f>_xlfn.SINGLE(VLOOKUP(B61,DisplayOrder[#All],2,FALSE))</f>
        <v>Reserved-54</v>
      </c>
      <c r="D61" s="116" t="str">
        <f>_xlfn.SINGLE(VLOOKUP(B61,DisplayOrder!A:C,3,FALSE))</f>
        <v>each</v>
      </c>
      <c r="E61" s="117" t="str">
        <f>IF(VLOOKUP(_xlfn.CONCAT(E$6,$C61),BurnRate!$G$3:$P$1102,10,FALSE)="NR",IF(SUMIF(FAS_Centralized!K:K,C61,FAS_Centralized!N:N)=0,"NR",SUMIF(FAS_Centralized!K:K,C61,FAS_Centralized!N:N)),SUMIF(FAS_Centralized!K:K,C61,FAS_Centralized!N:N))</f>
        <v>NR</v>
      </c>
      <c r="F61" s="148" t="str">
        <f>IF(VLOOKUP(_xlfn.CONCAT(E$6,$C61),BurnRate!$G$3:$P$1102,10,FALSE)="NR","NR",IF(E61="NR","NR",E61/(VLOOKUP(_xlfn.CONCAT(E$6,$C61),BurnRate!$G$3:$P$1102,10,FALSE)/90)))</f>
        <v>NR</v>
      </c>
      <c r="G61" s="169" t="str">
        <f>IF(SUM(VLOOKUP($C61,DATA_Depts[[#All],[COVID-19 Item List]:[SCL]],MATCH(G$6,DATA_Depts[[#Headers],[COVID-19 Item List]:[SCL]],0),FALSE)=0),IF(VLOOKUP(_xlfn.CONCAT(G$6,$C61),BurnRate!$G$3:$P$1102,10,FALSE)="NR","NR",0),VLOOKUP($C61,DATA_Depts[[#All],[COVID-19 Item List]:[SCL]],MATCH(G$6,DATA_Depts[[#Headers],[COVID-19 Item List]:[SCL]],0),FALSE))</f>
        <v>NR</v>
      </c>
      <c r="H61" s="148" t="str">
        <f>IF(VLOOKUP(_xlfn.CONCAT(G$6,$C61),BurnRate!$G$3:$P$1102,10,FALSE)="NR","NR",IF(G61="NR","NR",G61/(VLOOKUP(_xlfn.CONCAT(G$6,$C61),BurnRate!$G$3:$P$1102,10,FALSE)/90)))</f>
        <v>NR</v>
      </c>
      <c r="I61" s="169" t="str">
        <f>IF(SUM(VLOOKUP($C61,DATA_Depts[[#All],[COVID-19 Item List]:[SCL]],MATCH(I$6,DATA_Depts[[#Headers],[COVID-19 Item List]:[SCL]],0),FALSE)=0),IF(VLOOKUP(_xlfn.CONCAT(I$6,$C61),BurnRate!$G$3:$P$1102,10,FALSE)="NR","NR",0),VLOOKUP($C61,DATA_Depts[[#All],[COVID-19 Item List]:[SCL]],MATCH(I$6,DATA_Depts[[#Headers],[COVID-19 Item List]:[SCL]],0),FALSE))</f>
        <v>NR</v>
      </c>
      <c r="J61" s="148" t="str">
        <f>IF(VLOOKUP(_xlfn.CONCAT(I$6,$C61),BurnRate!$G$3:$P$1102,10,FALSE)="NR","NR",IF(I61="NR","NR",I61/(VLOOKUP(_xlfn.CONCAT(I$6,$C61),BurnRate!$G$3:$P$1102,10,FALSE)/90)))</f>
        <v>NR</v>
      </c>
      <c r="K61" s="169" t="str">
        <f>IF(SUM(VLOOKUP($C61,DATA_Depts[[#All],[COVID-19 Item List]:[SCL]],MATCH(K$6,DATA_Depts[[#Headers],[COVID-19 Item List]:[SCL]],0),FALSE)=0),IF(VLOOKUP(_xlfn.CONCAT(K$6,$C61),BurnRate!$G$3:$P$1102,10,FALSE)="NR","NR",0),VLOOKUP($C61,DATA_Depts[[#All],[COVID-19 Item List]:[SCL]],MATCH(K$6,DATA_Depts[[#Headers],[COVID-19 Item List]:[SCL]],0),FALSE))</f>
        <v>NR</v>
      </c>
      <c r="L61" s="148" t="str">
        <f>IF(VLOOKUP(_xlfn.CONCAT(K$6,$C61),BurnRate!$G$3:$P$1102,10,FALSE)="NR","NR",IF(K61="NR","NR",K61/(VLOOKUP(_xlfn.CONCAT(K$6,$C61),BurnRate!$G$3:$P$1102,10,FALSE)/90)))</f>
        <v>NR</v>
      </c>
      <c r="M61" s="169" t="str">
        <f>IF(SUM(VLOOKUP($C61,DATA_Depts[[#All],[COVID-19 Item List]:[SCL]],MATCH(M$6,DATA_Depts[[#Headers],[COVID-19 Item List]:[SCL]],0),FALSE)=0),IF(VLOOKUP(_xlfn.CONCAT(M$6,$C61),BurnRate!$G$3:$P$1102,10,FALSE)="NR","NR",0),VLOOKUP($C61,DATA_Depts[[#All],[COVID-19 Item List]:[SCL]],MATCH(M$6,DATA_Depts[[#Headers],[COVID-19 Item List]:[SCL]],0),FALSE))</f>
        <v>NR</v>
      </c>
      <c r="N61" s="148" t="str">
        <f>IF(VLOOKUP(_xlfn.CONCAT(M$6,$C61),BurnRate!$G$3:$P$1102,10,FALSE)="NR","NR",IF(M61="NR","NR",M61/(VLOOKUP(_xlfn.CONCAT(M$6,$C61),BurnRate!$G$3:$P$1102,10,FALSE)/90)))</f>
        <v>NR</v>
      </c>
      <c r="O61" s="169" t="str">
        <f>IF(SUM(VLOOKUP($C61,DATA_Depts[[#All],[COVID-19 Item List]:[SCL]],MATCH(O$6,DATA_Depts[[#Headers],[COVID-19 Item List]:[SCL]],0),FALSE)=0),IF(VLOOKUP(_xlfn.CONCAT(O$6,$C61),BurnRate!$G$3:$P$1102,10,FALSE)="NR","NR",0),VLOOKUP($C61,DATA_Depts[[#All],[COVID-19 Item List]:[SCL]],MATCH(O$6,DATA_Depts[[#Headers],[COVID-19 Item List]:[SCL]],0),FALSE))</f>
        <v>NR</v>
      </c>
      <c r="P61" s="148" t="str">
        <f>IF(VLOOKUP(_xlfn.CONCAT(O$6,$C61),BurnRate!$G$3:$P$1102,10,FALSE)="NR","NR",IF(O61="NR","NR",O61/(VLOOKUP(_xlfn.CONCAT(O$6,$C61),BurnRate!$G$3:$P$1102,10,FALSE)/90)))</f>
        <v>NR</v>
      </c>
      <c r="Q61" s="169" t="str">
        <f>IF(SUM(VLOOKUP($C61,DATA_Depts[[#All],[COVID-19 Item List]:[SCL]],MATCH(Q$6,DATA_Depts[[#Headers],[COVID-19 Item List]:[SCL]],0),FALSE)=0),IF(VLOOKUP(_xlfn.CONCAT(Q$6,$C61),BurnRate!$G$3:$P$1102,10,FALSE)="NR","NR",0),VLOOKUP($C61,DATA_Depts[[#All],[COVID-19 Item List]:[SCL]],MATCH(Q$6,DATA_Depts[[#Headers],[COVID-19 Item List]:[SCL]],0),FALSE))</f>
        <v>NR</v>
      </c>
      <c r="R61" s="148" t="str">
        <f>IF(VLOOKUP(_xlfn.CONCAT(Q$6,$C61),BurnRate!$G$3:$P$1102,10,FALSE)="NR","NR",IF(Q61="NR","NR",Q61/(VLOOKUP(_xlfn.CONCAT(Q$6,$C61),BurnRate!$G$3:$P$1102,10,FALSE)/90)))</f>
        <v>NR</v>
      </c>
      <c r="S61" s="169" t="str">
        <f>IF(SUM(VLOOKUP($C61,DATA_Depts[[#All],[COVID-19 Item List]:[SCL]],MATCH(S$6,DATA_Depts[[#Headers],[COVID-19 Item List]:[SCL]],0),FALSE)=0),IF(VLOOKUP(_xlfn.CONCAT(S$6,$C61),BurnRate!$G$3:$P$1102,10,FALSE)="NR","NR",0),VLOOKUP($C61,DATA_Depts[[#All],[COVID-19 Item List]:[SCL]],MATCH(S$6,DATA_Depts[[#Headers],[COVID-19 Item List]:[SCL]],0),FALSE))</f>
        <v>NR</v>
      </c>
      <c r="T61" s="148" t="str">
        <f>IF(VLOOKUP(_xlfn.CONCAT(S$6,$C61),BurnRate!$G$3:$P$1102,10,FALSE)="NR","NR",IF(S61="NR","NR",S61/(VLOOKUP(_xlfn.CONCAT(S$6,$C61),BurnRate!$G$3:$P$1102,10,FALSE)/90)))</f>
        <v>NR</v>
      </c>
      <c r="U61" s="169" t="str">
        <f>IF(SUM(VLOOKUP($C61,DATA_Depts[[#All],[COVID-19 Item List]:[SCL]],MATCH(U$6,DATA_Depts[[#Headers],[COVID-19 Item List]:[SCL]],0),FALSE)=0),IF(VLOOKUP(_xlfn.CONCAT(U$6,$C61),BurnRate!$G$3:$P$1102,10,FALSE)="NR","NR",0),VLOOKUP($C61,DATA_Depts[[#All],[COVID-19 Item List]:[SCL]],MATCH(U$6,DATA_Depts[[#Headers],[COVID-19 Item List]:[SCL]],0),FALSE))</f>
        <v>NR</v>
      </c>
      <c r="V61" s="148" t="str">
        <f>IF(VLOOKUP(_xlfn.CONCAT(U$6,$C61),BurnRate!$G$3:$P$1102,10,FALSE)="NR","NR",IF(U61="NR","NR",U61/(VLOOKUP(_xlfn.CONCAT(U$6,$C61),BurnRate!$G$3:$P$1102,10,FALSE)/90)))</f>
        <v>NR</v>
      </c>
      <c r="W61" s="169" t="str">
        <f>IF(SUM(VLOOKUP($C61,DATA_Depts[[#All],[COVID-19 Item List]:[SCL]],MATCH(W$6,DATA_Depts[[#Headers],[COVID-19 Item List]:[SCL]],0),FALSE)=0),IF(VLOOKUP(_xlfn.CONCAT(W$6,$C61),BurnRate!$G$3:$P$1102,10,FALSE)="NR","NR",0),VLOOKUP($C61,DATA_Depts[[#All],[COVID-19 Item List]:[SCL]],MATCH(W$6,DATA_Depts[[#Headers],[COVID-19 Item List]:[SCL]],0),FALSE))</f>
        <v>NR</v>
      </c>
      <c r="X61" s="148" t="str">
        <f>IF(VLOOKUP(_xlfn.CONCAT(W$6,$C61),BurnRate!$G$3:$P$1102,10,FALSE)="NR","NR",IF(W61="NR","NR",W61/(VLOOKUP(_xlfn.CONCAT(W$6,$C61),BurnRate!$G$3:$P$1102,10,FALSE)/90)))</f>
        <v>NR</v>
      </c>
      <c r="Y61" s="169" t="str">
        <f>IF(SUM(VLOOKUP($C61,DATA_Depts[[#All],[COVID-19 Item List]:[SCL]],MATCH(Y$6,DATA_Depts[[#Headers],[COVID-19 Item List]:[SCL]],0),FALSE)=0),IF(VLOOKUP(_xlfn.CONCAT(Y$6,$C61),BurnRate!$G$3:$P$1102,10,FALSE)="NR","NR",0),VLOOKUP($C61,DATA_Depts[[#All],[COVID-19 Item List]:[SCL]],MATCH(Y$6,DATA_Depts[[#Headers],[COVID-19 Item List]:[SCL]],0),FALSE))</f>
        <v>NR</v>
      </c>
      <c r="Z61" s="148" t="str">
        <f>IF(VLOOKUP(_xlfn.CONCAT(Y$6,$C61),BurnRate!$G$3:$P$1102,10,FALSE)="NR","NR",IF(Y61="NR","NR",Y61/(VLOOKUP(_xlfn.CONCAT(Y$6,$C61),BurnRate!$G$3:$P$1102,10,FALSE)/90)))</f>
        <v>NR</v>
      </c>
    </row>
    <row r="62" spans="2:26" s="43" customFormat="1" ht="11" hidden="1">
      <c r="B62" s="46">
        <v>55</v>
      </c>
      <c r="C62" s="47" t="str">
        <f>_xlfn.SINGLE(VLOOKUP(B62,DisplayOrder[#All],2,FALSE))</f>
        <v>Reserved-55</v>
      </c>
      <c r="D62" s="116" t="str">
        <f>_xlfn.SINGLE(VLOOKUP(B62,DisplayOrder!A:C,3,FALSE))</f>
        <v>each</v>
      </c>
      <c r="E62" s="117" t="str">
        <f>IF(VLOOKUP(_xlfn.CONCAT(E$6,$C62),BurnRate!$G$3:$P$1102,10,FALSE)="NR",IF(SUMIF(FAS_Centralized!K:K,C62,FAS_Centralized!N:N)=0,"NR",SUMIF(FAS_Centralized!K:K,C62,FAS_Centralized!N:N)),SUMIF(FAS_Centralized!K:K,C62,FAS_Centralized!N:N))</f>
        <v>NR</v>
      </c>
      <c r="F62" s="148" t="str">
        <f>IF(VLOOKUP(_xlfn.CONCAT(E$6,$C62),BurnRate!$G$3:$P$1102,10,FALSE)="NR","NR",IF(E62="NR","NR",E62/(VLOOKUP(_xlfn.CONCAT(E$6,$C62),BurnRate!$G$3:$P$1102,10,FALSE)/90)))</f>
        <v>NR</v>
      </c>
      <c r="G62" s="169" t="str">
        <f>IF(SUM(VLOOKUP($C62,DATA_Depts[[#All],[COVID-19 Item List]:[SCL]],MATCH(G$6,DATA_Depts[[#Headers],[COVID-19 Item List]:[SCL]],0),FALSE)=0),IF(VLOOKUP(_xlfn.CONCAT(G$6,$C62),BurnRate!$G$3:$P$1102,10,FALSE)="NR","NR",0),VLOOKUP($C62,DATA_Depts[[#All],[COVID-19 Item List]:[SCL]],MATCH(G$6,DATA_Depts[[#Headers],[COVID-19 Item List]:[SCL]],0),FALSE))</f>
        <v>NR</v>
      </c>
      <c r="H62" s="148" t="str">
        <f>IF(VLOOKUP(_xlfn.CONCAT(G$6,$C62),BurnRate!$G$3:$P$1102,10,FALSE)="NR","NR",IF(G62="NR","NR",G62/(VLOOKUP(_xlfn.CONCAT(G$6,$C62),BurnRate!$G$3:$P$1102,10,FALSE)/90)))</f>
        <v>NR</v>
      </c>
      <c r="I62" s="169" t="str">
        <f>IF(SUM(VLOOKUP($C62,DATA_Depts[[#All],[COVID-19 Item List]:[SCL]],MATCH(I$6,DATA_Depts[[#Headers],[COVID-19 Item List]:[SCL]],0),FALSE)=0),IF(VLOOKUP(_xlfn.CONCAT(I$6,$C62),BurnRate!$G$3:$P$1102,10,FALSE)="NR","NR",0),VLOOKUP($C62,DATA_Depts[[#All],[COVID-19 Item List]:[SCL]],MATCH(I$6,DATA_Depts[[#Headers],[COVID-19 Item List]:[SCL]],0),FALSE))</f>
        <v>NR</v>
      </c>
      <c r="J62" s="148" t="str">
        <f>IF(VLOOKUP(_xlfn.CONCAT(I$6,$C62),BurnRate!$G$3:$P$1102,10,FALSE)="NR","NR",IF(I62="NR","NR",I62/(VLOOKUP(_xlfn.CONCAT(I$6,$C62),BurnRate!$G$3:$P$1102,10,FALSE)/90)))</f>
        <v>NR</v>
      </c>
      <c r="K62" s="169" t="str">
        <f>IF(SUM(VLOOKUP($C62,DATA_Depts[[#All],[COVID-19 Item List]:[SCL]],MATCH(K$6,DATA_Depts[[#Headers],[COVID-19 Item List]:[SCL]],0),FALSE)=0),IF(VLOOKUP(_xlfn.CONCAT(K$6,$C62),BurnRate!$G$3:$P$1102,10,FALSE)="NR","NR",0),VLOOKUP($C62,DATA_Depts[[#All],[COVID-19 Item List]:[SCL]],MATCH(K$6,DATA_Depts[[#Headers],[COVID-19 Item List]:[SCL]],0),FALSE))</f>
        <v>NR</v>
      </c>
      <c r="L62" s="148" t="str">
        <f>IF(VLOOKUP(_xlfn.CONCAT(K$6,$C62),BurnRate!$G$3:$P$1102,10,FALSE)="NR","NR",IF(K62="NR","NR",K62/(VLOOKUP(_xlfn.CONCAT(K$6,$C62),BurnRate!$G$3:$P$1102,10,FALSE)/90)))</f>
        <v>NR</v>
      </c>
      <c r="M62" s="169" t="str">
        <f>IF(SUM(VLOOKUP($C62,DATA_Depts[[#All],[COVID-19 Item List]:[SCL]],MATCH(M$6,DATA_Depts[[#Headers],[COVID-19 Item List]:[SCL]],0),FALSE)=0),IF(VLOOKUP(_xlfn.CONCAT(M$6,$C62),BurnRate!$G$3:$P$1102,10,FALSE)="NR","NR",0),VLOOKUP($C62,DATA_Depts[[#All],[COVID-19 Item List]:[SCL]],MATCH(M$6,DATA_Depts[[#Headers],[COVID-19 Item List]:[SCL]],0),FALSE))</f>
        <v>NR</v>
      </c>
      <c r="N62" s="148" t="str">
        <f>IF(VLOOKUP(_xlfn.CONCAT(M$6,$C62),BurnRate!$G$3:$P$1102,10,FALSE)="NR","NR",IF(M62="NR","NR",M62/(VLOOKUP(_xlfn.CONCAT(M$6,$C62),BurnRate!$G$3:$P$1102,10,FALSE)/90)))</f>
        <v>NR</v>
      </c>
      <c r="O62" s="169" t="str">
        <f>IF(SUM(VLOOKUP($C62,DATA_Depts[[#All],[COVID-19 Item List]:[SCL]],MATCH(O$6,DATA_Depts[[#Headers],[COVID-19 Item List]:[SCL]],0),FALSE)=0),IF(VLOOKUP(_xlfn.CONCAT(O$6,$C62),BurnRate!$G$3:$P$1102,10,FALSE)="NR","NR",0),VLOOKUP($C62,DATA_Depts[[#All],[COVID-19 Item List]:[SCL]],MATCH(O$6,DATA_Depts[[#Headers],[COVID-19 Item List]:[SCL]],0),FALSE))</f>
        <v>NR</v>
      </c>
      <c r="P62" s="148" t="str">
        <f>IF(VLOOKUP(_xlfn.CONCAT(O$6,$C62),BurnRate!$G$3:$P$1102,10,FALSE)="NR","NR",IF(O62="NR","NR",O62/(VLOOKUP(_xlfn.CONCAT(O$6,$C62),BurnRate!$G$3:$P$1102,10,FALSE)/90)))</f>
        <v>NR</v>
      </c>
      <c r="Q62" s="169" t="str">
        <f>IF(SUM(VLOOKUP($C62,DATA_Depts[[#All],[COVID-19 Item List]:[SCL]],MATCH(Q$6,DATA_Depts[[#Headers],[COVID-19 Item List]:[SCL]],0),FALSE)=0),IF(VLOOKUP(_xlfn.CONCAT(Q$6,$C62),BurnRate!$G$3:$P$1102,10,FALSE)="NR","NR",0),VLOOKUP($C62,DATA_Depts[[#All],[COVID-19 Item List]:[SCL]],MATCH(Q$6,DATA_Depts[[#Headers],[COVID-19 Item List]:[SCL]],0),FALSE))</f>
        <v>NR</v>
      </c>
      <c r="R62" s="148" t="str">
        <f>IF(VLOOKUP(_xlfn.CONCAT(Q$6,$C62),BurnRate!$G$3:$P$1102,10,FALSE)="NR","NR",IF(Q62="NR","NR",Q62/(VLOOKUP(_xlfn.CONCAT(Q$6,$C62),BurnRate!$G$3:$P$1102,10,FALSE)/90)))</f>
        <v>NR</v>
      </c>
      <c r="S62" s="169" t="str">
        <f>IF(SUM(VLOOKUP($C62,DATA_Depts[[#All],[COVID-19 Item List]:[SCL]],MATCH(S$6,DATA_Depts[[#Headers],[COVID-19 Item List]:[SCL]],0),FALSE)=0),IF(VLOOKUP(_xlfn.CONCAT(S$6,$C62),BurnRate!$G$3:$P$1102,10,FALSE)="NR","NR",0),VLOOKUP($C62,DATA_Depts[[#All],[COVID-19 Item List]:[SCL]],MATCH(S$6,DATA_Depts[[#Headers],[COVID-19 Item List]:[SCL]],0),FALSE))</f>
        <v>NR</v>
      </c>
      <c r="T62" s="148" t="str">
        <f>IF(VLOOKUP(_xlfn.CONCAT(S$6,$C62),BurnRate!$G$3:$P$1102,10,FALSE)="NR","NR",IF(S62="NR","NR",S62/(VLOOKUP(_xlfn.CONCAT(S$6,$C62),BurnRate!$G$3:$P$1102,10,FALSE)/90)))</f>
        <v>NR</v>
      </c>
      <c r="U62" s="169" t="str">
        <f>IF(SUM(VLOOKUP($C62,DATA_Depts[[#All],[COVID-19 Item List]:[SCL]],MATCH(U$6,DATA_Depts[[#Headers],[COVID-19 Item List]:[SCL]],0),FALSE)=0),IF(VLOOKUP(_xlfn.CONCAT(U$6,$C62),BurnRate!$G$3:$P$1102,10,FALSE)="NR","NR",0),VLOOKUP($C62,DATA_Depts[[#All],[COVID-19 Item List]:[SCL]],MATCH(U$6,DATA_Depts[[#Headers],[COVID-19 Item List]:[SCL]],0),FALSE))</f>
        <v>NR</v>
      </c>
      <c r="V62" s="148" t="str">
        <f>IF(VLOOKUP(_xlfn.CONCAT(U$6,$C62),BurnRate!$G$3:$P$1102,10,FALSE)="NR","NR",IF(U62="NR","NR",U62/(VLOOKUP(_xlfn.CONCAT(U$6,$C62),BurnRate!$G$3:$P$1102,10,FALSE)/90)))</f>
        <v>NR</v>
      </c>
      <c r="W62" s="169" t="str">
        <f>IF(SUM(VLOOKUP($C62,DATA_Depts[[#All],[COVID-19 Item List]:[SCL]],MATCH(W$6,DATA_Depts[[#Headers],[COVID-19 Item List]:[SCL]],0),FALSE)=0),IF(VLOOKUP(_xlfn.CONCAT(W$6,$C62),BurnRate!$G$3:$P$1102,10,FALSE)="NR","NR",0),VLOOKUP($C62,DATA_Depts[[#All],[COVID-19 Item List]:[SCL]],MATCH(W$6,DATA_Depts[[#Headers],[COVID-19 Item List]:[SCL]],0),FALSE))</f>
        <v>NR</v>
      </c>
      <c r="X62" s="148" t="str">
        <f>IF(VLOOKUP(_xlfn.CONCAT(W$6,$C62),BurnRate!$G$3:$P$1102,10,FALSE)="NR","NR",IF(W62="NR","NR",W62/(VLOOKUP(_xlfn.CONCAT(W$6,$C62),BurnRate!$G$3:$P$1102,10,FALSE)/90)))</f>
        <v>NR</v>
      </c>
      <c r="Y62" s="169" t="str">
        <f>IF(SUM(VLOOKUP($C62,DATA_Depts[[#All],[COVID-19 Item List]:[SCL]],MATCH(Y$6,DATA_Depts[[#Headers],[COVID-19 Item List]:[SCL]],0),FALSE)=0),IF(VLOOKUP(_xlfn.CONCAT(Y$6,$C62),BurnRate!$G$3:$P$1102,10,FALSE)="NR","NR",0),VLOOKUP($C62,DATA_Depts[[#All],[COVID-19 Item List]:[SCL]],MATCH(Y$6,DATA_Depts[[#Headers],[COVID-19 Item List]:[SCL]],0),FALSE))</f>
        <v>NR</v>
      </c>
      <c r="Z62" s="148" t="str">
        <f>IF(VLOOKUP(_xlfn.CONCAT(Y$6,$C62),BurnRate!$G$3:$P$1102,10,FALSE)="NR","NR",IF(Y62="NR","NR",Y62/(VLOOKUP(_xlfn.CONCAT(Y$6,$C62),BurnRate!$G$3:$P$1102,10,FALSE)/90)))</f>
        <v>NR</v>
      </c>
    </row>
    <row r="63" spans="2:26" s="43" customFormat="1" ht="11" hidden="1">
      <c r="B63" s="46">
        <v>56</v>
      </c>
      <c r="C63" s="47" t="str">
        <f>_xlfn.SINGLE(VLOOKUP(B63,DisplayOrder[#All],2,FALSE))</f>
        <v>Reserved-56</v>
      </c>
      <c r="D63" s="116" t="str">
        <f>_xlfn.SINGLE(VLOOKUP(B63,DisplayOrder!A:C,3,FALSE))</f>
        <v>each</v>
      </c>
      <c r="E63" s="117" t="str">
        <f>IF(VLOOKUP(_xlfn.CONCAT(E$6,$C63),BurnRate!$G$3:$P$1102,10,FALSE)="NR",IF(SUMIF(FAS_Centralized!K:K,C63,FAS_Centralized!N:N)=0,"NR",SUMIF(FAS_Centralized!K:K,C63,FAS_Centralized!N:N)),SUMIF(FAS_Centralized!K:K,C63,FAS_Centralized!N:N))</f>
        <v>NR</v>
      </c>
      <c r="F63" s="148" t="str">
        <f>IF(VLOOKUP(_xlfn.CONCAT(E$6,$C63),BurnRate!$G$3:$P$1102,10,FALSE)="NR","NR",IF(E63="NR","NR",E63/(VLOOKUP(_xlfn.CONCAT(E$6,$C63),BurnRate!$G$3:$P$1102,10,FALSE)/90)))</f>
        <v>NR</v>
      </c>
      <c r="G63" s="169" t="str">
        <f>IF(SUM(VLOOKUP($C63,DATA_Depts[[#All],[COVID-19 Item List]:[SCL]],MATCH(G$6,DATA_Depts[[#Headers],[COVID-19 Item List]:[SCL]],0),FALSE)=0),IF(VLOOKUP(_xlfn.CONCAT(G$6,$C63),BurnRate!$G$3:$P$1102,10,FALSE)="NR","NR",0),VLOOKUP($C63,DATA_Depts[[#All],[COVID-19 Item List]:[SCL]],MATCH(G$6,DATA_Depts[[#Headers],[COVID-19 Item List]:[SCL]],0),FALSE))</f>
        <v>NR</v>
      </c>
      <c r="H63" s="148" t="str">
        <f>IF(VLOOKUP(_xlfn.CONCAT(G$6,$C63),BurnRate!$G$3:$P$1102,10,FALSE)="NR","NR",IF(G63="NR","NR",G63/(VLOOKUP(_xlfn.CONCAT(G$6,$C63),BurnRate!$G$3:$P$1102,10,FALSE)/90)))</f>
        <v>NR</v>
      </c>
      <c r="I63" s="169" t="str">
        <f>IF(SUM(VLOOKUP($C63,DATA_Depts[[#All],[COVID-19 Item List]:[SCL]],MATCH(I$6,DATA_Depts[[#Headers],[COVID-19 Item List]:[SCL]],0),FALSE)=0),IF(VLOOKUP(_xlfn.CONCAT(I$6,$C63),BurnRate!$G$3:$P$1102,10,FALSE)="NR","NR",0),VLOOKUP($C63,DATA_Depts[[#All],[COVID-19 Item List]:[SCL]],MATCH(I$6,DATA_Depts[[#Headers],[COVID-19 Item List]:[SCL]],0),FALSE))</f>
        <v>NR</v>
      </c>
      <c r="J63" s="148" t="str">
        <f>IF(VLOOKUP(_xlfn.CONCAT(I$6,$C63),BurnRate!$G$3:$P$1102,10,FALSE)="NR","NR",IF(I63="NR","NR",I63/(VLOOKUP(_xlfn.CONCAT(I$6,$C63),BurnRate!$G$3:$P$1102,10,FALSE)/90)))</f>
        <v>NR</v>
      </c>
      <c r="K63" s="169" t="str">
        <f>IF(SUM(VLOOKUP($C63,DATA_Depts[[#All],[COVID-19 Item List]:[SCL]],MATCH(K$6,DATA_Depts[[#Headers],[COVID-19 Item List]:[SCL]],0),FALSE)=0),IF(VLOOKUP(_xlfn.CONCAT(K$6,$C63),BurnRate!$G$3:$P$1102,10,FALSE)="NR","NR",0),VLOOKUP($C63,DATA_Depts[[#All],[COVID-19 Item List]:[SCL]],MATCH(K$6,DATA_Depts[[#Headers],[COVID-19 Item List]:[SCL]],0),FALSE))</f>
        <v>NR</v>
      </c>
      <c r="L63" s="148" t="str">
        <f>IF(VLOOKUP(_xlfn.CONCAT(K$6,$C63),BurnRate!$G$3:$P$1102,10,FALSE)="NR","NR",IF(K63="NR","NR",K63/(VLOOKUP(_xlfn.CONCAT(K$6,$C63),BurnRate!$G$3:$P$1102,10,FALSE)/90)))</f>
        <v>NR</v>
      </c>
      <c r="M63" s="169" t="str">
        <f>IF(SUM(VLOOKUP($C63,DATA_Depts[[#All],[COVID-19 Item List]:[SCL]],MATCH(M$6,DATA_Depts[[#Headers],[COVID-19 Item List]:[SCL]],0),FALSE)=0),IF(VLOOKUP(_xlfn.CONCAT(M$6,$C63),BurnRate!$G$3:$P$1102,10,FALSE)="NR","NR",0),VLOOKUP($C63,DATA_Depts[[#All],[COVID-19 Item List]:[SCL]],MATCH(M$6,DATA_Depts[[#Headers],[COVID-19 Item List]:[SCL]],0),FALSE))</f>
        <v>NR</v>
      </c>
      <c r="N63" s="148" t="str">
        <f>IF(VLOOKUP(_xlfn.CONCAT(M$6,$C63),BurnRate!$G$3:$P$1102,10,FALSE)="NR","NR",IF(M63="NR","NR",M63/(VLOOKUP(_xlfn.CONCAT(M$6,$C63),BurnRate!$G$3:$P$1102,10,FALSE)/90)))</f>
        <v>NR</v>
      </c>
      <c r="O63" s="169" t="str">
        <f>IF(SUM(VLOOKUP($C63,DATA_Depts[[#All],[COVID-19 Item List]:[SCL]],MATCH(O$6,DATA_Depts[[#Headers],[COVID-19 Item List]:[SCL]],0),FALSE)=0),IF(VLOOKUP(_xlfn.CONCAT(O$6,$C63),BurnRate!$G$3:$P$1102,10,FALSE)="NR","NR",0),VLOOKUP($C63,DATA_Depts[[#All],[COVID-19 Item List]:[SCL]],MATCH(O$6,DATA_Depts[[#Headers],[COVID-19 Item List]:[SCL]],0),FALSE))</f>
        <v>NR</v>
      </c>
      <c r="P63" s="148" t="str">
        <f>IF(VLOOKUP(_xlfn.CONCAT(O$6,$C63),BurnRate!$G$3:$P$1102,10,FALSE)="NR","NR",IF(O63="NR","NR",O63/(VLOOKUP(_xlfn.CONCAT(O$6,$C63),BurnRate!$G$3:$P$1102,10,FALSE)/90)))</f>
        <v>NR</v>
      </c>
      <c r="Q63" s="169" t="str">
        <f>IF(SUM(VLOOKUP($C63,DATA_Depts[[#All],[COVID-19 Item List]:[SCL]],MATCH(Q$6,DATA_Depts[[#Headers],[COVID-19 Item List]:[SCL]],0),FALSE)=0),IF(VLOOKUP(_xlfn.CONCAT(Q$6,$C63),BurnRate!$G$3:$P$1102,10,FALSE)="NR","NR",0),VLOOKUP($C63,DATA_Depts[[#All],[COVID-19 Item List]:[SCL]],MATCH(Q$6,DATA_Depts[[#Headers],[COVID-19 Item List]:[SCL]],0),FALSE))</f>
        <v>NR</v>
      </c>
      <c r="R63" s="148" t="str">
        <f>IF(VLOOKUP(_xlfn.CONCAT(Q$6,$C63),BurnRate!$G$3:$P$1102,10,FALSE)="NR","NR",IF(Q63="NR","NR",Q63/(VLOOKUP(_xlfn.CONCAT(Q$6,$C63),BurnRate!$G$3:$P$1102,10,FALSE)/90)))</f>
        <v>NR</v>
      </c>
      <c r="S63" s="169" t="str">
        <f>IF(SUM(VLOOKUP($C63,DATA_Depts[[#All],[COVID-19 Item List]:[SCL]],MATCH(S$6,DATA_Depts[[#Headers],[COVID-19 Item List]:[SCL]],0),FALSE)=0),IF(VLOOKUP(_xlfn.CONCAT(S$6,$C63),BurnRate!$G$3:$P$1102,10,FALSE)="NR","NR",0),VLOOKUP($C63,DATA_Depts[[#All],[COVID-19 Item List]:[SCL]],MATCH(S$6,DATA_Depts[[#Headers],[COVID-19 Item List]:[SCL]],0),FALSE))</f>
        <v>NR</v>
      </c>
      <c r="T63" s="148" t="str">
        <f>IF(VLOOKUP(_xlfn.CONCAT(S$6,$C63),BurnRate!$G$3:$P$1102,10,FALSE)="NR","NR",IF(S63="NR","NR",S63/(VLOOKUP(_xlfn.CONCAT(S$6,$C63),BurnRate!$G$3:$P$1102,10,FALSE)/90)))</f>
        <v>NR</v>
      </c>
      <c r="U63" s="169" t="str">
        <f>IF(SUM(VLOOKUP($C63,DATA_Depts[[#All],[COVID-19 Item List]:[SCL]],MATCH(U$6,DATA_Depts[[#Headers],[COVID-19 Item List]:[SCL]],0),FALSE)=0),IF(VLOOKUP(_xlfn.CONCAT(U$6,$C63),BurnRate!$G$3:$P$1102,10,FALSE)="NR","NR",0),VLOOKUP($C63,DATA_Depts[[#All],[COVID-19 Item List]:[SCL]],MATCH(U$6,DATA_Depts[[#Headers],[COVID-19 Item List]:[SCL]],0),FALSE))</f>
        <v>NR</v>
      </c>
      <c r="V63" s="148" t="str">
        <f>IF(VLOOKUP(_xlfn.CONCAT(U$6,$C63),BurnRate!$G$3:$P$1102,10,FALSE)="NR","NR",IF(U63="NR","NR",U63/(VLOOKUP(_xlfn.CONCAT(U$6,$C63),BurnRate!$G$3:$P$1102,10,FALSE)/90)))</f>
        <v>NR</v>
      </c>
      <c r="W63" s="169" t="str">
        <f>IF(SUM(VLOOKUP($C63,DATA_Depts[[#All],[COVID-19 Item List]:[SCL]],MATCH(W$6,DATA_Depts[[#Headers],[COVID-19 Item List]:[SCL]],0),FALSE)=0),IF(VLOOKUP(_xlfn.CONCAT(W$6,$C63),BurnRate!$G$3:$P$1102,10,FALSE)="NR","NR",0),VLOOKUP($C63,DATA_Depts[[#All],[COVID-19 Item List]:[SCL]],MATCH(W$6,DATA_Depts[[#Headers],[COVID-19 Item List]:[SCL]],0),FALSE))</f>
        <v>NR</v>
      </c>
      <c r="X63" s="148" t="str">
        <f>IF(VLOOKUP(_xlfn.CONCAT(W$6,$C63),BurnRate!$G$3:$P$1102,10,FALSE)="NR","NR",IF(W63="NR","NR",W63/(VLOOKUP(_xlfn.CONCAT(W$6,$C63),BurnRate!$G$3:$P$1102,10,FALSE)/90)))</f>
        <v>NR</v>
      </c>
      <c r="Y63" s="169" t="str">
        <f>IF(SUM(VLOOKUP($C63,DATA_Depts[[#All],[COVID-19 Item List]:[SCL]],MATCH(Y$6,DATA_Depts[[#Headers],[COVID-19 Item List]:[SCL]],0),FALSE)=0),IF(VLOOKUP(_xlfn.CONCAT(Y$6,$C63),BurnRate!$G$3:$P$1102,10,FALSE)="NR","NR",0),VLOOKUP($C63,DATA_Depts[[#All],[COVID-19 Item List]:[SCL]],MATCH(Y$6,DATA_Depts[[#Headers],[COVID-19 Item List]:[SCL]],0),FALSE))</f>
        <v>NR</v>
      </c>
      <c r="Z63" s="148" t="str">
        <f>IF(VLOOKUP(_xlfn.CONCAT(Y$6,$C63),BurnRate!$G$3:$P$1102,10,FALSE)="NR","NR",IF(Y63="NR","NR",Y63/(VLOOKUP(_xlfn.CONCAT(Y$6,$C63),BurnRate!$G$3:$P$1102,10,FALSE)/90)))</f>
        <v>NR</v>
      </c>
    </row>
    <row r="64" spans="2:26" s="43" customFormat="1" ht="11" hidden="1">
      <c r="B64" s="46">
        <v>57</v>
      </c>
      <c r="C64" s="47" t="str">
        <f>_xlfn.SINGLE(VLOOKUP(B64,DisplayOrder[#All],2,FALSE))</f>
        <v>Reserved-57</v>
      </c>
      <c r="D64" s="116" t="str">
        <f>_xlfn.SINGLE(VLOOKUP(B64,DisplayOrder!A:C,3,FALSE))</f>
        <v>each</v>
      </c>
      <c r="E64" s="117" t="str">
        <f>IF(VLOOKUP(_xlfn.CONCAT(E$6,$C64),BurnRate!$G$3:$P$1102,10,FALSE)="NR",IF(SUMIF(FAS_Centralized!K:K,C64,FAS_Centralized!N:N)=0,"NR",SUMIF(FAS_Centralized!K:K,C64,FAS_Centralized!N:N)),SUMIF(FAS_Centralized!K:K,C64,FAS_Centralized!N:N))</f>
        <v>NR</v>
      </c>
      <c r="F64" s="148" t="str">
        <f>IF(VLOOKUP(_xlfn.CONCAT(E$6,$C64),BurnRate!$G$3:$P$1102,10,FALSE)="NR","NR",IF(E64="NR","NR",E64/(VLOOKUP(_xlfn.CONCAT(E$6,$C64),BurnRate!$G$3:$P$1102,10,FALSE)/90)))</f>
        <v>NR</v>
      </c>
      <c r="G64" s="169" t="str">
        <f>IF(SUM(VLOOKUP($C64,DATA_Depts[[#All],[COVID-19 Item List]:[SCL]],MATCH(G$6,DATA_Depts[[#Headers],[COVID-19 Item List]:[SCL]],0),FALSE)=0),IF(VLOOKUP(_xlfn.CONCAT(G$6,$C64),BurnRate!$G$3:$P$1102,10,FALSE)="NR","NR",0),VLOOKUP($C64,DATA_Depts[[#All],[COVID-19 Item List]:[SCL]],MATCH(G$6,DATA_Depts[[#Headers],[COVID-19 Item List]:[SCL]],0),FALSE))</f>
        <v>NR</v>
      </c>
      <c r="H64" s="148" t="str">
        <f>IF(VLOOKUP(_xlfn.CONCAT(G$6,$C64),BurnRate!$G$3:$P$1102,10,FALSE)="NR","NR",IF(G64="NR","NR",G64/(VLOOKUP(_xlfn.CONCAT(G$6,$C64),BurnRate!$G$3:$P$1102,10,FALSE)/90)))</f>
        <v>NR</v>
      </c>
      <c r="I64" s="169" t="str">
        <f>IF(SUM(VLOOKUP($C64,DATA_Depts[[#All],[COVID-19 Item List]:[SCL]],MATCH(I$6,DATA_Depts[[#Headers],[COVID-19 Item List]:[SCL]],0),FALSE)=0),IF(VLOOKUP(_xlfn.CONCAT(I$6,$C64),BurnRate!$G$3:$P$1102,10,FALSE)="NR","NR",0),VLOOKUP($C64,DATA_Depts[[#All],[COVID-19 Item List]:[SCL]],MATCH(I$6,DATA_Depts[[#Headers],[COVID-19 Item List]:[SCL]],0),FALSE))</f>
        <v>NR</v>
      </c>
      <c r="J64" s="148" t="str">
        <f>IF(VLOOKUP(_xlfn.CONCAT(I$6,$C64),BurnRate!$G$3:$P$1102,10,FALSE)="NR","NR",IF(I64="NR","NR",I64/(VLOOKUP(_xlfn.CONCAT(I$6,$C64),BurnRate!$G$3:$P$1102,10,FALSE)/90)))</f>
        <v>NR</v>
      </c>
      <c r="K64" s="169" t="str">
        <f>IF(SUM(VLOOKUP($C64,DATA_Depts[[#All],[COVID-19 Item List]:[SCL]],MATCH(K$6,DATA_Depts[[#Headers],[COVID-19 Item List]:[SCL]],0),FALSE)=0),IF(VLOOKUP(_xlfn.CONCAT(K$6,$C64),BurnRate!$G$3:$P$1102,10,FALSE)="NR","NR",0),VLOOKUP($C64,DATA_Depts[[#All],[COVID-19 Item List]:[SCL]],MATCH(K$6,DATA_Depts[[#Headers],[COVID-19 Item List]:[SCL]],0),FALSE))</f>
        <v>NR</v>
      </c>
      <c r="L64" s="148" t="str">
        <f>IF(VLOOKUP(_xlfn.CONCAT(K$6,$C64),BurnRate!$G$3:$P$1102,10,FALSE)="NR","NR",IF(K64="NR","NR",K64/(VLOOKUP(_xlfn.CONCAT(K$6,$C64),BurnRate!$G$3:$P$1102,10,FALSE)/90)))</f>
        <v>NR</v>
      </c>
      <c r="M64" s="169" t="str">
        <f>IF(SUM(VLOOKUP($C64,DATA_Depts[[#All],[COVID-19 Item List]:[SCL]],MATCH(M$6,DATA_Depts[[#Headers],[COVID-19 Item List]:[SCL]],0),FALSE)=0),IF(VLOOKUP(_xlfn.CONCAT(M$6,$C64),BurnRate!$G$3:$P$1102,10,FALSE)="NR","NR",0),VLOOKUP($C64,DATA_Depts[[#All],[COVID-19 Item List]:[SCL]],MATCH(M$6,DATA_Depts[[#Headers],[COVID-19 Item List]:[SCL]],0),FALSE))</f>
        <v>NR</v>
      </c>
      <c r="N64" s="148" t="str">
        <f>IF(VLOOKUP(_xlfn.CONCAT(M$6,$C64),BurnRate!$G$3:$P$1102,10,FALSE)="NR","NR",IF(M64="NR","NR",M64/(VLOOKUP(_xlfn.CONCAT(M$6,$C64),BurnRate!$G$3:$P$1102,10,FALSE)/90)))</f>
        <v>NR</v>
      </c>
      <c r="O64" s="169" t="str">
        <f>IF(SUM(VLOOKUP($C64,DATA_Depts[[#All],[COVID-19 Item List]:[SCL]],MATCH(O$6,DATA_Depts[[#Headers],[COVID-19 Item List]:[SCL]],0),FALSE)=0),IF(VLOOKUP(_xlfn.CONCAT(O$6,$C64),BurnRate!$G$3:$P$1102,10,FALSE)="NR","NR",0),VLOOKUP($C64,DATA_Depts[[#All],[COVID-19 Item List]:[SCL]],MATCH(O$6,DATA_Depts[[#Headers],[COVID-19 Item List]:[SCL]],0),FALSE))</f>
        <v>NR</v>
      </c>
      <c r="P64" s="148" t="str">
        <f>IF(VLOOKUP(_xlfn.CONCAT(O$6,$C64),BurnRate!$G$3:$P$1102,10,FALSE)="NR","NR",IF(O64="NR","NR",O64/(VLOOKUP(_xlfn.CONCAT(O$6,$C64),BurnRate!$G$3:$P$1102,10,FALSE)/90)))</f>
        <v>NR</v>
      </c>
      <c r="Q64" s="169" t="str">
        <f>IF(SUM(VLOOKUP($C64,DATA_Depts[[#All],[COVID-19 Item List]:[SCL]],MATCH(Q$6,DATA_Depts[[#Headers],[COVID-19 Item List]:[SCL]],0),FALSE)=0),IF(VLOOKUP(_xlfn.CONCAT(Q$6,$C64),BurnRate!$G$3:$P$1102,10,FALSE)="NR","NR",0),VLOOKUP($C64,DATA_Depts[[#All],[COVID-19 Item List]:[SCL]],MATCH(Q$6,DATA_Depts[[#Headers],[COVID-19 Item List]:[SCL]],0),FALSE))</f>
        <v>NR</v>
      </c>
      <c r="R64" s="148" t="str">
        <f>IF(VLOOKUP(_xlfn.CONCAT(Q$6,$C64),BurnRate!$G$3:$P$1102,10,FALSE)="NR","NR",IF(Q64="NR","NR",Q64/(VLOOKUP(_xlfn.CONCAT(Q$6,$C64),BurnRate!$G$3:$P$1102,10,FALSE)/90)))</f>
        <v>NR</v>
      </c>
      <c r="S64" s="169" t="str">
        <f>IF(SUM(VLOOKUP($C64,DATA_Depts[[#All],[COVID-19 Item List]:[SCL]],MATCH(S$6,DATA_Depts[[#Headers],[COVID-19 Item List]:[SCL]],0),FALSE)=0),IF(VLOOKUP(_xlfn.CONCAT(S$6,$C64),BurnRate!$G$3:$P$1102,10,FALSE)="NR","NR",0),VLOOKUP($C64,DATA_Depts[[#All],[COVID-19 Item List]:[SCL]],MATCH(S$6,DATA_Depts[[#Headers],[COVID-19 Item List]:[SCL]],0),FALSE))</f>
        <v>NR</v>
      </c>
      <c r="T64" s="148" t="str">
        <f>IF(VLOOKUP(_xlfn.CONCAT(S$6,$C64),BurnRate!$G$3:$P$1102,10,FALSE)="NR","NR",IF(S64="NR","NR",S64/(VLOOKUP(_xlfn.CONCAT(S$6,$C64),BurnRate!$G$3:$P$1102,10,FALSE)/90)))</f>
        <v>NR</v>
      </c>
      <c r="U64" s="169" t="str">
        <f>IF(SUM(VLOOKUP($C64,DATA_Depts[[#All],[COVID-19 Item List]:[SCL]],MATCH(U$6,DATA_Depts[[#Headers],[COVID-19 Item List]:[SCL]],0),FALSE)=0),IF(VLOOKUP(_xlfn.CONCAT(U$6,$C64),BurnRate!$G$3:$P$1102,10,FALSE)="NR","NR",0),VLOOKUP($C64,DATA_Depts[[#All],[COVID-19 Item List]:[SCL]],MATCH(U$6,DATA_Depts[[#Headers],[COVID-19 Item List]:[SCL]],0),FALSE))</f>
        <v>NR</v>
      </c>
      <c r="V64" s="148" t="str">
        <f>IF(VLOOKUP(_xlfn.CONCAT(U$6,$C64),BurnRate!$G$3:$P$1102,10,FALSE)="NR","NR",IF(U64="NR","NR",U64/(VLOOKUP(_xlfn.CONCAT(U$6,$C64),BurnRate!$G$3:$P$1102,10,FALSE)/90)))</f>
        <v>NR</v>
      </c>
      <c r="W64" s="169" t="str">
        <f>IF(SUM(VLOOKUP($C64,DATA_Depts[[#All],[COVID-19 Item List]:[SCL]],MATCH(W$6,DATA_Depts[[#Headers],[COVID-19 Item List]:[SCL]],0),FALSE)=0),IF(VLOOKUP(_xlfn.CONCAT(W$6,$C64),BurnRate!$G$3:$P$1102,10,FALSE)="NR","NR",0),VLOOKUP($C64,DATA_Depts[[#All],[COVID-19 Item List]:[SCL]],MATCH(W$6,DATA_Depts[[#Headers],[COVID-19 Item List]:[SCL]],0),FALSE))</f>
        <v>NR</v>
      </c>
      <c r="X64" s="148" t="str">
        <f>IF(VLOOKUP(_xlfn.CONCAT(W$6,$C64),BurnRate!$G$3:$P$1102,10,FALSE)="NR","NR",IF(W64="NR","NR",W64/(VLOOKUP(_xlfn.CONCAT(W$6,$C64),BurnRate!$G$3:$P$1102,10,FALSE)/90)))</f>
        <v>NR</v>
      </c>
      <c r="Y64" s="169" t="str">
        <f>IF(SUM(VLOOKUP($C64,DATA_Depts[[#All],[COVID-19 Item List]:[SCL]],MATCH(Y$6,DATA_Depts[[#Headers],[COVID-19 Item List]:[SCL]],0),FALSE)=0),IF(VLOOKUP(_xlfn.CONCAT(Y$6,$C64),BurnRate!$G$3:$P$1102,10,FALSE)="NR","NR",0),VLOOKUP($C64,DATA_Depts[[#All],[COVID-19 Item List]:[SCL]],MATCH(Y$6,DATA_Depts[[#Headers],[COVID-19 Item List]:[SCL]],0),FALSE))</f>
        <v>NR</v>
      </c>
      <c r="Z64" s="148" t="str">
        <f>IF(VLOOKUP(_xlfn.CONCAT(Y$6,$C64),BurnRate!$G$3:$P$1102,10,FALSE)="NR","NR",IF(Y64="NR","NR",Y64/(VLOOKUP(_xlfn.CONCAT(Y$6,$C64),BurnRate!$G$3:$P$1102,10,FALSE)/90)))</f>
        <v>NR</v>
      </c>
    </row>
    <row r="65" spans="2:26" s="43" customFormat="1" ht="11" hidden="1">
      <c r="B65" s="46">
        <v>58</v>
      </c>
      <c r="C65" s="47" t="str">
        <f>_xlfn.SINGLE(VLOOKUP(B65,DisplayOrder[#All],2,FALSE))</f>
        <v>Reserved-58</v>
      </c>
      <c r="D65" s="116" t="str">
        <f>_xlfn.SINGLE(VLOOKUP(B65,DisplayOrder!A:C,3,FALSE))</f>
        <v>each</v>
      </c>
      <c r="E65" s="117" t="str">
        <f>IF(VLOOKUP(_xlfn.CONCAT(E$6,$C65),BurnRate!$G$3:$P$1102,10,FALSE)="NR",IF(SUMIF(FAS_Centralized!K:K,C65,FAS_Centralized!N:N)=0,"NR",SUMIF(FAS_Centralized!K:K,C65,FAS_Centralized!N:N)),SUMIF(FAS_Centralized!K:K,C65,FAS_Centralized!N:N))</f>
        <v>NR</v>
      </c>
      <c r="F65" s="148" t="str">
        <f>IF(VLOOKUP(_xlfn.CONCAT(E$6,$C65),BurnRate!$G$3:$P$1102,10,FALSE)="NR","NR",IF(E65="NR","NR",E65/(VLOOKUP(_xlfn.CONCAT(E$6,$C65),BurnRate!$G$3:$P$1102,10,FALSE)/90)))</f>
        <v>NR</v>
      </c>
      <c r="G65" s="169" t="str">
        <f>IF(SUM(VLOOKUP($C65,DATA_Depts[[#All],[COVID-19 Item List]:[SCL]],MATCH(G$6,DATA_Depts[[#Headers],[COVID-19 Item List]:[SCL]],0),FALSE)=0),IF(VLOOKUP(_xlfn.CONCAT(G$6,$C65),BurnRate!$G$3:$P$1102,10,FALSE)="NR","NR",0),VLOOKUP($C65,DATA_Depts[[#All],[COVID-19 Item List]:[SCL]],MATCH(G$6,DATA_Depts[[#Headers],[COVID-19 Item List]:[SCL]],0),FALSE))</f>
        <v>NR</v>
      </c>
      <c r="H65" s="148" t="str">
        <f>IF(VLOOKUP(_xlfn.CONCAT(G$6,$C65),BurnRate!$G$3:$P$1102,10,FALSE)="NR","NR",IF(G65="NR","NR",G65/(VLOOKUP(_xlfn.CONCAT(G$6,$C65),BurnRate!$G$3:$P$1102,10,FALSE)/90)))</f>
        <v>NR</v>
      </c>
      <c r="I65" s="169" t="str">
        <f>IF(SUM(VLOOKUP($C65,DATA_Depts[[#All],[COVID-19 Item List]:[SCL]],MATCH(I$6,DATA_Depts[[#Headers],[COVID-19 Item List]:[SCL]],0),FALSE)=0),IF(VLOOKUP(_xlfn.CONCAT(I$6,$C65),BurnRate!$G$3:$P$1102,10,FALSE)="NR","NR",0),VLOOKUP($C65,DATA_Depts[[#All],[COVID-19 Item List]:[SCL]],MATCH(I$6,DATA_Depts[[#Headers],[COVID-19 Item List]:[SCL]],0),FALSE))</f>
        <v>NR</v>
      </c>
      <c r="J65" s="148" t="str">
        <f>IF(VLOOKUP(_xlfn.CONCAT(I$6,$C65),BurnRate!$G$3:$P$1102,10,FALSE)="NR","NR",IF(I65="NR","NR",I65/(VLOOKUP(_xlfn.CONCAT(I$6,$C65),BurnRate!$G$3:$P$1102,10,FALSE)/90)))</f>
        <v>NR</v>
      </c>
      <c r="K65" s="169" t="str">
        <f>IF(SUM(VLOOKUP($C65,DATA_Depts[[#All],[COVID-19 Item List]:[SCL]],MATCH(K$6,DATA_Depts[[#Headers],[COVID-19 Item List]:[SCL]],0),FALSE)=0),IF(VLOOKUP(_xlfn.CONCAT(K$6,$C65),BurnRate!$G$3:$P$1102,10,FALSE)="NR","NR",0),VLOOKUP($C65,DATA_Depts[[#All],[COVID-19 Item List]:[SCL]],MATCH(K$6,DATA_Depts[[#Headers],[COVID-19 Item List]:[SCL]],0),FALSE))</f>
        <v>NR</v>
      </c>
      <c r="L65" s="148" t="str">
        <f>IF(VLOOKUP(_xlfn.CONCAT(K$6,$C65),BurnRate!$G$3:$P$1102,10,FALSE)="NR","NR",IF(K65="NR","NR",K65/(VLOOKUP(_xlfn.CONCAT(K$6,$C65),BurnRate!$G$3:$P$1102,10,FALSE)/90)))</f>
        <v>NR</v>
      </c>
      <c r="M65" s="169" t="str">
        <f>IF(SUM(VLOOKUP($C65,DATA_Depts[[#All],[COVID-19 Item List]:[SCL]],MATCH(M$6,DATA_Depts[[#Headers],[COVID-19 Item List]:[SCL]],0),FALSE)=0),IF(VLOOKUP(_xlfn.CONCAT(M$6,$C65),BurnRate!$G$3:$P$1102,10,FALSE)="NR","NR",0),VLOOKUP($C65,DATA_Depts[[#All],[COVID-19 Item List]:[SCL]],MATCH(M$6,DATA_Depts[[#Headers],[COVID-19 Item List]:[SCL]],0),FALSE))</f>
        <v>NR</v>
      </c>
      <c r="N65" s="148" t="str">
        <f>IF(VLOOKUP(_xlfn.CONCAT(M$6,$C65),BurnRate!$G$3:$P$1102,10,FALSE)="NR","NR",IF(M65="NR","NR",M65/(VLOOKUP(_xlfn.CONCAT(M$6,$C65),BurnRate!$G$3:$P$1102,10,FALSE)/90)))</f>
        <v>NR</v>
      </c>
      <c r="O65" s="169" t="str">
        <f>IF(SUM(VLOOKUP($C65,DATA_Depts[[#All],[COVID-19 Item List]:[SCL]],MATCH(O$6,DATA_Depts[[#Headers],[COVID-19 Item List]:[SCL]],0),FALSE)=0),IF(VLOOKUP(_xlfn.CONCAT(O$6,$C65),BurnRate!$G$3:$P$1102,10,FALSE)="NR","NR",0),VLOOKUP($C65,DATA_Depts[[#All],[COVID-19 Item List]:[SCL]],MATCH(O$6,DATA_Depts[[#Headers],[COVID-19 Item List]:[SCL]],0),FALSE))</f>
        <v>NR</v>
      </c>
      <c r="P65" s="148" t="str">
        <f>IF(VLOOKUP(_xlfn.CONCAT(O$6,$C65),BurnRate!$G$3:$P$1102,10,FALSE)="NR","NR",IF(O65="NR","NR",O65/(VLOOKUP(_xlfn.CONCAT(O$6,$C65),BurnRate!$G$3:$P$1102,10,FALSE)/90)))</f>
        <v>NR</v>
      </c>
      <c r="Q65" s="169" t="str">
        <f>IF(SUM(VLOOKUP($C65,DATA_Depts[[#All],[COVID-19 Item List]:[SCL]],MATCH(Q$6,DATA_Depts[[#Headers],[COVID-19 Item List]:[SCL]],0),FALSE)=0),IF(VLOOKUP(_xlfn.CONCAT(Q$6,$C65),BurnRate!$G$3:$P$1102,10,FALSE)="NR","NR",0),VLOOKUP($C65,DATA_Depts[[#All],[COVID-19 Item List]:[SCL]],MATCH(Q$6,DATA_Depts[[#Headers],[COVID-19 Item List]:[SCL]],0),FALSE))</f>
        <v>NR</v>
      </c>
      <c r="R65" s="148" t="str">
        <f>IF(VLOOKUP(_xlfn.CONCAT(Q$6,$C65),BurnRate!$G$3:$P$1102,10,FALSE)="NR","NR",IF(Q65="NR","NR",Q65/(VLOOKUP(_xlfn.CONCAT(Q$6,$C65),BurnRate!$G$3:$P$1102,10,FALSE)/90)))</f>
        <v>NR</v>
      </c>
      <c r="S65" s="169" t="str">
        <f>IF(SUM(VLOOKUP($C65,DATA_Depts[[#All],[COVID-19 Item List]:[SCL]],MATCH(S$6,DATA_Depts[[#Headers],[COVID-19 Item List]:[SCL]],0),FALSE)=0),IF(VLOOKUP(_xlfn.CONCAT(S$6,$C65),BurnRate!$G$3:$P$1102,10,FALSE)="NR","NR",0),VLOOKUP($C65,DATA_Depts[[#All],[COVID-19 Item List]:[SCL]],MATCH(S$6,DATA_Depts[[#Headers],[COVID-19 Item List]:[SCL]],0),FALSE))</f>
        <v>NR</v>
      </c>
      <c r="T65" s="148" t="str">
        <f>IF(VLOOKUP(_xlfn.CONCAT(S$6,$C65),BurnRate!$G$3:$P$1102,10,FALSE)="NR","NR",IF(S65="NR","NR",S65/(VLOOKUP(_xlfn.CONCAT(S$6,$C65),BurnRate!$G$3:$P$1102,10,FALSE)/90)))</f>
        <v>NR</v>
      </c>
      <c r="U65" s="169" t="str">
        <f>IF(SUM(VLOOKUP($C65,DATA_Depts[[#All],[COVID-19 Item List]:[SCL]],MATCH(U$6,DATA_Depts[[#Headers],[COVID-19 Item List]:[SCL]],0),FALSE)=0),IF(VLOOKUP(_xlfn.CONCAT(U$6,$C65),BurnRate!$G$3:$P$1102,10,FALSE)="NR","NR",0),VLOOKUP($C65,DATA_Depts[[#All],[COVID-19 Item List]:[SCL]],MATCH(U$6,DATA_Depts[[#Headers],[COVID-19 Item List]:[SCL]],0),FALSE))</f>
        <v>NR</v>
      </c>
      <c r="V65" s="148" t="str">
        <f>IF(VLOOKUP(_xlfn.CONCAT(U$6,$C65),BurnRate!$G$3:$P$1102,10,FALSE)="NR","NR",IF(U65="NR","NR",U65/(VLOOKUP(_xlfn.CONCAT(U$6,$C65),BurnRate!$G$3:$P$1102,10,FALSE)/90)))</f>
        <v>NR</v>
      </c>
      <c r="W65" s="169" t="str">
        <f>IF(SUM(VLOOKUP($C65,DATA_Depts[[#All],[COVID-19 Item List]:[SCL]],MATCH(W$6,DATA_Depts[[#Headers],[COVID-19 Item List]:[SCL]],0),FALSE)=0),IF(VLOOKUP(_xlfn.CONCAT(W$6,$C65),BurnRate!$G$3:$P$1102,10,FALSE)="NR","NR",0),VLOOKUP($C65,DATA_Depts[[#All],[COVID-19 Item List]:[SCL]],MATCH(W$6,DATA_Depts[[#Headers],[COVID-19 Item List]:[SCL]],0),FALSE))</f>
        <v>NR</v>
      </c>
      <c r="X65" s="148" t="str">
        <f>IF(VLOOKUP(_xlfn.CONCAT(W$6,$C65),BurnRate!$G$3:$P$1102,10,FALSE)="NR","NR",IF(W65="NR","NR",W65/(VLOOKUP(_xlfn.CONCAT(W$6,$C65),BurnRate!$G$3:$P$1102,10,FALSE)/90)))</f>
        <v>NR</v>
      </c>
      <c r="Y65" s="169" t="str">
        <f>IF(SUM(VLOOKUP($C65,DATA_Depts[[#All],[COVID-19 Item List]:[SCL]],MATCH(Y$6,DATA_Depts[[#Headers],[COVID-19 Item List]:[SCL]],0),FALSE)=0),IF(VLOOKUP(_xlfn.CONCAT(Y$6,$C65),BurnRate!$G$3:$P$1102,10,FALSE)="NR","NR",0),VLOOKUP($C65,DATA_Depts[[#All],[COVID-19 Item List]:[SCL]],MATCH(Y$6,DATA_Depts[[#Headers],[COVID-19 Item List]:[SCL]],0),FALSE))</f>
        <v>NR</v>
      </c>
      <c r="Z65" s="148" t="str">
        <f>IF(VLOOKUP(_xlfn.CONCAT(Y$6,$C65),BurnRate!$G$3:$P$1102,10,FALSE)="NR","NR",IF(Y65="NR","NR",Y65/(VLOOKUP(_xlfn.CONCAT(Y$6,$C65),BurnRate!$G$3:$P$1102,10,FALSE)/90)))</f>
        <v>NR</v>
      </c>
    </row>
    <row r="66" spans="2:26" s="43" customFormat="1" ht="11" hidden="1">
      <c r="B66" s="46">
        <v>59</v>
      </c>
      <c r="C66" s="47" t="str">
        <f>_xlfn.SINGLE(VLOOKUP(B66,DisplayOrder[#All],2,FALSE))</f>
        <v>Reserved-59</v>
      </c>
      <c r="D66" s="116" t="str">
        <f>_xlfn.SINGLE(VLOOKUP(B66,DisplayOrder!A:C,3,FALSE))</f>
        <v>each</v>
      </c>
      <c r="E66" s="117" t="str">
        <f>IF(VLOOKUP(_xlfn.CONCAT(E$6,$C66),BurnRate!$G$3:$P$1102,10,FALSE)="NR",IF(SUMIF(FAS_Centralized!K:K,C66,FAS_Centralized!N:N)=0,"NR",SUMIF(FAS_Centralized!K:K,C66,FAS_Centralized!N:N)),SUMIF(FAS_Centralized!K:K,C66,FAS_Centralized!N:N))</f>
        <v>NR</v>
      </c>
      <c r="F66" s="148" t="str">
        <f>IF(VLOOKUP(_xlfn.CONCAT(E$6,$C66),BurnRate!$G$3:$P$1102,10,FALSE)="NR","NR",IF(E66="NR","NR",E66/(VLOOKUP(_xlfn.CONCAT(E$6,$C66),BurnRate!$G$3:$P$1102,10,FALSE)/90)))</f>
        <v>NR</v>
      </c>
      <c r="G66" s="169" t="str">
        <f>IF(SUM(VLOOKUP($C66,DATA_Depts[[#All],[COVID-19 Item List]:[SCL]],MATCH(G$6,DATA_Depts[[#Headers],[COVID-19 Item List]:[SCL]],0),FALSE)=0),IF(VLOOKUP(_xlfn.CONCAT(G$6,$C66),BurnRate!$G$3:$P$1102,10,FALSE)="NR","NR",0),VLOOKUP($C66,DATA_Depts[[#All],[COVID-19 Item List]:[SCL]],MATCH(G$6,DATA_Depts[[#Headers],[COVID-19 Item List]:[SCL]],0),FALSE))</f>
        <v>NR</v>
      </c>
      <c r="H66" s="148" t="str">
        <f>IF(VLOOKUP(_xlfn.CONCAT(G$6,$C66),BurnRate!$G$3:$P$1102,10,FALSE)="NR","NR",IF(G66="NR","NR",G66/(VLOOKUP(_xlfn.CONCAT(G$6,$C66),BurnRate!$G$3:$P$1102,10,FALSE)/90)))</f>
        <v>NR</v>
      </c>
      <c r="I66" s="169" t="str">
        <f>IF(SUM(VLOOKUP($C66,DATA_Depts[[#All],[COVID-19 Item List]:[SCL]],MATCH(I$6,DATA_Depts[[#Headers],[COVID-19 Item List]:[SCL]],0),FALSE)=0),IF(VLOOKUP(_xlfn.CONCAT(I$6,$C66),BurnRate!$G$3:$P$1102,10,FALSE)="NR","NR",0),VLOOKUP($C66,DATA_Depts[[#All],[COVID-19 Item List]:[SCL]],MATCH(I$6,DATA_Depts[[#Headers],[COVID-19 Item List]:[SCL]],0),FALSE))</f>
        <v>NR</v>
      </c>
      <c r="J66" s="148" t="str">
        <f>IF(VLOOKUP(_xlfn.CONCAT(I$6,$C66),BurnRate!$G$3:$P$1102,10,FALSE)="NR","NR",IF(I66="NR","NR",I66/(VLOOKUP(_xlfn.CONCAT(I$6,$C66),BurnRate!$G$3:$P$1102,10,FALSE)/90)))</f>
        <v>NR</v>
      </c>
      <c r="K66" s="169" t="str">
        <f>IF(SUM(VLOOKUP($C66,DATA_Depts[[#All],[COVID-19 Item List]:[SCL]],MATCH(K$6,DATA_Depts[[#Headers],[COVID-19 Item List]:[SCL]],0),FALSE)=0),IF(VLOOKUP(_xlfn.CONCAT(K$6,$C66),BurnRate!$G$3:$P$1102,10,FALSE)="NR","NR",0),VLOOKUP($C66,DATA_Depts[[#All],[COVID-19 Item List]:[SCL]],MATCH(K$6,DATA_Depts[[#Headers],[COVID-19 Item List]:[SCL]],0),FALSE))</f>
        <v>NR</v>
      </c>
      <c r="L66" s="148" t="str">
        <f>IF(VLOOKUP(_xlfn.CONCAT(K$6,$C66),BurnRate!$G$3:$P$1102,10,FALSE)="NR","NR",IF(K66="NR","NR",K66/(VLOOKUP(_xlfn.CONCAT(K$6,$C66),BurnRate!$G$3:$P$1102,10,FALSE)/90)))</f>
        <v>NR</v>
      </c>
      <c r="M66" s="169" t="str">
        <f>IF(SUM(VLOOKUP($C66,DATA_Depts[[#All],[COVID-19 Item List]:[SCL]],MATCH(M$6,DATA_Depts[[#Headers],[COVID-19 Item List]:[SCL]],0),FALSE)=0),IF(VLOOKUP(_xlfn.CONCAT(M$6,$C66),BurnRate!$G$3:$P$1102,10,FALSE)="NR","NR",0),VLOOKUP($C66,DATA_Depts[[#All],[COVID-19 Item List]:[SCL]],MATCH(M$6,DATA_Depts[[#Headers],[COVID-19 Item List]:[SCL]],0),FALSE))</f>
        <v>NR</v>
      </c>
      <c r="N66" s="148" t="str">
        <f>IF(VLOOKUP(_xlfn.CONCAT(M$6,$C66),BurnRate!$G$3:$P$1102,10,FALSE)="NR","NR",IF(M66="NR","NR",M66/(VLOOKUP(_xlfn.CONCAT(M$6,$C66),BurnRate!$G$3:$P$1102,10,FALSE)/90)))</f>
        <v>NR</v>
      </c>
      <c r="O66" s="169" t="str">
        <f>IF(SUM(VLOOKUP($C66,DATA_Depts[[#All],[COVID-19 Item List]:[SCL]],MATCH(O$6,DATA_Depts[[#Headers],[COVID-19 Item List]:[SCL]],0),FALSE)=0),IF(VLOOKUP(_xlfn.CONCAT(O$6,$C66),BurnRate!$G$3:$P$1102,10,FALSE)="NR","NR",0),VLOOKUP($C66,DATA_Depts[[#All],[COVID-19 Item List]:[SCL]],MATCH(O$6,DATA_Depts[[#Headers],[COVID-19 Item List]:[SCL]],0),FALSE))</f>
        <v>NR</v>
      </c>
      <c r="P66" s="148" t="str">
        <f>IF(VLOOKUP(_xlfn.CONCAT(O$6,$C66),BurnRate!$G$3:$P$1102,10,FALSE)="NR","NR",IF(O66="NR","NR",O66/(VLOOKUP(_xlfn.CONCAT(O$6,$C66),BurnRate!$G$3:$P$1102,10,FALSE)/90)))</f>
        <v>NR</v>
      </c>
      <c r="Q66" s="169" t="str">
        <f>IF(SUM(VLOOKUP($C66,DATA_Depts[[#All],[COVID-19 Item List]:[SCL]],MATCH(Q$6,DATA_Depts[[#Headers],[COVID-19 Item List]:[SCL]],0),FALSE)=0),IF(VLOOKUP(_xlfn.CONCAT(Q$6,$C66),BurnRate!$G$3:$P$1102,10,FALSE)="NR","NR",0),VLOOKUP($C66,DATA_Depts[[#All],[COVID-19 Item List]:[SCL]],MATCH(Q$6,DATA_Depts[[#Headers],[COVID-19 Item List]:[SCL]],0),FALSE))</f>
        <v>NR</v>
      </c>
      <c r="R66" s="148" t="str">
        <f>IF(VLOOKUP(_xlfn.CONCAT(Q$6,$C66),BurnRate!$G$3:$P$1102,10,FALSE)="NR","NR",IF(Q66="NR","NR",Q66/(VLOOKUP(_xlfn.CONCAT(Q$6,$C66),BurnRate!$G$3:$P$1102,10,FALSE)/90)))</f>
        <v>NR</v>
      </c>
      <c r="S66" s="169" t="str">
        <f>IF(SUM(VLOOKUP($C66,DATA_Depts[[#All],[COVID-19 Item List]:[SCL]],MATCH(S$6,DATA_Depts[[#Headers],[COVID-19 Item List]:[SCL]],0),FALSE)=0),IF(VLOOKUP(_xlfn.CONCAT(S$6,$C66),BurnRate!$G$3:$P$1102,10,FALSE)="NR","NR",0),VLOOKUP($C66,DATA_Depts[[#All],[COVID-19 Item List]:[SCL]],MATCH(S$6,DATA_Depts[[#Headers],[COVID-19 Item List]:[SCL]],0),FALSE))</f>
        <v>NR</v>
      </c>
      <c r="T66" s="148" t="str">
        <f>IF(VLOOKUP(_xlfn.CONCAT(S$6,$C66),BurnRate!$G$3:$P$1102,10,FALSE)="NR","NR",IF(S66="NR","NR",S66/(VLOOKUP(_xlfn.CONCAT(S$6,$C66),BurnRate!$G$3:$P$1102,10,FALSE)/90)))</f>
        <v>NR</v>
      </c>
      <c r="U66" s="169" t="str">
        <f>IF(SUM(VLOOKUP($C66,DATA_Depts[[#All],[COVID-19 Item List]:[SCL]],MATCH(U$6,DATA_Depts[[#Headers],[COVID-19 Item List]:[SCL]],0),FALSE)=0),IF(VLOOKUP(_xlfn.CONCAT(U$6,$C66),BurnRate!$G$3:$P$1102,10,FALSE)="NR","NR",0),VLOOKUP($C66,DATA_Depts[[#All],[COVID-19 Item List]:[SCL]],MATCH(U$6,DATA_Depts[[#Headers],[COVID-19 Item List]:[SCL]],0),FALSE))</f>
        <v>NR</v>
      </c>
      <c r="V66" s="148" t="str">
        <f>IF(VLOOKUP(_xlfn.CONCAT(U$6,$C66),BurnRate!$G$3:$P$1102,10,FALSE)="NR","NR",IF(U66="NR","NR",U66/(VLOOKUP(_xlfn.CONCAT(U$6,$C66),BurnRate!$G$3:$P$1102,10,FALSE)/90)))</f>
        <v>NR</v>
      </c>
      <c r="W66" s="169" t="str">
        <f>IF(SUM(VLOOKUP($C66,DATA_Depts[[#All],[COVID-19 Item List]:[SCL]],MATCH(W$6,DATA_Depts[[#Headers],[COVID-19 Item List]:[SCL]],0),FALSE)=0),IF(VLOOKUP(_xlfn.CONCAT(W$6,$C66),BurnRate!$G$3:$P$1102,10,FALSE)="NR","NR",0),VLOOKUP($C66,DATA_Depts[[#All],[COVID-19 Item List]:[SCL]],MATCH(W$6,DATA_Depts[[#Headers],[COVID-19 Item List]:[SCL]],0),FALSE))</f>
        <v>NR</v>
      </c>
      <c r="X66" s="148" t="str">
        <f>IF(VLOOKUP(_xlfn.CONCAT(W$6,$C66),BurnRate!$G$3:$P$1102,10,FALSE)="NR","NR",IF(W66="NR","NR",W66/(VLOOKUP(_xlfn.CONCAT(W$6,$C66),BurnRate!$G$3:$P$1102,10,FALSE)/90)))</f>
        <v>NR</v>
      </c>
      <c r="Y66" s="169" t="str">
        <f>IF(SUM(VLOOKUP($C66,DATA_Depts[[#All],[COVID-19 Item List]:[SCL]],MATCH(Y$6,DATA_Depts[[#Headers],[COVID-19 Item List]:[SCL]],0),FALSE)=0),IF(VLOOKUP(_xlfn.CONCAT(Y$6,$C66),BurnRate!$G$3:$P$1102,10,FALSE)="NR","NR",0),VLOOKUP($C66,DATA_Depts[[#All],[COVID-19 Item List]:[SCL]],MATCH(Y$6,DATA_Depts[[#Headers],[COVID-19 Item List]:[SCL]],0),FALSE))</f>
        <v>NR</v>
      </c>
      <c r="Z66" s="148" t="str">
        <f>IF(VLOOKUP(_xlfn.CONCAT(Y$6,$C66),BurnRate!$G$3:$P$1102,10,FALSE)="NR","NR",IF(Y66="NR","NR",Y66/(VLOOKUP(_xlfn.CONCAT(Y$6,$C66),BurnRate!$G$3:$P$1102,10,FALSE)/90)))</f>
        <v>NR</v>
      </c>
    </row>
    <row r="67" spans="2:26" s="43" customFormat="1" ht="11" hidden="1">
      <c r="B67" s="46">
        <v>60</v>
      </c>
      <c r="C67" s="47" t="str">
        <f>_xlfn.SINGLE(VLOOKUP(B67,DisplayOrder[#All],2,FALSE))</f>
        <v>Reserved-60</v>
      </c>
      <c r="D67" s="116" t="str">
        <f>_xlfn.SINGLE(VLOOKUP(B67,DisplayOrder!A:C,3,FALSE))</f>
        <v>each</v>
      </c>
      <c r="E67" s="117" t="str">
        <f>IF(VLOOKUP(_xlfn.CONCAT(E$6,$C67),BurnRate!$G$3:$P$1102,10,FALSE)="NR",IF(SUMIF(FAS_Centralized!K:K,C67,FAS_Centralized!N:N)=0,"NR",SUMIF(FAS_Centralized!K:K,C67,FAS_Centralized!N:N)),SUMIF(FAS_Centralized!K:K,C67,FAS_Centralized!N:N))</f>
        <v>NR</v>
      </c>
      <c r="F67" s="148" t="str">
        <f>IF(VLOOKUP(_xlfn.CONCAT(E$6,$C67),BurnRate!$G$3:$P$1102,10,FALSE)="NR","NR",IF(E67="NR","NR",E67/(VLOOKUP(_xlfn.CONCAT(E$6,$C67),BurnRate!$G$3:$P$1102,10,FALSE)/90)))</f>
        <v>NR</v>
      </c>
      <c r="G67" s="169" t="str">
        <f>IF(SUM(VLOOKUP($C67,DATA_Depts[[#All],[COVID-19 Item List]:[SCL]],MATCH(G$6,DATA_Depts[[#Headers],[COVID-19 Item List]:[SCL]],0),FALSE)=0),IF(VLOOKUP(_xlfn.CONCAT(G$6,$C67),BurnRate!$G$3:$P$1102,10,FALSE)="NR","NR",0),VLOOKUP($C67,DATA_Depts[[#All],[COVID-19 Item List]:[SCL]],MATCH(G$6,DATA_Depts[[#Headers],[COVID-19 Item List]:[SCL]],0),FALSE))</f>
        <v>NR</v>
      </c>
      <c r="H67" s="148" t="str">
        <f>IF(VLOOKUP(_xlfn.CONCAT(G$6,$C67),BurnRate!$G$3:$P$1102,10,FALSE)="NR","NR",IF(G67="NR","NR",G67/(VLOOKUP(_xlfn.CONCAT(G$6,$C67),BurnRate!$G$3:$P$1102,10,FALSE)/90)))</f>
        <v>NR</v>
      </c>
      <c r="I67" s="169" t="str">
        <f>IF(SUM(VLOOKUP($C67,DATA_Depts[[#All],[COVID-19 Item List]:[SCL]],MATCH(I$6,DATA_Depts[[#Headers],[COVID-19 Item List]:[SCL]],0),FALSE)=0),IF(VLOOKUP(_xlfn.CONCAT(I$6,$C67),BurnRate!$G$3:$P$1102,10,FALSE)="NR","NR",0),VLOOKUP($C67,DATA_Depts[[#All],[COVID-19 Item List]:[SCL]],MATCH(I$6,DATA_Depts[[#Headers],[COVID-19 Item List]:[SCL]],0),FALSE))</f>
        <v>NR</v>
      </c>
      <c r="J67" s="148" t="str">
        <f>IF(VLOOKUP(_xlfn.CONCAT(I$6,$C67),BurnRate!$G$3:$P$1102,10,FALSE)="NR","NR",IF(I67="NR","NR",I67/(VLOOKUP(_xlfn.CONCAT(I$6,$C67),BurnRate!$G$3:$P$1102,10,FALSE)/90)))</f>
        <v>NR</v>
      </c>
      <c r="K67" s="169" t="str">
        <f>IF(SUM(VLOOKUP($C67,DATA_Depts[[#All],[COVID-19 Item List]:[SCL]],MATCH(K$6,DATA_Depts[[#Headers],[COVID-19 Item List]:[SCL]],0),FALSE)=0),IF(VLOOKUP(_xlfn.CONCAT(K$6,$C67),BurnRate!$G$3:$P$1102,10,FALSE)="NR","NR",0),VLOOKUP($C67,DATA_Depts[[#All],[COVID-19 Item List]:[SCL]],MATCH(K$6,DATA_Depts[[#Headers],[COVID-19 Item List]:[SCL]],0),FALSE))</f>
        <v>NR</v>
      </c>
      <c r="L67" s="148" t="str">
        <f>IF(VLOOKUP(_xlfn.CONCAT(K$6,$C67),BurnRate!$G$3:$P$1102,10,FALSE)="NR","NR",IF(K67="NR","NR",K67/(VLOOKUP(_xlfn.CONCAT(K$6,$C67),BurnRate!$G$3:$P$1102,10,FALSE)/90)))</f>
        <v>NR</v>
      </c>
      <c r="M67" s="169" t="str">
        <f>IF(SUM(VLOOKUP($C67,DATA_Depts[[#All],[COVID-19 Item List]:[SCL]],MATCH(M$6,DATA_Depts[[#Headers],[COVID-19 Item List]:[SCL]],0),FALSE)=0),IF(VLOOKUP(_xlfn.CONCAT(M$6,$C67),BurnRate!$G$3:$P$1102,10,FALSE)="NR","NR",0),VLOOKUP($C67,DATA_Depts[[#All],[COVID-19 Item List]:[SCL]],MATCH(M$6,DATA_Depts[[#Headers],[COVID-19 Item List]:[SCL]],0),FALSE))</f>
        <v>NR</v>
      </c>
      <c r="N67" s="148" t="str">
        <f>IF(VLOOKUP(_xlfn.CONCAT(M$6,$C67),BurnRate!$G$3:$P$1102,10,FALSE)="NR","NR",IF(M67="NR","NR",M67/(VLOOKUP(_xlfn.CONCAT(M$6,$C67),BurnRate!$G$3:$P$1102,10,FALSE)/90)))</f>
        <v>NR</v>
      </c>
      <c r="O67" s="169" t="str">
        <f>IF(SUM(VLOOKUP($C67,DATA_Depts[[#All],[COVID-19 Item List]:[SCL]],MATCH(O$6,DATA_Depts[[#Headers],[COVID-19 Item List]:[SCL]],0),FALSE)=0),IF(VLOOKUP(_xlfn.CONCAT(O$6,$C67),BurnRate!$G$3:$P$1102,10,FALSE)="NR","NR",0),VLOOKUP($C67,DATA_Depts[[#All],[COVID-19 Item List]:[SCL]],MATCH(O$6,DATA_Depts[[#Headers],[COVID-19 Item List]:[SCL]],0),FALSE))</f>
        <v>NR</v>
      </c>
      <c r="P67" s="148" t="str">
        <f>IF(VLOOKUP(_xlfn.CONCAT(O$6,$C67),BurnRate!$G$3:$P$1102,10,FALSE)="NR","NR",IF(O67="NR","NR",O67/(VLOOKUP(_xlfn.CONCAT(O$6,$C67),BurnRate!$G$3:$P$1102,10,FALSE)/90)))</f>
        <v>NR</v>
      </c>
      <c r="Q67" s="169" t="str">
        <f>IF(SUM(VLOOKUP($C67,DATA_Depts[[#All],[COVID-19 Item List]:[SCL]],MATCH(Q$6,DATA_Depts[[#Headers],[COVID-19 Item List]:[SCL]],0),FALSE)=0),IF(VLOOKUP(_xlfn.CONCAT(Q$6,$C67),BurnRate!$G$3:$P$1102,10,FALSE)="NR","NR",0),VLOOKUP($C67,DATA_Depts[[#All],[COVID-19 Item List]:[SCL]],MATCH(Q$6,DATA_Depts[[#Headers],[COVID-19 Item List]:[SCL]],0),FALSE))</f>
        <v>NR</v>
      </c>
      <c r="R67" s="148" t="str">
        <f>IF(VLOOKUP(_xlfn.CONCAT(Q$6,$C67),BurnRate!$G$3:$P$1102,10,FALSE)="NR","NR",IF(Q67="NR","NR",Q67/(VLOOKUP(_xlfn.CONCAT(Q$6,$C67),BurnRate!$G$3:$P$1102,10,FALSE)/90)))</f>
        <v>NR</v>
      </c>
      <c r="S67" s="169" t="str">
        <f>IF(SUM(VLOOKUP($C67,DATA_Depts[[#All],[COVID-19 Item List]:[SCL]],MATCH(S$6,DATA_Depts[[#Headers],[COVID-19 Item List]:[SCL]],0),FALSE)=0),IF(VLOOKUP(_xlfn.CONCAT(S$6,$C67),BurnRate!$G$3:$P$1102,10,FALSE)="NR","NR",0),VLOOKUP($C67,DATA_Depts[[#All],[COVID-19 Item List]:[SCL]],MATCH(S$6,DATA_Depts[[#Headers],[COVID-19 Item List]:[SCL]],0),FALSE))</f>
        <v>NR</v>
      </c>
      <c r="T67" s="148" t="str">
        <f>IF(VLOOKUP(_xlfn.CONCAT(S$6,$C67),BurnRate!$G$3:$P$1102,10,FALSE)="NR","NR",IF(S67="NR","NR",S67/(VLOOKUP(_xlfn.CONCAT(S$6,$C67),BurnRate!$G$3:$P$1102,10,FALSE)/90)))</f>
        <v>NR</v>
      </c>
      <c r="U67" s="169" t="str">
        <f>IF(SUM(VLOOKUP($C67,DATA_Depts[[#All],[COVID-19 Item List]:[SCL]],MATCH(U$6,DATA_Depts[[#Headers],[COVID-19 Item List]:[SCL]],0),FALSE)=0),IF(VLOOKUP(_xlfn.CONCAT(U$6,$C67),BurnRate!$G$3:$P$1102,10,FALSE)="NR","NR",0),VLOOKUP($C67,DATA_Depts[[#All],[COVID-19 Item List]:[SCL]],MATCH(U$6,DATA_Depts[[#Headers],[COVID-19 Item List]:[SCL]],0),FALSE))</f>
        <v>NR</v>
      </c>
      <c r="V67" s="148" t="str">
        <f>IF(VLOOKUP(_xlfn.CONCAT(U$6,$C67),BurnRate!$G$3:$P$1102,10,FALSE)="NR","NR",IF(U67="NR","NR",U67/(VLOOKUP(_xlfn.CONCAT(U$6,$C67),BurnRate!$G$3:$P$1102,10,FALSE)/90)))</f>
        <v>NR</v>
      </c>
      <c r="W67" s="169" t="str">
        <f>IF(SUM(VLOOKUP($C67,DATA_Depts[[#All],[COVID-19 Item List]:[SCL]],MATCH(W$6,DATA_Depts[[#Headers],[COVID-19 Item List]:[SCL]],0),FALSE)=0),IF(VLOOKUP(_xlfn.CONCAT(W$6,$C67),BurnRate!$G$3:$P$1102,10,FALSE)="NR","NR",0),VLOOKUP($C67,DATA_Depts[[#All],[COVID-19 Item List]:[SCL]],MATCH(W$6,DATA_Depts[[#Headers],[COVID-19 Item List]:[SCL]],0),FALSE))</f>
        <v>NR</v>
      </c>
      <c r="X67" s="148" t="str">
        <f>IF(VLOOKUP(_xlfn.CONCAT(W$6,$C67),BurnRate!$G$3:$P$1102,10,FALSE)="NR","NR",IF(W67="NR","NR",W67/(VLOOKUP(_xlfn.CONCAT(W$6,$C67),BurnRate!$G$3:$P$1102,10,FALSE)/90)))</f>
        <v>NR</v>
      </c>
      <c r="Y67" s="169" t="str">
        <f>IF(SUM(VLOOKUP($C67,DATA_Depts[[#All],[COVID-19 Item List]:[SCL]],MATCH(Y$6,DATA_Depts[[#Headers],[COVID-19 Item List]:[SCL]],0),FALSE)=0),IF(VLOOKUP(_xlfn.CONCAT(Y$6,$C67),BurnRate!$G$3:$P$1102,10,FALSE)="NR","NR",0),VLOOKUP($C67,DATA_Depts[[#All],[COVID-19 Item List]:[SCL]],MATCH(Y$6,DATA_Depts[[#Headers],[COVID-19 Item List]:[SCL]],0),FALSE))</f>
        <v>NR</v>
      </c>
      <c r="Z67" s="148" t="str">
        <f>IF(VLOOKUP(_xlfn.CONCAT(Y$6,$C67),BurnRate!$G$3:$P$1102,10,FALSE)="NR","NR",IF(Y67="NR","NR",Y67/(VLOOKUP(_xlfn.CONCAT(Y$6,$C67),BurnRate!$G$3:$P$1102,10,FALSE)/90)))</f>
        <v>NR</v>
      </c>
    </row>
    <row r="68" spans="2:26" s="43" customFormat="1" ht="11" hidden="1">
      <c r="B68" s="46">
        <v>61</v>
      </c>
      <c r="C68" s="47" t="str">
        <f>_xlfn.SINGLE(VLOOKUP(B68,DisplayOrder[#All],2,FALSE))</f>
        <v>Reserved-61</v>
      </c>
      <c r="D68" s="116" t="str">
        <f>_xlfn.SINGLE(VLOOKUP(B68,DisplayOrder!A:C,3,FALSE))</f>
        <v>each</v>
      </c>
      <c r="E68" s="117" t="str">
        <f>IF(VLOOKUP(_xlfn.CONCAT(E$6,$C68),BurnRate!$G$3:$P$1102,10,FALSE)="NR",IF(SUMIF(FAS_Centralized!K:K,C68,FAS_Centralized!N:N)=0,"NR",SUMIF(FAS_Centralized!K:K,C68,FAS_Centralized!N:N)),SUMIF(FAS_Centralized!K:K,C68,FAS_Centralized!N:N))</f>
        <v>NR</v>
      </c>
      <c r="F68" s="148" t="str">
        <f>IF(VLOOKUP(_xlfn.CONCAT(E$6,$C68),BurnRate!$G$3:$P$1102,10,FALSE)="NR","NR",IF(E68="NR","NR",E68/(VLOOKUP(_xlfn.CONCAT(E$6,$C68),BurnRate!$G$3:$P$1102,10,FALSE)/90)))</f>
        <v>NR</v>
      </c>
      <c r="G68" s="169" t="str">
        <f>IF(SUM(VLOOKUP($C68,DATA_Depts[[#All],[COVID-19 Item List]:[SCL]],MATCH(G$6,DATA_Depts[[#Headers],[COVID-19 Item List]:[SCL]],0),FALSE)=0),IF(VLOOKUP(_xlfn.CONCAT(G$6,$C68),BurnRate!$G$3:$P$1102,10,FALSE)="NR","NR",0),VLOOKUP($C68,DATA_Depts[[#All],[COVID-19 Item List]:[SCL]],MATCH(G$6,DATA_Depts[[#Headers],[COVID-19 Item List]:[SCL]],0),FALSE))</f>
        <v>NR</v>
      </c>
      <c r="H68" s="148" t="str">
        <f>IF(VLOOKUP(_xlfn.CONCAT(G$6,$C68),BurnRate!$G$3:$P$1102,10,FALSE)="NR","NR",IF(G68="NR","NR",G68/(VLOOKUP(_xlfn.CONCAT(G$6,$C68),BurnRate!$G$3:$P$1102,10,FALSE)/90)))</f>
        <v>NR</v>
      </c>
      <c r="I68" s="169" t="str">
        <f>IF(SUM(VLOOKUP($C68,DATA_Depts[[#All],[COVID-19 Item List]:[SCL]],MATCH(I$6,DATA_Depts[[#Headers],[COVID-19 Item List]:[SCL]],0),FALSE)=0),IF(VLOOKUP(_xlfn.CONCAT(I$6,$C68),BurnRate!$G$3:$P$1102,10,FALSE)="NR","NR",0),VLOOKUP($C68,DATA_Depts[[#All],[COVID-19 Item List]:[SCL]],MATCH(I$6,DATA_Depts[[#Headers],[COVID-19 Item List]:[SCL]],0),FALSE))</f>
        <v>NR</v>
      </c>
      <c r="J68" s="148" t="str">
        <f>IF(VLOOKUP(_xlfn.CONCAT(I$6,$C68),BurnRate!$G$3:$P$1102,10,FALSE)="NR","NR",IF(I68="NR","NR",I68/(VLOOKUP(_xlfn.CONCAT(I$6,$C68),BurnRate!$G$3:$P$1102,10,FALSE)/90)))</f>
        <v>NR</v>
      </c>
      <c r="K68" s="169" t="str">
        <f>IF(SUM(VLOOKUP($C68,DATA_Depts[[#All],[COVID-19 Item List]:[SCL]],MATCH(K$6,DATA_Depts[[#Headers],[COVID-19 Item List]:[SCL]],0),FALSE)=0),IF(VLOOKUP(_xlfn.CONCAT(K$6,$C68),BurnRate!$G$3:$P$1102,10,FALSE)="NR","NR",0),VLOOKUP($C68,DATA_Depts[[#All],[COVID-19 Item List]:[SCL]],MATCH(K$6,DATA_Depts[[#Headers],[COVID-19 Item List]:[SCL]],0),FALSE))</f>
        <v>NR</v>
      </c>
      <c r="L68" s="148" t="str">
        <f>IF(VLOOKUP(_xlfn.CONCAT(K$6,$C68),BurnRate!$G$3:$P$1102,10,FALSE)="NR","NR",IF(K68="NR","NR",K68/(VLOOKUP(_xlfn.CONCAT(K$6,$C68),BurnRate!$G$3:$P$1102,10,FALSE)/90)))</f>
        <v>NR</v>
      </c>
      <c r="M68" s="169" t="str">
        <f>IF(SUM(VLOOKUP($C68,DATA_Depts[[#All],[COVID-19 Item List]:[SCL]],MATCH(M$6,DATA_Depts[[#Headers],[COVID-19 Item List]:[SCL]],0),FALSE)=0),IF(VLOOKUP(_xlfn.CONCAT(M$6,$C68),BurnRate!$G$3:$P$1102,10,FALSE)="NR","NR",0),VLOOKUP($C68,DATA_Depts[[#All],[COVID-19 Item List]:[SCL]],MATCH(M$6,DATA_Depts[[#Headers],[COVID-19 Item List]:[SCL]],0),FALSE))</f>
        <v>NR</v>
      </c>
      <c r="N68" s="148" t="str">
        <f>IF(VLOOKUP(_xlfn.CONCAT(M$6,$C68),BurnRate!$G$3:$P$1102,10,FALSE)="NR","NR",IF(M68="NR","NR",M68/(VLOOKUP(_xlfn.CONCAT(M$6,$C68),BurnRate!$G$3:$P$1102,10,FALSE)/90)))</f>
        <v>NR</v>
      </c>
      <c r="O68" s="169" t="str">
        <f>IF(SUM(VLOOKUP($C68,DATA_Depts[[#All],[COVID-19 Item List]:[SCL]],MATCH(O$6,DATA_Depts[[#Headers],[COVID-19 Item List]:[SCL]],0),FALSE)=0),IF(VLOOKUP(_xlfn.CONCAT(O$6,$C68),BurnRate!$G$3:$P$1102,10,FALSE)="NR","NR",0),VLOOKUP($C68,DATA_Depts[[#All],[COVID-19 Item List]:[SCL]],MATCH(O$6,DATA_Depts[[#Headers],[COVID-19 Item List]:[SCL]],0),FALSE))</f>
        <v>NR</v>
      </c>
      <c r="P68" s="148" t="str">
        <f>IF(VLOOKUP(_xlfn.CONCAT(O$6,$C68),BurnRate!$G$3:$P$1102,10,FALSE)="NR","NR",IF(O68="NR","NR",O68/(VLOOKUP(_xlfn.CONCAT(O$6,$C68),BurnRate!$G$3:$P$1102,10,FALSE)/90)))</f>
        <v>NR</v>
      </c>
      <c r="Q68" s="169" t="str">
        <f>IF(SUM(VLOOKUP($C68,DATA_Depts[[#All],[COVID-19 Item List]:[SCL]],MATCH(Q$6,DATA_Depts[[#Headers],[COVID-19 Item List]:[SCL]],0),FALSE)=0),IF(VLOOKUP(_xlfn.CONCAT(Q$6,$C68),BurnRate!$G$3:$P$1102,10,FALSE)="NR","NR",0),VLOOKUP($C68,DATA_Depts[[#All],[COVID-19 Item List]:[SCL]],MATCH(Q$6,DATA_Depts[[#Headers],[COVID-19 Item List]:[SCL]],0),FALSE))</f>
        <v>NR</v>
      </c>
      <c r="R68" s="148" t="str">
        <f>IF(VLOOKUP(_xlfn.CONCAT(Q$6,$C68),BurnRate!$G$3:$P$1102,10,FALSE)="NR","NR",IF(Q68="NR","NR",Q68/(VLOOKUP(_xlfn.CONCAT(Q$6,$C68),BurnRate!$G$3:$P$1102,10,FALSE)/90)))</f>
        <v>NR</v>
      </c>
      <c r="S68" s="169" t="str">
        <f>IF(SUM(VLOOKUP($C68,DATA_Depts[[#All],[COVID-19 Item List]:[SCL]],MATCH(S$6,DATA_Depts[[#Headers],[COVID-19 Item List]:[SCL]],0),FALSE)=0),IF(VLOOKUP(_xlfn.CONCAT(S$6,$C68),BurnRate!$G$3:$P$1102,10,FALSE)="NR","NR",0),VLOOKUP($C68,DATA_Depts[[#All],[COVID-19 Item List]:[SCL]],MATCH(S$6,DATA_Depts[[#Headers],[COVID-19 Item List]:[SCL]],0),FALSE))</f>
        <v>NR</v>
      </c>
      <c r="T68" s="148" t="str">
        <f>IF(VLOOKUP(_xlfn.CONCAT(S$6,$C68),BurnRate!$G$3:$P$1102,10,FALSE)="NR","NR",IF(S68="NR","NR",S68/(VLOOKUP(_xlfn.CONCAT(S$6,$C68),BurnRate!$G$3:$P$1102,10,FALSE)/90)))</f>
        <v>NR</v>
      </c>
      <c r="U68" s="169" t="str">
        <f>IF(SUM(VLOOKUP($C68,DATA_Depts[[#All],[COVID-19 Item List]:[SCL]],MATCH(U$6,DATA_Depts[[#Headers],[COVID-19 Item List]:[SCL]],0),FALSE)=0),IF(VLOOKUP(_xlfn.CONCAT(U$6,$C68),BurnRate!$G$3:$P$1102,10,FALSE)="NR","NR",0),VLOOKUP($C68,DATA_Depts[[#All],[COVID-19 Item List]:[SCL]],MATCH(U$6,DATA_Depts[[#Headers],[COVID-19 Item List]:[SCL]],0),FALSE))</f>
        <v>NR</v>
      </c>
      <c r="V68" s="148" t="str">
        <f>IF(VLOOKUP(_xlfn.CONCAT(U$6,$C68),BurnRate!$G$3:$P$1102,10,FALSE)="NR","NR",IF(U68="NR","NR",U68/(VLOOKUP(_xlfn.CONCAT(U$6,$C68),BurnRate!$G$3:$P$1102,10,FALSE)/90)))</f>
        <v>NR</v>
      </c>
      <c r="W68" s="169" t="str">
        <f>IF(SUM(VLOOKUP($C68,DATA_Depts[[#All],[COVID-19 Item List]:[SCL]],MATCH(W$6,DATA_Depts[[#Headers],[COVID-19 Item List]:[SCL]],0),FALSE)=0),IF(VLOOKUP(_xlfn.CONCAT(W$6,$C68),BurnRate!$G$3:$P$1102,10,FALSE)="NR","NR",0),VLOOKUP($C68,DATA_Depts[[#All],[COVID-19 Item List]:[SCL]],MATCH(W$6,DATA_Depts[[#Headers],[COVID-19 Item List]:[SCL]],0),FALSE))</f>
        <v>NR</v>
      </c>
      <c r="X68" s="148" t="str">
        <f>IF(VLOOKUP(_xlfn.CONCAT(W$6,$C68),BurnRate!$G$3:$P$1102,10,FALSE)="NR","NR",IF(W68="NR","NR",W68/(VLOOKUP(_xlfn.CONCAT(W$6,$C68),BurnRate!$G$3:$P$1102,10,FALSE)/90)))</f>
        <v>NR</v>
      </c>
      <c r="Y68" s="169" t="str">
        <f>IF(SUM(VLOOKUP($C68,DATA_Depts[[#All],[COVID-19 Item List]:[SCL]],MATCH(Y$6,DATA_Depts[[#Headers],[COVID-19 Item List]:[SCL]],0),FALSE)=0),IF(VLOOKUP(_xlfn.CONCAT(Y$6,$C68),BurnRate!$G$3:$P$1102,10,FALSE)="NR","NR",0),VLOOKUP($C68,DATA_Depts[[#All],[COVID-19 Item List]:[SCL]],MATCH(Y$6,DATA_Depts[[#Headers],[COVID-19 Item List]:[SCL]],0),FALSE))</f>
        <v>NR</v>
      </c>
      <c r="Z68" s="148" t="str">
        <f>IF(VLOOKUP(_xlfn.CONCAT(Y$6,$C68),BurnRate!$G$3:$P$1102,10,FALSE)="NR","NR",IF(Y68="NR","NR",Y68/(VLOOKUP(_xlfn.CONCAT(Y$6,$C68),BurnRate!$G$3:$P$1102,10,FALSE)/90)))</f>
        <v>NR</v>
      </c>
    </row>
    <row r="69" spans="2:26" s="43" customFormat="1" ht="11" hidden="1">
      <c r="B69" s="46">
        <v>62</v>
      </c>
      <c r="C69" s="47" t="str">
        <f>_xlfn.SINGLE(VLOOKUP(B69,DisplayOrder[#All],2,FALSE))</f>
        <v>Reserved-62</v>
      </c>
      <c r="D69" s="116" t="str">
        <f>_xlfn.SINGLE(VLOOKUP(B69,DisplayOrder!A:C,3,FALSE))</f>
        <v>each</v>
      </c>
      <c r="E69" s="117" t="str">
        <f>IF(VLOOKUP(_xlfn.CONCAT(E$6,$C69),BurnRate!$G$3:$P$1102,10,FALSE)="NR",IF(SUMIF(FAS_Centralized!K:K,C69,FAS_Centralized!N:N)=0,"NR",SUMIF(FAS_Centralized!K:K,C69,FAS_Centralized!N:N)),SUMIF(FAS_Centralized!K:K,C69,FAS_Centralized!N:N))</f>
        <v>NR</v>
      </c>
      <c r="F69" s="148" t="str">
        <f>IF(VLOOKUP(_xlfn.CONCAT(E$6,$C69),BurnRate!$G$3:$P$1102,10,FALSE)="NR","NR",IF(E69="NR","NR",E69/(VLOOKUP(_xlfn.CONCAT(E$6,$C69),BurnRate!$G$3:$P$1102,10,FALSE)/90)))</f>
        <v>NR</v>
      </c>
      <c r="G69" s="169" t="str">
        <f>IF(SUM(VLOOKUP($C69,DATA_Depts[[#All],[COVID-19 Item List]:[SCL]],MATCH(G$6,DATA_Depts[[#Headers],[COVID-19 Item List]:[SCL]],0),FALSE)=0),IF(VLOOKUP(_xlfn.CONCAT(G$6,$C69),BurnRate!$G$3:$P$1102,10,FALSE)="NR","NR",0),VLOOKUP($C69,DATA_Depts[[#All],[COVID-19 Item List]:[SCL]],MATCH(G$6,DATA_Depts[[#Headers],[COVID-19 Item List]:[SCL]],0),FALSE))</f>
        <v>NR</v>
      </c>
      <c r="H69" s="148" t="str">
        <f>IF(VLOOKUP(_xlfn.CONCAT(G$6,$C69),BurnRate!$G$3:$P$1102,10,FALSE)="NR","NR",IF(G69="NR","NR",G69/(VLOOKUP(_xlfn.CONCAT(G$6,$C69),BurnRate!$G$3:$P$1102,10,FALSE)/90)))</f>
        <v>NR</v>
      </c>
      <c r="I69" s="169" t="str">
        <f>IF(SUM(VLOOKUP($C69,DATA_Depts[[#All],[COVID-19 Item List]:[SCL]],MATCH(I$6,DATA_Depts[[#Headers],[COVID-19 Item List]:[SCL]],0),FALSE)=0),IF(VLOOKUP(_xlfn.CONCAT(I$6,$C69),BurnRate!$G$3:$P$1102,10,FALSE)="NR","NR",0),VLOOKUP($C69,DATA_Depts[[#All],[COVID-19 Item List]:[SCL]],MATCH(I$6,DATA_Depts[[#Headers],[COVID-19 Item List]:[SCL]],0),FALSE))</f>
        <v>NR</v>
      </c>
      <c r="J69" s="148" t="str">
        <f>IF(VLOOKUP(_xlfn.CONCAT(I$6,$C69),BurnRate!$G$3:$P$1102,10,FALSE)="NR","NR",IF(I69="NR","NR",I69/(VLOOKUP(_xlfn.CONCAT(I$6,$C69),BurnRate!$G$3:$P$1102,10,FALSE)/90)))</f>
        <v>NR</v>
      </c>
      <c r="K69" s="169" t="str">
        <f>IF(SUM(VLOOKUP($C69,DATA_Depts[[#All],[COVID-19 Item List]:[SCL]],MATCH(K$6,DATA_Depts[[#Headers],[COVID-19 Item List]:[SCL]],0),FALSE)=0),IF(VLOOKUP(_xlfn.CONCAT(K$6,$C69),BurnRate!$G$3:$P$1102,10,FALSE)="NR","NR",0),VLOOKUP($C69,DATA_Depts[[#All],[COVID-19 Item List]:[SCL]],MATCH(K$6,DATA_Depts[[#Headers],[COVID-19 Item List]:[SCL]],0),FALSE))</f>
        <v>NR</v>
      </c>
      <c r="L69" s="148" t="str">
        <f>IF(VLOOKUP(_xlfn.CONCAT(K$6,$C69),BurnRate!$G$3:$P$1102,10,FALSE)="NR","NR",IF(K69="NR","NR",K69/(VLOOKUP(_xlfn.CONCAT(K$6,$C69),BurnRate!$G$3:$P$1102,10,FALSE)/90)))</f>
        <v>NR</v>
      </c>
      <c r="M69" s="169" t="str">
        <f>IF(SUM(VLOOKUP($C69,DATA_Depts[[#All],[COVID-19 Item List]:[SCL]],MATCH(M$6,DATA_Depts[[#Headers],[COVID-19 Item List]:[SCL]],0),FALSE)=0),IF(VLOOKUP(_xlfn.CONCAT(M$6,$C69),BurnRate!$G$3:$P$1102,10,FALSE)="NR","NR",0),VLOOKUP($C69,DATA_Depts[[#All],[COVID-19 Item List]:[SCL]],MATCH(M$6,DATA_Depts[[#Headers],[COVID-19 Item List]:[SCL]],0),FALSE))</f>
        <v>NR</v>
      </c>
      <c r="N69" s="148" t="str">
        <f>IF(VLOOKUP(_xlfn.CONCAT(M$6,$C69),BurnRate!$G$3:$P$1102,10,FALSE)="NR","NR",IF(M69="NR","NR",M69/(VLOOKUP(_xlfn.CONCAT(M$6,$C69),BurnRate!$G$3:$P$1102,10,FALSE)/90)))</f>
        <v>NR</v>
      </c>
      <c r="O69" s="169" t="str">
        <f>IF(SUM(VLOOKUP($C69,DATA_Depts[[#All],[COVID-19 Item List]:[SCL]],MATCH(O$6,DATA_Depts[[#Headers],[COVID-19 Item List]:[SCL]],0),FALSE)=0),IF(VLOOKUP(_xlfn.CONCAT(O$6,$C69),BurnRate!$G$3:$P$1102,10,FALSE)="NR","NR",0),VLOOKUP($C69,DATA_Depts[[#All],[COVID-19 Item List]:[SCL]],MATCH(O$6,DATA_Depts[[#Headers],[COVID-19 Item List]:[SCL]],0),FALSE))</f>
        <v>NR</v>
      </c>
      <c r="P69" s="148" t="str">
        <f>IF(VLOOKUP(_xlfn.CONCAT(O$6,$C69),BurnRate!$G$3:$P$1102,10,FALSE)="NR","NR",IF(O69="NR","NR",O69/(VLOOKUP(_xlfn.CONCAT(O$6,$C69),BurnRate!$G$3:$P$1102,10,FALSE)/90)))</f>
        <v>NR</v>
      </c>
      <c r="Q69" s="169" t="str">
        <f>IF(SUM(VLOOKUP($C69,DATA_Depts[[#All],[COVID-19 Item List]:[SCL]],MATCH(Q$6,DATA_Depts[[#Headers],[COVID-19 Item List]:[SCL]],0),FALSE)=0),IF(VLOOKUP(_xlfn.CONCAT(Q$6,$C69),BurnRate!$G$3:$P$1102,10,FALSE)="NR","NR",0),VLOOKUP($C69,DATA_Depts[[#All],[COVID-19 Item List]:[SCL]],MATCH(Q$6,DATA_Depts[[#Headers],[COVID-19 Item List]:[SCL]],0),FALSE))</f>
        <v>NR</v>
      </c>
      <c r="R69" s="148" t="str">
        <f>IF(VLOOKUP(_xlfn.CONCAT(Q$6,$C69),BurnRate!$G$3:$P$1102,10,FALSE)="NR","NR",IF(Q69="NR","NR",Q69/(VLOOKUP(_xlfn.CONCAT(Q$6,$C69),BurnRate!$G$3:$P$1102,10,FALSE)/90)))</f>
        <v>NR</v>
      </c>
      <c r="S69" s="169" t="str">
        <f>IF(SUM(VLOOKUP($C69,DATA_Depts[[#All],[COVID-19 Item List]:[SCL]],MATCH(S$6,DATA_Depts[[#Headers],[COVID-19 Item List]:[SCL]],0),FALSE)=0),IF(VLOOKUP(_xlfn.CONCAT(S$6,$C69),BurnRate!$G$3:$P$1102,10,FALSE)="NR","NR",0),VLOOKUP($C69,DATA_Depts[[#All],[COVID-19 Item List]:[SCL]],MATCH(S$6,DATA_Depts[[#Headers],[COVID-19 Item List]:[SCL]],0),FALSE))</f>
        <v>NR</v>
      </c>
      <c r="T69" s="148" t="str">
        <f>IF(VLOOKUP(_xlfn.CONCAT(S$6,$C69),BurnRate!$G$3:$P$1102,10,FALSE)="NR","NR",IF(S69="NR","NR",S69/(VLOOKUP(_xlfn.CONCAT(S$6,$C69),BurnRate!$G$3:$P$1102,10,FALSE)/90)))</f>
        <v>NR</v>
      </c>
      <c r="U69" s="169" t="str">
        <f>IF(SUM(VLOOKUP($C69,DATA_Depts[[#All],[COVID-19 Item List]:[SCL]],MATCH(U$6,DATA_Depts[[#Headers],[COVID-19 Item List]:[SCL]],0),FALSE)=0),IF(VLOOKUP(_xlfn.CONCAT(U$6,$C69),BurnRate!$G$3:$P$1102,10,FALSE)="NR","NR",0),VLOOKUP($C69,DATA_Depts[[#All],[COVID-19 Item List]:[SCL]],MATCH(U$6,DATA_Depts[[#Headers],[COVID-19 Item List]:[SCL]],0),FALSE))</f>
        <v>NR</v>
      </c>
      <c r="V69" s="148" t="str">
        <f>IF(VLOOKUP(_xlfn.CONCAT(U$6,$C69),BurnRate!$G$3:$P$1102,10,FALSE)="NR","NR",IF(U69="NR","NR",U69/(VLOOKUP(_xlfn.CONCAT(U$6,$C69),BurnRate!$G$3:$P$1102,10,FALSE)/90)))</f>
        <v>NR</v>
      </c>
      <c r="W69" s="169" t="str">
        <f>IF(SUM(VLOOKUP($C69,DATA_Depts[[#All],[COVID-19 Item List]:[SCL]],MATCH(W$6,DATA_Depts[[#Headers],[COVID-19 Item List]:[SCL]],0),FALSE)=0),IF(VLOOKUP(_xlfn.CONCAT(W$6,$C69),BurnRate!$G$3:$P$1102,10,FALSE)="NR","NR",0),VLOOKUP($C69,DATA_Depts[[#All],[COVID-19 Item List]:[SCL]],MATCH(W$6,DATA_Depts[[#Headers],[COVID-19 Item List]:[SCL]],0),FALSE))</f>
        <v>NR</v>
      </c>
      <c r="X69" s="148" t="str">
        <f>IF(VLOOKUP(_xlfn.CONCAT(W$6,$C69),BurnRate!$G$3:$P$1102,10,FALSE)="NR","NR",IF(W69="NR","NR",W69/(VLOOKUP(_xlfn.CONCAT(W$6,$C69),BurnRate!$G$3:$P$1102,10,FALSE)/90)))</f>
        <v>NR</v>
      </c>
      <c r="Y69" s="169" t="str">
        <f>IF(SUM(VLOOKUP($C69,DATA_Depts[[#All],[COVID-19 Item List]:[SCL]],MATCH(Y$6,DATA_Depts[[#Headers],[COVID-19 Item List]:[SCL]],0),FALSE)=0),IF(VLOOKUP(_xlfn.CONCAT(Y$6,$C69),BurnRate!$G$3:$P$1102,10,FALSE)="NR","NR",0),VLOOKUP($C69,DATA_Depts[[#All],[COVID-19 Item List]:[SCL]],MATCH(Y$6,DATA_Depts[[#Headers],[COVID-19 Item List]:[SCL]],0),FALSE))</f>
        <v>NR</v>
      </c>
      <c r="Z69" s="148" t="str">
        <f>IF(VLOOKUP(_xlfn.CONCAT(Y$6,$C69),BurnRate!$G$3:$P$1102,10,FALSE)="NR","NR",IF(Y69="NR","NR",Y69/(VLOOKUP(_xlfn.CONCAT(Y$6,$C69),BurnRate!$G$3:$P$1102,10,FALSE)/90)))</f>
        <v>NR</v>
      </c>
    </row>
    <row r="70" spans="2:26" s="43" customFormat="1" ht="11" hidden="1">
      <c r="B70" s="46">
        <v>63</v>
      </c>
      <c r="C70" s="47" t="str">
        <f>_xlfn.SINGLE(VLOOKUP(B70,DisplayOrder[#All],2,FALSE))</f>
        <v>Reserved-63</v>
      </c>
      <c r="D70" s="116" t="str">
        <f>_xlfn.SINGLE(VLOOKUP(B70,DisplayOrder!A:C,3,FALSE))</f>
        <v>each</v>
      </c>
      <c r="E70" s="117" t="str">
        <f>IF(VLOOKUP(_xlfn.CONCAT(E$6,$C70),BurnRate!$G$3:$P$1102,10,FALSE)="NR",IF(SUMIF(FAS_Centralized!K:K,C70,FAS_Centralized!N:N)=0,"NR",SUMIF(FAS_Centralized!K:K,C70,FAS_Centralized!N:N)),SUMIF(FAS_Centralized!K:K,C70,FAS_Centralized!N:N))</f>
        <v>NR</v>
      </c>
      <c r="F70" s="148" t="str">
        <f>IF(VLOOKUP(_xlfn.CONCAT(E$6,$C70),BurnRate!$G$3:$P$1102,10,FALSE)="NR","NR",IF(E70="NR","NR",E70/(VLOOKUP(_xlfn.CONCAT(E$6,$C70),BurnRate!$G$3:$P$1102,10,FALSE)/90)))</f>
        <v>NR</v>
      </c>
      <c r="G70" s="169" t="str">
        <f>IF(SUM(VLOOKUP($C70,DATA_Depts[[#All],[COVID-19 Item List]:[SCL]],MATCH(G$6,DATA_Depts[[#Headers],[COVID-19 Item List]:[SCL]],0),FALSE)=0),IF(VLOOKUP(_xlfn.CONCAT(G$6,$C70),BurnRate!$G$3:$P$1102,10,FALSE)="NR","NR",0),VLOOKUP($C70,DATA_Depts[[#All],[COVID-19 Item List]:[SCL]],MATCH(G$6,DATA_Depts[[#Headers],[COVID-19 Item List]:[SCL]],0),FALSE))</f>
        <v>NR</v>
      </c>
      <c r="H70" s="148" t="str">
        <f>IF(VLOOKUP(_xlfn.CONCAT(G$6,$C70),BurnRate!$G$3:$P$1102,10,FALSE)="NR","NR",IF(G70="NR","NR",G70/(VLOOKUP(_xlfn.CONCAT(G$6,$C70),BurnRate!$G$3:$P$1102,10,FALSE)/90)))</f>
        <v>NR</v>
      </c>
      <c r="I70" s="169" t="str">
        <f>IF(SUM(VLOOKUP($C70,DATA_Depts[[#All],[COVID-19 Item List]:[SCL]],MATCH(I$6,DATA_Depts[[#Headers],[COVID-19 Item List]:[SCL]],0),FALSE)=0),IF(VLOOKUP(_xlfn.CONCAT(I$6,$C70),BurnRate!$G$3:$P$1102,10,FALSE)="NR","NR",0),VLOOKUP($C70,DATA_Depts[[#All],[COVID-19 Item List]:[SCL]],MATCH(I$6,DATA_Depts[[#Headers],[COVID-19 Item List]:[SCL]],0),FALSE))</f>
        <v>NR</v>
      </c>
      <c r="J70" s="148" t="str">
        <f>IF(VLOOKUP(_xlfn.CONCAT(I$6,$C70),BurnRate!$G$3:$P$1102,10,FALSE)="NR","NR",IF(I70="NR","NR",I70/(VLOOKUP(_xlfn.CONCAT(I$6,$C70),BurnRate!$G$3:$P$1102,10,FALSE)/90)))</f>
        <v>NR</v>
      </c>
      <c r="K70" s="169" t="str">
        <f>IF(SUM(VLOOKUP($C70,DATA_Depts[[#All],[COVID-19 Item List]:[SCL]],MATCH(K$6,DATA_Depts[[#Headers],[COVID-19 Item List]:[SCL]],0),FALSE)=0),IF(VLOOKUP(_xlfn.CONCAT(K$6,$C70),BurnRate!$G$3:$P$1102,10,FALSE)="NR","NR",0),VLOOKUP($C70,DATA_Depts[[#All],[COVID-19 Item List]:[SCL]],MATCH(K$6,DATA_Depts[[#Headers],[COVID-19 Item List]:[SCL]],0),FALSE))</f>
        <v>NR</v>
      </c>
      <c r="L70" s="148" t="str">
        <f>IF(VLOOKUP(_xlfn.CONCAT(K$6,$C70),BurnRate!$G$3:$P$1102,10,FALSE)="NR","NR",IF(K70="NR","NR",K70/(VLOOKUP(_xlfn.CONCAT(K$6,$C70),BurnRate!$G$3:$P$1102,10,FALSE)/90)))</f>
        <v>NR</v>
      </c>
      <c r="M70" s="169" t="str">
        <f>IF(SUM(VLOOKUP($C70,DATA_Depts[[#All],[COVID-19 Item List]:[SCL]],MATCH(M$6,DATA_Depts[[#Headers],[COVID-19 Item List]:[SCL]],0),FALSE)=0),IF(VLOOKUP(_xlfn.CONCAT(M$6,$C70),BurnRate!$G$3:$P$1102,10,FALSE)="NR","NR",0),VLOOKUP($C70,DATA_Depts[[#All],[COVID-19 Item List]:[SCL]],MATCH(M$6,DATA_Depts[[#Headers],[COVID-19 Item List]:[SCL]],0),FALSE))</f>
        <v>NR</v>
      </c>
      <c r="N70" s="148" t="str">
        <f>IF(VLOOKUP(_xlfn.CONCAT(M$6,$C70),BurnRate!$G$3:$P$1102,10,FALSE)="NR","NR",IF(M70="NR","NR",M70/(VLOOKUP(_xlfn.CONCAT(M$6,$C70),BurnRate!$G$3:$P$1102,10,FALSE)/90)))</f>
        <v>NR</v>
      </c>
      <c r="O70" s="169" t="str">
        <f>IF(SUM(VLOOKUP($C70,DATA_Depts[[#All],[COVID-19 Item List]:[SCL]],MATCH(O$6,DATA_Depts[[#Headers],[COVID-19 Item List]:[SCL]],0),FALSE)=0),IF(VLOOKUP(_xlfn.CONCAT(O$6,$C70),BurnRate!$G$3:$P$1102,10,FALSE)="NR","NR",0),VLOOKUP($C70,DATA_Depts[[#All],[COVID-19 Item List]:[SCL]],MATCH(O$6,DATA_Depts[[#Headers],[COVID-19 Item List]:[SCL]],0),FALSE))</f>
        <v>NR</v>
      </c>
      <c r="P70" s="148" t="str">
        <f>IF(VLOOKUP(_xlfn.CONCAT(O$6,$C70),BurnRate!$G$3:$P$1102,10,FALSE)="NR","NR",IF(O70="NR","NR",O70/(VLOOKUP(_xlfn.CONCAT(O$6,$C70),BurnRate!$G$3:$P$1102,10,FALSE)/90)))</f>
        <v>NR</v>
      </c>
      <c r="Q70" s="169" t="str">
        <f>IF(SUM(VLOOKUP($C70,DATA_Depts[[#All],[COVID-19 Item List]:[SCL]],MATCH(Q$6,DATA_Depts[[#Headers],[COVID-19 Item List]:[SCL]],0),FALSE)=0),IF(VLOOKUP(_xlfn.CONCAT(Q$6,$C70),BurnRate!$G$3:$P$1102,10,FALSE)="NR","NR",0),VLOOKUP($C70,DATA_Depts[[#All],[COVID-19 Item List]:[SCL]],MATCH(Q$6,DATA_Depts[[#Headers],[COVID-19 Item List]:[SCL]],0),FALSE))</f>
        <v>NR</v>
      </c>
      <c r="R70" s="148" t="str">
        <f>IF(VLOOKUP(_xlfn.CONCAT(Q$6,$C70),BurnRate!$G$3:$P$1102,10,FALSE)="NR","NR",IF(Q70="NR","NR",Q70/(VLOOKUP(_xlfn.CONCAT(Q$6,$C70),BurnRate!$G$3:$P$1102,10,FALSE)/90)))</f>
        <v>NR</v>
      </c>
      <c r="S70" s="169" t="str">
        <f>IF(SUM(VLOOKUP($C70,DATA_Depts[[#All],[COVID-19 Item List]:[SCL]],MATCH(S$6,DATA_Depts[[#Headers],[COVID-19 Item List]:[SCL]],0),FALSE)=0),IF(VLOOKUP(_xlfn.CONCAT(S$6,$C70),BurnRate!$G$3:$P$1102,10,FALSE)="NR","NR",0),VLOOKUP($C70,DATA_Depts[[#All],[COVID-19 Item List]:[SCL]],MATCH(S$6,DATA_Depts[[#Headers],[COVID-19 Item List]:[SCL]],0),FALSE))</f>
        <v>NR</v>
      </c>
      <c r="T70" s="148" t="str">
        <f>IF(VLOOKUP(_xlfn.CONCAT(S$6,$C70),BurnRate!$G$3:$P$1102,10,FALSE)="NR","NR",IF(S70="NR","NR",S70/(VLOOKUP(_xlfn.CONCAT(S$6,$C70),BurnRate!$G$3:$P$1102,10,FALSE)/90)))</f>
        <v>NR</v>
      </c>
      <c r="U70" s="169" t="str">
        <f>IF(SUM(VLOOKUP($C70,DATA_Depts[[#All],[COVID-19 Item List]:[SCL]],MATCH(U$6,DATA_Depts[[#Headers],[COVID-19 Item List]:[SCL]],0),FALSE)=0),IF(VLOOKUP(_xlfn.CONCAT(U$6,$C70),BurnRate!$G$3:$P$1102,10,FALSE)="NR","NR",0),VLOOKUP($C70,DATA_Depts[[#All],[COVID-19 Item List]:[SCL]],MATCH(U$6,DATA_Depts[[#Headers],[COVID-19 Item List]:[SCL]],0),FALSE))</f>
        <v>NR</v>
      </c>
      <c r="V70" s="148" t="str">
        <f>IF(VLOOKUP(_xlfn.CONCAT(U$6,$C70),BurnRate!$G$3:$P$1102,10,FALSE)="NR","NR",IF(U70="NR","NR",U70/(VLOOKUP(_xlfn.CONCAT(U$6,$C70),BurnRate!$G$3:$P$1102,10,FALSE)/90)))</f>
        <v>NR</v>
      </c>
      <c r="W70" s="169" t="str">
        <f>IF(SUM(VLOOKUP($C70,DATA_Depts[[#All],[COVID-19 Item List]:[SCL]],MATCH(W$6,DATA_Depts[[#Headers],[COVID-19 Item List]:[SCL]],0),FALSE)=0),IF(VLOOKUP(_xlfn.CONCAT(W$6,$C70),BurnRate!$G$3:$P$1102,10,FALSE)="NR","NR",0),VLOOKUP($C70,DATA_Depts[[#All],[COVID-19 Item List]:[SCL]],MATCH(W$6,DATA_Depts[[#Headers],[COVID-19 Item List]:[SCL]],0),FALSE))</f>
        <v>NR</v>
      </c>
      <c r="X70" s="148" t="str">
        <f>IF(VLOOKUP(_xlfn.CONCAT(W$6,$C70),BurnRate!$G$3:$P$1102,10,FALSE)="NR","NR",IF(W70="NR","NR",W70/(VLOOKUP(_xlfn.CONCAT(W$6,$C70),BurnRate!$G$3:$P$1102,10,FALSE)/90)))</f>
        <v>NR</v>
      </c>
      <c r="Y70" s="169" t="str">
        <f>IF(SUM(VLOOKUP($C70,DATA_Depts[[#All],[COVID-19 Item List]:[SCL]],MATCH(Y$6,DATA_Depts[[#Headers],[COVID-19 Item List]:[SCL]],0),FALSE)=0),IF(VLOOKUP(_xlfn.CONCAT(Y$6,$C70),BurnRate!$G$3:$P$1102,10,FALSE)="NR","NR",0),VLOOKUP($C70,DATA_Depts[[#All],[COVID-19 Item List]:[SCL]],MATCH(Y$6,DATA_Depts[[#Headers],[COVID-19 Item List]:[SCL]],0),FALSE))</f>
        <v>NR</v>
      </c>
      <c r="Z70" s="148" t="str">
        <f>IF(VLOOKUP(_xlfn.CONCAT(Y$6,$C70),BurnRate!$G$3:$P$1102,10,FALSE)="NR","NR",IF(Y70="NR","NR",Y70/(VLOOKUP(_xlfn.CONCAT(Y$6,$C70),BurnRate!$G$3:$P$1102,10,FALSE)/90)))</f>
        <v>NR</v>
      </c>
    </row>
    <row r="71" spans="2:26" s="43" customFormat="1" ht="11" hidden="1">
      <c r="B71" s="46">
        <v>64</v>
      </c>
      <c r="C71" s="47" t="str">
        <f>_xlfn.SINGLE(VLOOKUP(B71,DisplayOrder[#All],2,FALSE))</f>
        <v>Reserved-64</v>
      </c>
      <c r="D71" s="116" t="str">
        <f>_xlfn.SINGLE(VLOOKUP(B71,DisplayOrder!A:C,3,FALSE))</f>
        <v>each</v>
      </c>
      <c r="E71" s="117" t="str">
        <f>IF(VLOOKUP(_xlfn.CONCAT(E$6,$C71),BurnRate!$G$3:$P$1102,10,FALSE)="NR",IF(SUMIF(FAS_Centralized!K:K,C71,FAS_Centralized!N:N)=0,"NR",SUMIF(FAS_Centralized!K:K,C71,FAS_Centralized!N:N)),SUMIF(FAS_Centralized!K:K,C71,FAS_Centralized!N:N))</f>
        <v>NR</v>
      </c>
      <c r="F71" s="148" t="str">
        <f>IF(VLOOKUP(_xlfn.CONCAT(E$6,$C71),BurnRate!$G$3:$P$1102,10,FALSE)="NR","NR",IF(E71="NR","NR",E71/(VLOOKUP(_xlfn.CONCAT(E$6,$C71),BurnRate!$G$3:$P$1102,10,FALSE)/90)))</f>
        <v>NR</v>
      </c>
      <c r="G71" s="169" t="str">
        <f>IF(SUM(VLOOKUP($C71,DATA_Depts[[#All],[COVID-19 Item List]:[SCL]],MATCH(G$6,DATA_Depts[[#Headers],[COVID-19 Item List]:[SCL]],0),FALSE)=0),IF(VLOOKUP(_xlfn.CONCAT(G$6,$C71),BurnRate!$G$3:$P$1102,10,FALSE)="NR","NR",0),VLOOKUP($C71,DATA_Depts[[#All],[COVID-19 Item List]:[SCL]],MATCH(G$6,DATA_Depts[[#Headers],[COVID-19 Item List]:[SCL]],0),FALSE))</f>
        <v>NR</v>
      </c>
      <c r="H71" s="148" t="str">
        <f>IF(VLOOKUP(_xlfn.CONCAT(G$6,$C71),BurnRate!$G$3:$P$1102,10,FALSE)="NR","NR",IF(G71="NR","NR",G71/(VLOOKUP(_xlfn.CONCAT(G$6,$C71),BurnRate!$G$3:$P$1102,10,FALSE)/90)))</f>
        <v>NR</v>
      </c>
      <c r="I71" s="169" t="str">
        <f>IF(SUM(VLOOKUP($C71,DATA_Depts[[#All],[COVID-19 Item List]:[SCL]],MATCH(I$6,DATA_Depts[[#Headers],[COVID-19 Item List]:[SCL]],0),FALSE)=0),IF(VLOOKUP(_xlfn.CONCAT(I$6,$C71),BurnRate!$G$3:$P$1102,10,FALSE)="NR","NR",0),VLOOKUP($C71,DATA_Depts[[#All],[COVID-19 Item List]:[SCL]],MATCH(I$6,DATA_Depts[[#Headers],[COVID-19 Item List]:[SCL]],0),FALSE))</f>
        <v>NR</v>
      </c>
      <c r="J71" s="148" t="str">
        <f>IF(VLOOKUP(_xlfn.CONCAT(I$6,$C71),BurnRate!$G$3:$P$1102,10,FALSE)="NR","NR",IF(I71="NR","NR",I71/(VLOOKUP(_xlfn.CONCAT(I$6,$C71),BurnRate!$G$3:$P$1102,10,FALSE)/90)))</f>
        <v>NR</v>
      </c>
      <c r="K71" s="169" t="str">
        <f>IF(SUM(VLOOKUP($C71,DATA_Depts[[#All],[COVID-19 Item List]:[SCL]],MATCH(K$6,DATA_Depts[[#Headers],[COVID-19 Item List]:[SCL]],0),FALSE)=0),IF(VLOOKUP(_xlfn.CONCAT(K$6,$C71),BurnRate!$G$3:$P$1102,10,FALSE)="NR","NR",0),VLOOKUP($C71,DATA_Depts[[#All],[COVID-19 Item List]:[SCL]],MATCH(K$6,DATA_Depts[[#Headers],[COVID-19 Item List]:[SCL]],0),FALSE))</f>
        <v>NR</v>
      </c>
      <c r="L71" s="148" t="str">
        <f>IF(VLOOKUP(_xlfn.CONCAT(K$6,$C71),BurnRate!$G$3:$P$1102,10,FALSE)="NR","NR",IF(K71="NR","NR",K71/(VLOOKUP(_xlfn.CONCAT(K$6,$C71),BurnRate!$G$3:$P$1102,10,FALSE)/90)))</f>
        <v>NR</v>
      </c>
      <c r="M71" s="169" t="str">
        <f>IF(SUM(VLOOKUP($C71,DATA_Depts[[#All],[COVID-19 Item List]:[SCL]],MATCH(M$6,DATA_Depts[[#Headers],[COVID-19 Item List]:[SCL]],0),FALSE)=0),IF(VLOOKUP(_xlfn.CONCAT(M$6,$C71),BurnRate!$G$3:$P$1102,10,FALSE)="NR","NR",0),VLOOKUP($C71,DATA_Depts[[#All],[COVID-19 Item List]:[SCL]],MATCH(M$6,DATA_Depts[[#Headers],[COVID-19 Item List]:[SCL]],0),FALSE))</f>
        <v>NR</v>
      </c>
      <c r="N71" s="148" t="str">
        <f>IF(VLOOKUP(_xlfn.CONCAT(M$6,$C71),BurnRate!$G$3:$P$1102,10,FALSE)="NR","NR",IF(M71="NR","NR",M71/(VLOOKUP(_xlfn.CONCAT(M$6,$C71),BurnRate!$G$3:$P$1102,10,FALSE)/90)))</f>
        <v>NR</v>
      </c>
      <c r="O71" s="169" t="str">
        <f>IF(SUM(VLOOKUP($C71,DATA_Depts[[#All],[COVID-19 Item List]:[SCL]],MATCH(O$6,DATA_Depts[[#Headers],[COVID-19 Item List]:[SCL]],0),FALSE)=0),IF(VLOOKUP(_xlfn.CONCAT(O$6,$C71),BurnRate!$G$3:$P$1102,10,FALSE)="NR","NR",0),VLOOKUP($C71,DATA_Depts[[#All],[COVID-19 Item List]:[SCL]],MATCH(O$6,DATA_Depts[[#Headers],[COVID-19 Item List]:[SCL]],0),FALSE))</f>
        <v>NR</v>
      </c>
      <c r="P71" s="148" t="str">
        <f>IF(VLOOKUP(_xlfn.CONCAT(O$6,$C71),BurnRate!$G$3:$P$1102,10,FALSE)="NR","NR",IF(O71="NR","NR",O71/(VLOOKUP(_xlfn.CONCAT(O$6,$C71),BurnRate!$G$3:$P$1102,10,FALSE)/90)))</f>
        <v>NR</v>
      </c>
      <c r="Q71" s="169" t="str">
        <f>IF(SUM(VLOOKUP($C71,DATA_Depts[[#All],[COVID-19 Item List]:[SCL]],MATCH(Q$6,DATA_Depts[[#Headers],[COVID-19 Item List]:[SCL]],0),FALSE)=0),IF(VLOOKUP(_xlfn.CONCAT(Q$6,$C71),BurnRate!$G$3:$P$1102,10,FALSE)="NR","NR",0),VLOOKUP($C71,DATA_Depts[[#All],[COVID-19 Item List]:[SCL]],MATCH(Q$6,DATA_Depts[[#Headers],[COVID-19 Item List]:[SCL]],0),FALSE))</f>
        <v>NR</v>
      </c>
      <c r="R71" s="148" t="str">
        <f>IF(VLOOKUP(_xlfn.CONCAT(Q$6,$C71),BurnRate!$G$3:$P$1102,10,FALSE)="NR","NR",IF(Q71="NR","NR",Q71/(VLOOKUP(_xlfn.CONCAT(Q$6,$C71),BurnRate!$G$3:$P$1102,10,FALSE)/90)))</f>
        <v>NR</v>
      </c>
      <c r="S71" s="169" t="str">
        <f>IF(SUM(VLOOKUP($C71,DATA_Depts[[#All],[COVID-19 Item List]:[SCL]],MATCH(S$6,DATA_Depts[[#Headers],[COVID-19 Item List]:[SCL]],0),FALSE)=0),IF(VLOOKUP(_xlfn.CONCAT(S$6,$C71),BurnRate!$G$3:$P$1102,10,FALSE)="NR","NR",0),VLOOKUP($C71,DATA_Depts[[#All],[COVID-19 Item List]:[SCL]],MATCH(S$6,DATA_Depts[[#Headers],[COVID-19 Item List]:[SCL]],0),FALSE))</f>
        <v>NR</v>
      </c>
      <c r="T71" s="148" t="str">
        <f>IF(VLOOKUP(_xlfn.CONCAT(S$6,$C71),BurnRate!$G$3:$P$1102,10,FALSE)="NR","NR",IF(S71="NR","NR",S71/(VLOOKUP(_xlfn.CONCAT(S$6,$C71),BurnRate!$G$3:$P$1102,10,FALSE)/90)))</f>
        <v>NR</v>
      </c>
      <c r="U71" s="169" t="str">
        <f>IF(SUM(VLOOKUP($C71,DATA_Depts[[#All],[COVID-19 Item List]:[SCL]],MATCH(U$6,DATA_Depts[[#Headers],[COVID-19 Item List]:[SCL]],0),FALSE)=0),IF(VLOOKUP(_xlfn.CONCAT(U$6,$C71),BurnRate!$G$3:$P$1102,10,FALSE)="NR","NR",0),VLOOKUP($C71,DATA_Depts[[#All],[COVID-19 Item List]:[SCL]],MATCH(U$6,DATA_Depts[[#Headers],[COVID-19 Item List]:[SCL]],0),FALSE))</f>
        <v>NR</v>
      </c>
      <c r="V71" s="148" t="str">
        <f>IF(VLOOKUP(_xlfn.CONCAT(U$6,$C71),BurnRate!$G$3:$P$1102,10,FALSE)="NR","NR",IF(U71="NR","NR",U71/(VLOOKUP(_xlfn.CONCAT(U$6,$C71),BurnRate!$G$3:$P$1102,10,FALSE)/90)))</f>
        <v>NR</v>
      </c>
      <c r="W71" s="169" t="str">
        <f>IF(SUM(VLOOKUP($C71,DATA_Depts[[#All],[COVID-19 Item List]:[SCL]],MATCH(W$6,DATA_Depts[[#Headers],[COVID-19 Item List]:[SCL]],0),FALSE)=0),IF(VLOOKUP(_xlfn.CONCAT(W$6,$C71),BurnRate!$G$3:$P$1102,10,FALSE)="NR","NR",0),VLOOKUP($C71,DATA_Depts[[#All],[COVID-19 Item List]:[SCL]],MATCH(W$6,DATA_Depts[[#Headers],[COVID-19 Item List]:[SCL]],0),FALSE))</f>
        <v>NR</v>
      </c>
      <c r="X71" s="148" t="str">
        <f>IF(VLOOKUP(_xlfn.CONCAT(W$6,$C71),BurnRate!$G$3:$P$1102,10,FALSE)="NR","NR",IF(W71="NR","NR",W71/(VLOOKUP(_xlfn.CONCAT(W$6,$C71),BurnRate!$G$3:$P$1102,10,FALSE)/90)))</f>
        <v>NR</v>
      </c>
      <c r="Y71" s="169" t="str">
        <f>IF(SUM(VLOOKUP($C71,DATA_Depts[[#All],[COVID-19 Item List]:[SCL]],MATCH(Y$6,DATA_Depts[[#Headers],[COVID-19 Item List]:[SCL]],0),FALSE)=0),IF(VLOOKUP(_xlfn.CONCAT(Y$6,$C71),BurnRate!$G$3:$P$1102,10,FALSE)="NR","NR",0),VLOOKUP($C71,DATA_Depts[[#All],[COVID-19 Item List]:[SCL]],MATCH(Y$6,DATA_Depts[[#Headers],[COVID-19 Item List]:[SCL]],0),FALSE))</f>
        <v>NR</v>
      </c>
      <c r="Z71" s="148" t="str">
        <f>IF(VLOOKUP(_xlfn.CONCAT(Y$6,$C71),BurnRate!$G$3:$P$1102,10,FALSE)="NR","NR",IF(Y71="NR","NR",Y71/(VLOOKUP(_xlfn.CONCAT(Y$6,$C71),BurnRate!$G$3:$P$1102,10,FALSE)/90)))</f>
        <v>NR</v>
      </c>
    </row>
    <row r="72" spans="2:26" s="43" customFormat="1" ht="11" hidden="1">
      <c r="B72" s="46">
        <v>65</v>
      </c>
      <c r="C72" s="47" t="str">
        <f>_xlfn.SINGLE(VLOOKUP(B72,DisplayOrder[#All],2,FALSE))</f>
        <v>Reserved-65</v>
      </c>
      <c r="D72" s="116" t="str">
        <f>_xlfn.SINGLE(VLOOKUP(B72,DisplayOrder!A:C,3,FALSE))</f>
        <v>each</v>
      </c>
      <c r="E72" s="117" t="str">
        <f>IF(VLOOKUP(_xlfn.CONCAT(E$6,$C72),BurnRate!$G$3:$P$1102,10,FALSE)="NR",IF(SUMIF(FAS_Centralized!K:K,C72,FAS_Centralized!N:N)=0,"NR",SUMIF(FAS_Centralized!K:K,C72,FAS_Centralized!N:N)),SUMIF(FAS_Centralized!K:K,C72,FAS_Centralized!N:N))</f>
        <v>NR</v>
      </c>
      <c r="F72" s="148" t="str">
        <f>IF(VLOOKUP(_xlfn.CONCAT(E$6,$C72),BurnRate!$G$3:$P$1102,10,FALSE)="NR","NR",IF(E72="NR","NR",E72/(VLOOKUP(_xlfn.CONCAT(E$6,$C72),BurnRate!$G$3:$P$1102,10,FALSE)/90)))</f>
        <v>NR</v>
      </c>
      <c r="G72" s="169" t="str">
        <f>IF(SUM(VLOOKUP($C72,DATA_Depts[[#All],[COVID-19 Item List]:[SCL]],MATCH(G$6,DATA_Depts[[#Headers],[COVID-19 Item List]:[SCL]],0),FALSE)=0),IF(VLOOKUP(_xlfn.CONCAT(G$6,$C72),BurnRate!$G$3:$P$1102,10,FALSE)="NR","NR",0),VLOOKUP($C72,DATA_Depts[[#All],[COVID-19 Item List]:[SCL]],MATCH(G$6,DATA_Depts[[#Headers],[COVID-19 Item List]:[SCL]],0),FALSE))</f>
        <v>NR</v>
      </c>
      <c r="H72" s="148" t="str">
        <f>IF(VLOOKUP(_xlfn.CONCAT(G$6,$C72),BurnRate!$G$3:$P$1102,10,FALSE)="NR","NR",IF(G72="NR","NR",G72/(VLOOKUP(_xlfn.CONCAT(G$6,$C72),BurnRate!$G$3:$P$1102,10,FALSE)/90)))</f>
        <v>NR</v>
      </c>
      <c r="I72" s="169" t="str">
        <f>IF(SUM(VLOOKUP($C72,DATA_Depts[[#All],[COVID-19 Item List]:[SCL]],MATCH(I$6,DATA_Depts[[#Headers],[COVID-19 Item List]:[SCL]],0),FALSE)=0),IF(VLOOKUP(_xlfn.CONCAT(I$6,$C72),BurnRate!$G$3:$P$1102,10,FALSE)="NR","NR",0),VLOOKUP($C72,DATA_Depts[[#All],[COVID-19 Item List]:[SCL]],MATCH(I$6,DATA_Depts[[#Headers],[COVID-19 Item List]:[SCL]],0),FALSE))</f>
        <v>NR</v>
      </c>
      <c r="J72" s="148" t="str">
        <f>IF(VLOOKUP(_xlfn.CONCAT(I$6,$C72),BurnRate!$G$3:$P$1102,10,FALSE)="NR","NR",IF(I72="NR","NR",I72/(VLOOKUP(_xlfn.CONCAT(I$6,$C72),BurnRate!$G$3:$P$1102,10,FALSE)/90)))</f>
        <v>NR</v>
      </c>
      <c r="K72" s="169" t="str">
        <f>IF(SUM(VLOOKUP($C72,DATA_Depts[[#All],[COVID-19 Item List]:[SCL]],MATCH(K$6,DATA_Depts[[#Headers],[COVID-19 Item List]:[SCL]],0),FALSE)=0),IF(VLOOKUP(_xlfn.CONCAT(K$6,$C72),BurnRate!$G$3:$P$1102,10,FALSE)="NR","NR",0),VLOOKUP($C72,DATA_Depts[[#All],[COVID-19 Item List]:[SCL]],MATCH(K$6,DATA_Depts[[#Headers],[COVID-19 Item List]:[SCL]],0),FALSE))</f>
        <v>NR</v>
      </c>
      <c r="L72" s="148" t="str">
        <f>IF(VLOOKUP(_xlfn.CONCAT(K$6,$C72),BurnRate!$G$3:$P$1102,10,FALSE)="NR","NR",IF(K72="NR","NR",K72/(VLOOKUP(_xlfn.CONCAT(K$6,$C72),BurnRate!$G$3:$P$1102,10,FALSE)/90)))</f>
        <v>NR</v>
      </c>
      <c r="M72" s="169" t="str">
        <f>IF(SUM(VLOOKUP($C72,DATA_Depts[[#All],[COVID-19 Item List]:[SCL]],MATCH(M$6,DATA_Depts[[#Headers],[COVID-19 Item List]:[SCL]],0),FALSE)=0),IF(VLOOKUP(_xlfn.CONCAT(M$6,$C72),BurnRate!$G$3:$P$1102,10,FALSE)="NR","NR",0),VLOOKUP($C72,DATA_Depts[[#All],[COVID-19 Item List]:[SCL]],MATCH(M$6,DATA_Depts[[#Headers],[COVID-19 Item List]:[SCL]],0),FALSE))</f>
        <v>NR</v>
      </c>
      <c r="N72" s="148" t="str">
        <f>IF(VLOOKUP(_xlfn.CONCAT(M$6,$C72),BurnRate!$G$3:$P$1102,10,FALSE)="NR","NR",IF(M72="NR","NR",M72/(VLOOKUP(_xlfn.CONCAT(M$6,$C72),BurnRate!$G$3:$P$1102,10,FALSE)/90)))</f>
        <v>NR</v>
      </c>
      <c r="O72" s="169" t="str">
        <f>IF(SUM(VLOOKUP($C72,DATA_Depts[[#All],[COVID-19 Item List]:[SCL]],MATCH(O$6,DATA_Depts[[#Headers],[COVID-19 Item List]:[SCL]],0),FALSE)=0),IF(VLOOKUP(_xlfn.CONCAT(O$6,$C72),BurnRate!$G$3:$P$1102,10,FALSE)="NR","NR",0),VLOOKUP($C72,DATA_Depts[[#All],[COVID-19 Item List]:[SCL]],MATCH(O$6,DATA_Depts[[#Headers],[COVID-19 Item List]:[SCL]],0),FALSE))</f>
        <v>NR</v>
      </c>
      <c r="P72" s="148" t="str">
        <f>IF(VLOOKUP(_xlfn.CONCAT(O$6,$C72),BurnRate!$G$3:$P$1102,10,FALSE)="NR","NR",IF(O72="NR","NR",O72/(VLOOKUP(_xlfn.CONCAT(O$6,$C72),BurnRate!$G$3:$P$1102,10,FALSE)/90)))</f>
        <v>NR</v>
      </c>
      <c r="Q72" s="169" t="str">
        <f>IF(SUM(VLOOKUP($C72,DATA_Depts[[#All],[COVID-19 Item List]:[SCL]],MATCH(Q$6,DATA_Depts[[#Headers],[COVID-19 Item List]:[SCL]],0),FALSE)=0),IF(VLOOKUP(_xlfn.CONCAT(Q$6,$C72),BurnRate!$G$3:$P$1102,10,FALSE)="NR","NR",0),VLOOKUP($C72,DATA_Depts[[#All],[COVID-19 Item List]:[SCL]],MATCH(Q$6,DATA_Depts[[#Headers],[COVID-19 Item List]:[SCL]],0),FALSE))</f>
        <v>NR</v>
      </c>
      <c r="R72" s="148" t="str">
        <f>IF(VLOOKUP(_xlfn.CONCAT(Q$6,$C72),BurnRate!$G$3:$P$1102,10,FALSE)="NR","NR",IF(Q72="NR","NR",Q72/(VLOOKUP(_xlfn.CONCAT(Q$6,$C72),BurnRate!$G$3:$P$1102,10,FALSE)/90)))</f>
        <v>NR</v>
      </c>
      <c r="S72" s="169" t="str">
        <f>IF(SUM(VLOOKUP($C72,DATA_Depts[[#All],[COVID-19 Item List]:[SCL]],MATCH(S$6,DATA_Depts[[#Headers],[COVID-19 Item List]:[SCL]],0),FALSE)=0),IF(VLOOKUP(_xlfn.CONCAT(S$6,$C72),BurnRate!$G$3:$P$1102,10,FALSE)="NR","NR",0),VLOOKUP($C72,DATA_Depts[[#All],[COVID-19 Item List]:[SCL]],MATCH(S$6,DATA_Depts[[#Headers],[COVID-19 Item List]:[SCL]],0),FALSE))</f>
        <v>NR</v>
      </c>
      <c r="T72" s="148" t="str">
        <f>IF(VLOOKUP(_xlfn.CONCAT(S$6,$C72),BurnRate!$G$3:$P$1102,10,FALSE)="NR","NR",IF(S72="NR","NR",S72/(VLOOKUP(_xlfn.CONCAT(S$6,$C72),BurnRate!$G$3:$P$1102,10,FALSE)/90)))</f>
        <v>NR</v>
      </c>
      <c r="U72" s="169" t="str">
        <f>IF(SUM(VLOOKUP($C72,DATA_Depts[[#All],[COVID-19 Item List]:[SCL]],MATCH(U$6,DATA_Depts[[#Headers],[COVID-19 Item List]:[SCL]],0),FALSE)=0),IF(VLOOKUP(_xlfn.CONCAT(U$6,$C72),BurnRate!$G$3:$P$1102,10,FALSE)="NR","NR",0),VLOOKUP($C72,DATA_Depts[[#All],[COVID-19 Item List]:[SCL]],MATCH(U$6,DATA_Depts[[#Headers],[COVID-19 Item List]:[SCL]],0),FALSE))</f>
        <v>NR</v>
      </c>
      <c r="V72" s="148" t="str">
        <f>IF(VLOOKUP(_xlfn.CONCAT(U$6,$C72),BurnRate!$G$3:$P$1102,10,FALSE)="NR","NR",IF(U72="NR","NR",U72/(VLOOKUP(_xlfn.CONCAT(U$6,$C72),BurnRate!$G$3:$P$1102,10,FALSE)/90)))</f>
        <v>NR</v>
      </c>
      <c r="W72" s="169" t="str">
        <f>IF(SUM(VLOOKUP($C72,DATA_Depts[[#All],[COVID-19 Item List]:[SCL]],MATCH(W$6,DATA_Depts[[#Headers],[COVID-19 Item List]:[SCL]],0),FALSE)=0),IF(VLOOKUP(_xlfn.CONCAT(W$6,$C72),BurnRate!$G$3:$P$1102,10,FALSE)="NR","NR",0),VLOOKUP($C72,DATA_Depts[[#All],[COVID-19 Item List]:[SCL]],MATCH(W$6,DATA_Depts[[#Headers],[COVID-19 Item List]:[SCL]],0),FALSE))</f>
        <v>NR</v>
      </c>
      <c r="X72" s="148" t="str">
        <f>IF(VLOOKUP(_xlfn.CONCAT(W$6,$C72),BurnRate!$G$3:$P$1102,10,FALSE)="NR","NR",IF(W72="NR","NR",W72/(VLOOKUP(_xlfn.CONCAT(W$6,$C72),BurnRate!$G$3:$P$1102,10,FALSE)/90)))</f>
        <v>NR</v>
      </c>
      <c r="Y72" s="169" t="str">
        <f>IF(SUM(VLOOKUP($C72,DATA_Depts[[#All],[COVID-19 Item List]:[SCL]],MATCH(Y$6,DATA_Depts[[#Headers],[COVID-19 Item List]:[SCL]],0),FALSE)=0),IF(VLOOKUP(_xlfn.CONCAT(Y$6,$C72),BurnRate!$G$3:$P$1102,10,FALSE)="NR","NR",0),VLOOKUP($C72,DATA_Depts[[#All],[COVID-19 Item List]:[SCL]],MATCH(Y$6,DATA_Depts[[#Headers],[COVID-19 Item List]:[SCL]],0),FALSE))</f>
        <v>NR</v>
      </c>
      <c r="Z72" s="148" t="str">
        <f>IF(VLOOKUP(_xlfn.CONCAT(Y$6,$C72),BurnRate!$G$3:$P$1102,10,FALSE)="NR","NR",IF(Y72="NR","NR",Y72/(VLOOKUP(_xlfn.CONCAT(Y$6,$C72),BurnRate!$G$3:$P$1102,10,FALSE)/90)))</f>
        <v>NR</v>
      </c>
    </row>
    <row r="73" spans="2:26" s="43" customFormat="1" ht="11" hidden="1">
      <c r="B73" s="46">
        <v>66</v>
      </c>
      <c r="C73" s="47" t="str">
        <f>_xlfn.SINGLE(VLOOKUP(B73,DisplayOrder[#All],2,FALSE))</f>
        <v>Reserved-66</v>
      </c>
      <c r="D73" s="116" t="str">
        <f>_xlfn.SINGLE(VLOOKUP(B73,DisplayOrder!A:C,3,FALSE))</f>
        <v>each</v>
      </c>
      <c r="E73" s="117" t="str">
        <f>IF(VLOOKUP(_xlfn.CONCAT(E$6,$C73),BurnRate!$G$3:$P$1102,10,FALSE)="NR",IF(SUMIF(FAS_Centralized!K:K,C73,FAS_Centralized!N:N)=0,"NR",SUMIF(FAS_Centralized!K:K,C73,FAS_Centralized!N:N)),SUMIF(FAS_Centralized!K:K,C73,FAS_Centralized!N:N))</f>
        <v>NR</v>
      </c>
      <c r="F73" s="148" t="str">
        <f>IF(VLOOKUP(_xlfn.CONCAT(E$6,$C73),BurnRate!$G$3:$P$1102,10,FALSE)="NR","NR",IF(E73="NR","NR",E73/(VLOOKUP(_xlfn.CONCAT(E$6,$C73),BurnRate!$G$3:$P$1102,10,FALSE)/90)))</f>
        <v>NR</v>
      </c>
      <c r="G73" s="169" t="str">
        <f>IF(SUM(VLOOKUP($C73,DATA_Depts[[#All],[COVID-19 Item List]:[SCL]],MATCH(G$6,DATA_Depts[[#Headers],[COVID-19 Item List]:[SCL]],0),FALSE)=0),IF(VLOOKUP(_xlfn.CONCAT(G$6,$C73),BurnRate!$G$3:$P$1102,10,FALSE)="NR","NR",0),VLOOKUP($C73,DATA_Depts[[#All],[COVID-19 Item List]:[SCL]],MATCH(G$6,DATA_Depts[[#Headers],[COVID-19 Item List]:[SCL]],0),FALSE))</f>
        <v>NR</v>
      </c>
      <c r="H73" s="148" t="str">
        <f>IF(VLOOKUP(_xlfn.CONCAT(G$6,$C73),BurnRate!$G$3:$P$1102,10,FALSE)="NR","NR",IF(G73="NR","NR",G73/(VLOOKUP(_xlfn.CONCAT(G$6,$C73),BurnRate!$G$3:$P$1102,10,FALSE)/90)))</f>
        <v>NR</v>
      </c>
      <c r="I73" s="169" t="str">
        <f>IF(SUM(VLOOKUP($C73,DATA_Depts[[#All],[COVID-19 Item List]:[SCL]],MATCH(I$6,DATA_Depts[[#Headers],[COVID-19 Item List]:[SCL]],0),FALSE)=0),IF(VLOOKUP(_xlfn.CONCAT(I$6,$C73),BurnRate!$G$3:$P$1102,10,FALSE)="NR","NR",0),VLOOKUP($C73,DATA_Depts[[#All],[COVID-19 Item List]:[SCL]],MATCH(I$6,DATA_Depts[[#Headers],[COVID-19 Item List]:[SCL]],0),FALSE))</f>
        <v>NR</v>
      </c>
      <c r="J73" s="148" t="str">
        <f>IF(VLOOKUP(_xlfn.CONCAT(I$6,$C73),BurnRate!$G$3:$P$1102,10,FALSE)="NR","NR",IF(I73="NR","NR",I73/(VLOOKUP(_xlfn.CONCAT(I$6,$C73),BurnRate!$G$3:$P$1102,10,FALSE)/90)))</f>
        <v>NR</v>
      </c>
      <c r="K73" s="169" t="str">
        <f>IF(SUM(VLOOKUP($C73,DATA_Depts[[#All],[COVID-19 Item List]:[SCL]],MATCH(K$6,DATA_Depts[[#Headers],[COVID-19 Item List]:[SCL]],0),FALSE)=0),IF(VLOOKUP(_xlfn.CONCAT(K$6,$C73),BurnRate!$G$3:$P$1102,10,FALSE)="NR","NR",0),VLOOKUP($C73,DATA_Depts[[#All],[COVID-19 Item List]:[SCL]],MATCH(K$6,DATA_Depts[[#Headers],[COVID-19 Item List]:[SCL]],0),FALSE))</f>
        <v>NR</v>
      </c>
      <c r="L73" s="148" t="str">
        <f>IF(VLOOKUP(_xlfn.CONCAT(K$6,$C73),BurnRate!$G$3:$P$1102,10,FALSE)="NR","NR",IF(K73="NR","NR",K73/(VLOOKUP(_xlfn.CONCAT(K$6,$C73),BurnRate!$G$3:$P$1102,10,FALSE)/90)))</f>
        <v>NR</v>
      </c>
      <c r="M73" s="169" t="str">
        <f>IF(SUM(VLOOKUP($C73,DATA_Depts[[#All],[COVID-19 Item List]:[SCL]],MATCH(M$6,DATA_Depts[[#Headers],[COVID-19 Item List]:[SCL]],0),FALSE)=0),IF(VLOOKUP(_xlfn.CONCAT(M$6,$C73),BurnRate!$G$3:$P$1102,10,FALSE)="NR","NR",0),VLOOKUP($C73,DATA_Depts[[#All],[COVID-19 Item List]:[SCL]],MATCH(M$6,DATA_Depts[[#Headers],[COVID-19 Item List]:[SCL]],0),FALSE))</f>
        <v>NR</v>
      </c>
      <c r="N73" s="148" t="str">
        <f>IF(VLOOKUP(_xlfn.CONCAT(M$6,$C73),BurnRate!$G$3:$P$1102,10,FALSE)="NR","NR",IF(M73="NR","NR",M73/(VLOOKUP(_xlfn.CONCAT(M$6,$C73),BurnRate!$G$3:$P$1102,10,FALSE)/90)))</f>
        <v>NR</v>
      </c>
      <c r="O73" s="169" t="str">
        <f>IF(SUM(VLOOKUP($C73,DATA_Depts[[#All],[COVID-19 Item List]:[SCL]],MATCH(O$6,DATA_Depts[[#Headers],[COVID-19 Item List]:[SCL]],0),FALSE)=0),IF(VLOOKUP(_xlfn.CONCAT(O$6,$C73),BurnRate!$G$3:$P$1102,10,FALSE)="NR","NR",0),VLOOKUP($C73,DATA_Depts[[#All],[COVID-19 Item List]:[SCL]],MATCH(O$6,DATA_Depts[[#Headers],[COVID-19 Item List]:[SCL]],0),FALSE))</f>
        <v>NR</v>
      </c>
      <c r="P73" s="148" t="str">
        <f>IF(VLOOKUP(_xlfn.CONCAT(O$6,$C73),BurnRate!$G$3:$P$1102,10,FALSE)="NR","NR",IF(O73="NR","NR",O73/(VLOOKUP(_xlfn.CONCAT(O$6,$C73),BurnRate!$G$3:$P$1102,10,FALSE)/90)))</f>
        <v>NR</v>
      </c>
      <c r="Q73" s="169" t="str">
        <f>IF(SUM(VLOOKUP($C73,DATA_Depts[[#All],[COVID-19 Item List]:[SCL]],MATCH(Q$6,DATA_Depts[[#Headers],[COVID-19 Item List]:[SCL]],0),FALSE)=0),IF(VLOOKUP(_xlfn.CONCAT(Q$6,$C73),BurnRate!$G$3:$P$1102,10,FALSE)="NR","NR",0),VLOOKUP($C73,DATA_Depts[[#All],[COVID-19 Item List]:[SCL]],MATCH(Q$6,DATA_Depts[[#Headers],[COVID-19 Item List]:[SCL]],0),FALSE))</f>
        <v>NR</v>
      </c>
      <c r="R73" s="148" t="str">
        <f>IF(VLOOKUP(_xlfn.CONCAT(Q$6,$C73),BurnRate!$G$3:$P$1102,10,FALSE)="NR","NR",IF(Q73="NR","NR",Q73/(VLOOKUP(_xlfn.CONCAT(Q$6,$C73),BurnRate!$G$3:$P$1102,10,FALSE)/90)))</f>
        <v>NR</v>
      </c>
      <c r="S73" s="169" t="str">
        <f>IF(SUM(VLOOKUP($C73,DATA_Depts[[#All],[COVID-19 Item List]:[SCL]],MATCH(S$6,DATA_Depts[[#Headers],[COVID-19 Item List]:[SCL]],0),FALSE)=0),IF(VLOOKUP(_xlfn.CONCAT(S$6,$C73),BurnRate!$G$3:$P$1102,10,FALSE)="NR","NR",0),VLOOKUP($C73,DATA_Depts[[#All],[COVID-19 Item List]:[SCL]],MATCH(S$6,DATA_Depts[[#Headers],[COVID-19 Item List]:[SCL]],0),FALSE))</f>
        <v>NR</v>
      </c>
      <c r="T73" s="148" t="str">
        <f>IF(VLOOKUP(_xlfn.CONCAT(S$6,$C73),BurnRate!$G$3:$P$1102,10,FALSE)="NR","NR",IF(S73="NR","NR",S73/(VLOOKUP(_xlfn.CONCAT(S$6,$C73),BurnRate!$G$3:$P$1102,10,FALSE)/90)))</f>
        <v>NR</v>
      </c>
      <c r="U73" s="169" t="str">
        <f>IF(SUM(VLOOKUP($C73,DATA_Depts[[#All],[COVID-19 Item List]:[SCL]],MATCH(U$6,DATA_Depts[[#Headers],[COVID-19 Item List]:[SCL]],0),FALSE)=0),IF(VLOOKUP(_xlfn.CONCAT(U$6,$C73),BurnRate!$G$3:$P$1102,10,FALSE)="NR","NR",0),VLOOKUP($C73,DATA_Depts[[#All],[COVID-19 Item List]:[SCL]],MATCH(U$6,DATA_Depts[[#Headers],[COVID-19 Item List]:[SCL]],0),FALSE))</f>
        <v>NR</v>
      </c>
      <c r="V73" s="148" t="str">
        <f>IF(VLOOKUP(_xlfn.CONCAT(U$6,$C73),BurnRate!$G$3:$P$1102,10,FALSE)="NR","NR",IF(U73="NR","NR",U73/(VLOOKUP(_xlfn.CONCAT(U$6,$C73),BurnRate!$G$3:$P$1102,10,FALSE)/90)))</f>
        <v>NR</v>
      </c>
      <c r="W73" s="169" t="str">
        <f>IF(SUM(VLOOKUP($C73,DATA_Depts[[#All],[COVID-19 Item List]:[SCL]],MATCH(W$6,DATA_Depts[[#Headers],[COVID-19 Item List]:[SCL]],0),FALSE)=0),IF(VLOOKUP(_xlfn.CONCAT(W$6,$C73),BurnRate!$G$3:$P$1102,10,FALSE)="NR","NR",0),VLOOKUP($C73,DATA_Depts[[#All],[COVID-19 Item List]:[SCL]],MATCH(W$6,DATA_Depts[[#Headers],[COVID-19 Item List]:[SCL]],0),FALSE))</f>
        <v>NR</v>
      </c>
      <c r="X73" s="148" t="str">
        <f>IF(VLOOKUP(_xlfn.CONCAT(W$6,$C73),BurnRate!$G$3:$P$1102,10,FALSE)="NR","NR",IF(W73="NR","NR",W73/(VLOOKUP(_xlfn.CONCAT(W$6,$C73),BurnRate!$G$3:$P$1102,10,FALSE)/90)))</f>
        <v>NR</v>
      </c>
      <c r="Y73" s="169" t="str">
        <f>IF(SUM(VLOOKUP($C73,DATA_Depts[[#All],[COVID-19 Item List]:[SCL]],MATCH(Y$6,DATA_Depts[[#Headers],[COVID-19 Item List]:[SCL]],0),FALSE)=0),IF(VLOOKUP(_xlfn.CONCAT(Y$6,$C73),BurnRate!$G$3:$P$1102,10,FALSE)="NR","NR",0),VLOOKUP($C73,DATA_Depts[[#All],[COVID-19 Item List]:[SCL]],MATCH(Y$6,DATA_Depts[[#Headers],[COVID-19 Item List]:[SCL]],0),FALSE))</f>
        <v>NR</v>
      </c>
      <c r="Z73" s="148" t="str">
        <f>IF(VLOOKUP(_xlfn.CONCAT(Y$6,$C73),BurnRate!$G$3:$P$1102,10,FALSE)="NR","NR",IF(Y73="NR","NR",Y73/(VLOOKUP(_xlfn.CONCAT(Y$6,$C73),BurnRate!$G$3:$P$1102,10,FALSE)/90)))</f>
        <v>NR</v>
      </c>
    </row>
    <row r="74" spans="2:26" s="43" customFormat="1" ht="11" hidden="1">
      <c r="B74" s="46">
        <v>67</v>
      </c>
      <c r="C74" s="47" t="str">
        <f>_xlfn.SINGLE(VLOOKUP(B74,DisplayOrder[#All],2,FALSE))</f>
        <v>Reserved-67</v>
      </c>
      <c r="D74" s="116" t="str">
        <f>_xlfn.SINGLE(VLOOKUP(B74,DisplayOrder!A:C,3,FALSE))</f>
        <v>each</v>
      </c>
      <c r="E74" s="117" t="str">
        <f>IF(VLOOKUP(_xlfn.CONCAT(E$6,$C74),BurnRate!$G$3:$P$1102,10,FALSE)="NR",IF(SUMIF(FAS_Centralized!K:K,C74,FAS_Centralized!N:N)=0,"NR",SUMIF(FAS_Centralized!K:K,C74,FAS_Centralized!N:N)),SUMIF(FAS_Centralized!K:K,C74,FAS_Centralized!N:N))</f>
        <v>NR</v>
      </c>
      <c r="F74" s="148" t="str">
        <f>IF(VLOOKUP(_xlfn.CONCAT(E$6,$C74),BurnRate!$G$3:$P$1102,10,FALSE)="NR","NR",IF(E74="NR","NR",E74/(VLOOKUP(_xlfn.CONCAT(E$6,$C74),BurnRate!$G$3:$P$1102,10,FALSE)/90)))</f>
        <v>NR</v>
      </c>
      <c r="G74" s="169" t="str">
        <f>IF(SUM(VLOOKUP($C74,DATA_Depts[[#All],[COVID-19 Item List]:[SCL]],MATCH(G$6,DATA_Depts[[#Headers],[COVID-19 Item List]:[SCL]],0),FALSE)=0),IF(VLOOKUP(_xlfn.CONCAT(G$6,$C74),BurnRate!$G$3:$P$1102,10,FALSE)="NR","NR",0),VLOOKUP($C74,DATA_Depts[[#All],[COVID-19 Item List]:[SCL]],MATCH(G$6,DATA_Depts[[#Headers],[COVID-19 Item List]:[SCL]],0),FALSE))</f>
        <v>NR</v>
      </c>
      <c r="H74" s="148" t="str">
        <f>IF(VLOOKUP(_xlfn.CONCAT(G$6,$C74),BurnRate!$G$3:$P$1102,10,FALSE)="NR","NR",IF(G74="NR","NR",G74/(VLOOKUP(_xlfn.CONCAT(G$6,$C74),BurnRate!$G$3:$P$1102,10,FALSE)/90)))</f>
        <v>NR</v>
      </c>
      <c r="I74" s="169" t="str">
        <f>IF(SUM(VLOOKUP($C74,DATA_Depts[[#All],[COVID-19 Item List]:[SCL]],MATCH(I$6,DATA_Depts[[#Headers],[COVID-19 Item List]:[SCL]],0),FALSE)=0),IF(VLOOKUP(_xlfn.CONCAT(I$6,$C74),BurnRate!$G$3:$P$1102,10,FALSE)="NR","NR",0),VLOOKUP($C74,DATA_Depts[[#All],[COVID-19 Item List]:[SCL]],MATCH(I$6,DATA_Depts[[#Headers],[COVID-19 Item List]:[SCL]],0),FALSE))</f>
        <v>NR</v>
      </c>
      <c r="J74" s="148" t="str">
        <f>IF(VLOOKUP(_xlfn.CONCAT(I$6,$C74),BurnRate!$G$3:$P$1102,10,FALSE)="NR","NR",IF(I74="NR","NR",I74/(VLOOKUP(_xlfn.CONCAT(I$6,$C74),BurnRate!$G$3:$P$1102,10,FALSE)/90)))</f>
        <v>NR</v>
      </c>
      <c r="K74" s="169" t="str">
        <f>IF(SUM(VLOOKUP($C74,DATA_Depts[[#All],[COVID-19 Item List]:[SCL]],MATCH(K$6,DATA_Depts[[#Headers],[COVID-19 Item List]:[SCL]],0),FALSE)=0),IF(VLOOKUP(_xlfn.CONCAT(K$6,$C74),BurnRate!$G$3:$P$1102,10,FALSE)="NR","NR",0),VLOOKUP($C74,DATA_Depts[[#All],[COVID-19 Item List]:[SCL]],MATCH(K$6,DATA_Depts[[#Headers],[COVID-19 Item List]:[SCL]],0),FALSE))</f>
        <v>NR</v>
      </c>
      <c r="L74" s="148" t="str">
        <f>IF(VLOOKUP(_xlfn.CONCAT(K$6,$C74),BurnRate!$G$3:$P$1102,10,FALSE)="NR","NR",IF(K74="NR","NR",K74/(VLOOKUP(_xlfn.CONCAT(K$6,$C74),BurnRate!$G$3:$P$1102,10,FALSE)/90)))</f>
        <v>NR</v>
      </c>
      <c r="M74" s="169" t="str">
        <f>IF(SUM(VLOOKUP($C74,DATA_Depts[[#All],[COVID-19 Item List]:[SCL]],MATCH(M$6,DATA_Depts[[#Headers],[COVID-19 Item List]:[SCL]],0),FALSE)=0),IF(VLOOKUP(_xlfn.CONCAT(M$6,$C74),BurnRate!$G$3:$P$1102,10,FALSE)="NR","NR",0),VLOOKUP($C74,DATA_Depts[[#All],[COVID-19 Item List]:[SCL]],MATCH(M$6,DATA_Depts[[#Headers],[COVID-19 Item List]:[SCL]],0),FALSE))</f>
        <v>NR</v>
      </c>
      <c r="N74" s="148" t="str">
        <f>IF(VLOOKUP(_xlfn.CONCAT(M$6,$C74),BurnRate!$G$3:$P$1102,10,FALSE)="NR","NR",IF(M74="NR","NR",M74/(VLOOKUP(_xlfn.CONCAT(M$6,$C74),BurnRate!$G$3:$P$1102,10,FALSE)/90)))</f>
        <v>NR</v>
      </c>
      <c r="O74" s="169" t="str">
        <f>IF(SUM(VLOOKUP($C74,DATA_Depts[[#All],[COVID-19 Item List]:[SCL]],MATCH(O$6,DATA_Depts[[#Headers],[COVID-19 Item List]:[SCL]],0),FALSE)=0),IF(VLOOKUP(_xlfn.CONCAT(O$6,$C74),BurnRate!$G$3:$P$1102,10,FALSE)="NR","NR",0),VLOOKUP($C74,DATA_Depts[[#All],[COVID-19 Item List]:[SCL]],MATCH(O$6,DATA_Depts[[#Headers],[COVID-19 Item List]:[SCL]],0),FALSE))</f>
        <v>NR</v>
      </c>
      <c r="P74" s="148" t="str">
        <f>IF(VLOOKUP(_xlfn.CONCAT(O$6,$C74),BurnRate!$G$3:$P$1102,10,FALSE)="NR","NR",IF(O74="NR","NR",O74/(VLOOKUP(_xlfn.CONCAT(O$6,$C74),BurnRate!$G$3:$P$1102,10,FALSE)/90)))</f>
        <v>NR</v>
      </c>
      <c r="Q74" s="169" t="str">
        <f>IF(SUM(VLOOKUP($C74,DATA_Depts[[#All],[COVID-19 Item List]:[SCL]],MATCH(Q$6,DATA_Depts[[#Headers],[COVID-19 Item List]:[SCL]],0),FALSE)=0),IF(VLOOKUP(_xlfn.CONCAT(Q$6,$C74),BurnRate!$G$3:$P$1102,10,FALSE)="NR","NR",0),VLOOKUP($C74,DATA_Depts[[#All],[COVID-19 Item List]:[SCL]],MATCH(Q$6,DATA_Depts[[#Headers],[COVID-19 Item List]:[SCL]],0),FALSE))</f>
        <v>NR</v>
      </c>
      <c r="R74" s="148" t="str">
        <f>IF(VLOOKUP(_xlfn.CONCAT(Q$6,$C74),BurnRate!$G$3:$P$1102,10,FALSE)="NR","NR",IF(Q74="NR","NR",Q74/(VLOOKUP(_xlfn.CONCAT(Q$6,$C74),BurnRate!$G$3:$P$1102,10,FALSE)/90)))</f>
        <v>NR</v>
      </c>
      <c r="S74" s="169" t="str">
        <f>IF(SUM(VLOOKUP($C74,DATA_Depts[[#All],[COVID-19 Item List]:[SCL]],MATCH(S$6,DATA_Depts[[#Headers],[COVID-19 Item List]:[SCL]],0),FALSE)=0),IF(VLOOKUP(_xlfn.CONCAT(S$6,$C74),BurnRate!$G$3:$P$1102,10,FALSE)="NR","NR",0),VLOOKUP($C74,DATA_Depts[[#All],[COVID-19 Item List]:[SCL]],MATCH(S$6,DATA_Depts[[#Headers],[COVID-19 Item List]:[SCL]],0),FALSE))</f>
        <v>NR</v>
      </c>
      <c r="T74" s="148" t="str">
        <f>IF(VLOOKUP(_xlfn.CONCAT(S$6,$C74),BurnRate!$G$3:$P$1102,10,FALSE)="NR","NR",IF(S74="NR","NR",S74/(VLOOKUP(_xlfn.CONCAT(S$6,$C74),BurnRate!$G$3:$P$1102,10,FALSE)/90)))</f>
        <v>NR</v>
      </c>
      <c r="U74" s="169" t="str">
        <f>IF(SUM(VLOOKUP($C74,DATA_Depts[[#All],[COVID-19 Item List]:[SCL]],MATCH(U$6,DATA_Depts[[#Headers],[COVID-19 Item List]:[SCL]],0),FALSE)=0),IF(VLOOKUP(_xlfn.CONCAT(U$6,$C74),BurnRate!$G$3:$P$1102,10,FALSE)="NR","NR",0),VLOOKUP($C74,DATA_Depts[[#All],[COVID-19 Item List]:[SCL]],MATCH(U$6,DATA_Depts[[#Headers],[COVID-19 Item List]:[SCL]],0),FALSE))</f>
        <v>NR</v>
      </c>
      <c r="V74" s="148" t="str">
        <f>IF(VLOOKUP(_xlfn.CONCAT(U$6,$C74),BurnRate!$G$3:$P$1102,10,FALSE)="NR","NR",IF(U74="NR","NR",U74/(VLOOKUP(_xlfn.CONCAT(U$6,$C74),BurnRate!$G$3:$P$1102,10,FALSE)/90)))</f>
        <v>NR</v>
      </c>
      <c r="W74" s="169" t="str">
        <f>IF(SUM(VLOOKUP($C74,DATA_Depts[[#All],[COVID-19 Item List]:[SCL]],MATCH(W$6,DATA_Depts[[#Headers],[COVID-19 Item List]:[SCL]],0),FALSE)=0),IF(VLOOKUP(_xlfn.CONCAT(W$6,$C74),BurnRate!$G$3:$P$1102,10,FALSE)="NR","NR",0),VLOOKUP($C74,DATA_Depts[[#All],[COVID-19 Item List]:[SCL]],MATCH(W$6,DATA_Depts[[#Headers],[COVID-19 Item List]:[SCL]],0),FALSE))</f>
        <v>NR</v>
      </c>
      <c r="X74" s="148" t="str">
        <f>IF(VLOOKUP(_xlfn.CONCAT(W$6,$C74),BurnRate!$G$3:$P$1102,10,FALSE)="NR","NR",IF(W74="NR","NR",W74/(VLOOKUP(_xlfn.CONCAT(W$6,$C74),BurnRate!$G$3:$P$1102,10,FALSE)/90)))</f>
        <v>NR</v>
      </c>
      <c r="Y74" s="169" t="str">
        <f>IF(SUM(VLOOKUP($C74,DATA_Depts[[#All],[COVID-19 Item List]:[SCL]],MATCH(Y$6,DATA_Depts[[#Headers],[COVID-19 Item List]:[SCL]],0),FALSE)=0),IF(VLOOKUP(_xlfn.CONCAT(Y$6,$C74),BurnRate!$G$3:$P$1102,10,FALSE)="NR","NR",0),VLOOKUP($C74,DATA_Depts[[#All],[COVID-19 Item List]:[SCL]],MATCH(Y$6,DATA_Depts[[#Headers],[COVID-19 Item List]:[SCL]],0),FALSE))</f>
        <v>NR</v>
      </c>
      <c r="Z74" s="148" t="str">
        <f>IF(VLOOKUP(_xlfn.CONCAT(Y$6,$C74),BurnRate!$G$3:$P$1102,10,FALSE)="NR","NR",IF(Y74="NR","NR",Y74/(VLOOKUP(_xlfn.CONCAT(Y$6,$C74),BurnRate!$G$3:$P$1102,10,FALSE)/90)))</f>
        <v>NR</v>
      </c>
    </row>
    <row r="75" spans="2:26" s="43" customFormat="1" ht="11" hidden="1">
      <c r="B75" s="46">
        <v>68</v>
      </c>
      <c r="C75" s="47" t="str">
        <f>_xlfn.SINGLE(VLOOKUP(B75,DisplayOrder[#All],2,FALSE))</f>
        <v>Reserved-68</v>
      </c>
      <c r="D75" s="116" t="str">
        <f>_xlfn.SINGLE(VLOOKUP(B75,DisplayOrder!A:C,3,FALSE))</f>
        <v>each</v>
      </c>
      <c r="E75" s="117" t="str">
        <f>IF(VLOOKUP(_xlfn.CONCAT(E$6,$C75),BurnRate!$G$3:$P$1102,10,FALSE)="NR",IF(SUMIF(FAS_Centralized!K:K,C75,FAS_Centralized!N:N)=0,"NR",SUMIF(FAS_Centralized!K:K,C75,FAS_Centralized!N:N)),SUMIF(FAS_Centralized!K:K,C75,FAS_Centralized!N:N))</f>
        <v>NR</v>
      </c>
      <c r="F75" s="148" t="str">
        <f>IF(VLOOKUP(_xlfn.CONCAT(E$6,$C75),BurnRate!$G$3:$P$1102,10,FALSE)="NR","NR",IF(E75="NR","NR",E75/(VLOOKUP(_xlfn.CONCAT(E$6,$C75),BurnRate!$G$3:$P$1102,10,FALSE)/90)))</f>
        <v>NR</v>
      </c>
      <c r="G75" s="169" t="str">
        <f>IF(SUM(VLOOKUP($C75,DATA_Depts[[#All],[COVID-19 Item List]:[SCL]],MATCH(G$6,DATA_Depts[[#Headers],[COVID-19 Item List]:[SCL]],0),FALSE)=0),IF(VLOOKUP(_xlfn.CONCAT(G$6,$C75),BurnRate!$G$3:$P$1102,10,FALSE)="NR","NR",0),VLOOKUP($C75,DATA_Depts[[#All],[COVID-19 Item List]:[SCL]],MATCH(G$6,DATA_Depts[[#Headers],[COVID-19 Item List]:[SCL]],0),FALSE))</f>
        <v>NR</v>
      </c>
      <c r="H75" s="148" t="str">
        <f>IF(VLOOKUP(_xlfn.CONCAT(G$6,$C75),BurnRate!$G$3:$P$1102,10,FALSE)="NR","NR",IF(G75="NR","NR",G75/(VLOOKUP(_xlfn.CONCAT(G$6,$C75),BurnRate!$G$3:$P$1102,10,FALSE)/90)))</f>
        <v>NR</v>
      </c>
      <c r="I75" s="169" t="str">
        <f>IF(SUM(VLOOKUP($C75,DATA_Depts[[#All],[COVID-19 Item List]:[SCL]],MATCH(I$6,DATA_Depts[[#Headers],[COVID-19 Item List]:[SCL]],0),FALSE)=0),IF(VLOOKUP(_xlfn.CONCAT(I$6,$C75),BurnRate!$G$3:$P$1102,10,FALSE)="NR","NR",0),VLOOKUP($C75,DATA_Depts[[#All],[COVID-19 Item List]:[SCL]],MATCH(I$6,DATA_Depts[[#Headers],[COVID-19 Item List]:[SCL]],0),FALSE))</f>
        <v>NR</v>
      </c>
      <c r="J75" s="148" t="str">
        <f>IF(VLOOKUP(_xlfn.CONCAT(I$6,$C75),BurnRate!$G$3:$P$1102,10,FALSE)="NR","NR",IF(I75="NR","NR",I75/(VLOOKUP(_xlfn.CONCAT(I$6,$C75),BurnRate!$G$3:$P$1102,10,FALSE)/90)))</f>
        <v>NR</v>
      </c>
      <c r="K75" s="169" t="str">
        <f>IF(SUM(VLOOKUP($C75,DATA_Depts[[#All],[COVID-19 Item List]:[SCL]],MATCH(K$6,DATA_Depts[[#Headers],[COVID-19 Item List]:[SCL]],0),FALSE)=0),IF(VLOOKUP(_xlfn.CONCAT(K$6,$C75),BurnRate!$G$3:$P$1102,10,FALSE)="NR","NR",0),VLOOKUP($C75,DATA_Depts[[#All],[COVID-19 Item List]:[SCL]],MATCH(K$6,DATA_Depts[[#Headers],[COVID-19 Item List]:[SCL]],0),FALSE))</f>
        <v>NR</v>
      </c>
      <c r="L75" s="148" t="str">
        <f>IF(VLOOKUP(_xlfn.CONCAT(K$6,$C75),BurnRate!$G$3:$P$1102,10,FALSE)="NR","NR",IF(K75="NR","NR",K75/(VLOOKUP(_xlfn.CONCAT(K$6,$C75),BurnRate!$G$3:$P$1102,10,FALSE)/90)))</f>
        <v>NR</v>
      </c>
      <c r="M75" s="169" t="str">
        <f>IF(SUM(VLOOKUP($C75,DATA_Depts[[#All],[COVID-19 Item List]:[SCL]],MATCH(M$6,DATA_Depts[[#Headers],[COVID-19 Item List]:[SCL]],0),FALSE)=0),IF(VLOOKUP(_xlfn.CONCAT(M$6,$C75),BurnRate!$G$3:$P$1102,10,FALSE)="NR","NR",0),VLOOKUP($C75,DATA_Depts[[#All],[COVID-19 Item List]:[SCL]],MATCH(M$6,DATA_Depts[[#Headers],[COVID-19 Item List]:[SCL]],0),FALSE))</f>
        <v>NR</v>
      </c>
      <c r="N75" s="148" t="str">
        <f>IF(VLOOKUP(_xlfn.CONCAT(M$6,$C75),BurnRate!$G$3:$P$1102,10,FALSE)="NR","NR",IF(M75="NR","NR",M75/(VLOOKUP(_xlfn.CONCAT(M$6,$C75),BurnRate!$G$3:$P$1102,10,FALSE)/90)))</f>
        <v>NR</v>
      </c>
      <c r="O75" s="169" t="str">
        <f>IF(SUM(VLOOKUP($C75,DATA_Depts[[#All],[COVID-19 Item List]:[SCL]],MATCH(O$6,DATA_Depts[[#Headers],[COVID-19 Item List]:[SCL]],0),FALSE)=0),IF(VLOOKUP(_xlfn.CONCAT(O$6,$C75),BurnRate!$G$3:$P$1102,10,FALSE)="NR","NR",0),VLOOKUP($C75,DATA_Depts[[#All],[COVID-19 Item List]:[SCL]],MATCH(O$6,DATA_Depts[[#Headers],[COVID-19 Item List]:[SCL]],0),FALSE))</f>
        <v>NR</v>
      </c>
      <c r="P75" s="148" t="str">
        <f>IF(VLOOKUP(_xlfn.CONCAT(O$6,$C75),BurnRate!$G$3:$P$1102,10,FALSE)="NR","NR",IF(O75="NR","NR",O75/(VLOOKUP(_xlfn.CONCAT(O$6,$C75),BurnRate!$G$3:$P$1102,10,FALSE)/90)))</f>
        <v>NR</v>
      </c>
      <c r="Q75" s="169" t="str">
        <f>IF(SUM(VLOOKUP($C75,DATA_Depts[[#All],[COVID-19 Item List]:[SCL]],MATCH(Q$6,DATA_Depts[[#Headers],[COVID-19 Item List]:[SCL]],0),FALSE)=0),IF(VLOOKUP(_xlfn.CONCAT(Q$6,$C75),BurnRate!$G$3:$P$1102,10,FALSE)="NR","NR",0),VLOOKUP($C75,DATA_Depts[[#All],[COVID-19 Item List]:[SCL]],MATCH(Q$6,DATA_Depts[[#Headers],[COVID-19 Item List]:[SCL]],0),FALSE))</f>
        <v>NR</v>
      </c>
      <c r="R75" s="148" t="str">
        <f>IF(VLOOKUP(_xlfn.CONCAT(Q$6,$C75),BurnRate!$G$3:$P$1102,10,FALSE)="NR","NR",IF(Q75="NR","NR",Q75/(VLOOKUP(_xlfn.CONCAT(Q$6,$C75),BurnRate!$G$3:$P$1102,10,FALSE)/90)))</f>
        <v>NR</v>
      </c>
      <c r="S75" s="169" t="str">
        <f>IF(SUM(VLOOKUP($C75,DATA_Depts[[#All],[COVID-19 Item List]:[SCL]],MATCH(S$6,DATA_Depts[[#Headers],[COVID-19 Item List]:[SCL]],0),FALSE)=0),IF(VLOOKUP(_xlfn.CONCAT(S$6,$C75),BurnRate!$G$3:$P$1102,10,FALSE)="NR","NR",0),VLOOKUP($C75,DATA_Depts[[#All],[COVID-19 Item List]:[SCL]],MATCH(S$6,DATA_Depts[[#Headers],[COVID-19 Item List]:[SCL]],0),FALSE))</f>
        <v>NR</v>
      </c>
      <c r="T75" s="148" t="str">
        <f>IF(VLOOKUP(_xlfn.CONCAT(S$6,$C75),BurnRate!$G$3:$P$1102,10,FALSE)="NR","NR",IF(S75="NR","NR",S75/(VLOOKUP(_xlfn.CONCAT(S$6,$C75),BurnRate!$G$3:$P$1102,10,FALSE)/90)))</f>
        <v>NR</v>
      </c>
      <c r="U75" s="169" t="str">
        <f>IF(SUM(VLOOKUP($C75,DATA_Depts[[#All],[COVID-19 Item List]:[SCL]],MATCH(U$6,DATA_Depts[[#Headers],[COVID-19 Item List]:[SCL]],0),FALSE)=0),IF(VLOOKUP(_xlfn.CONCAT(U$6,$C75),BurnRate!$G$3:$P$1102,10,FALSE)="NR","NR",0),VLOOKUP($C75,DATA_Depts[[#All],[COVID-19 Item List]:[SCL]],MATCH(U$6,DATA_Depts[[#Headers],[COVID-19 Item List]:[SCL]],0),FALSE))</f>
        <v>NR</v>
      </c>
      <c r="V75" s="148" t="str">
        <f>IF(VLOOKUP(_xlfn.CONCAT(U$6,$C75),BurnRate!$G$3:$P$1102,10,FALSE)="NR","NR",IF(U75="NR","NR",U75/(VLOOKUP(_xlfn.CONCAT(U$6,$C75),BurnRate!$G$3:$P$1102,10,FALSE)/90)))</f>
        <v>NR</v>
      </c>
      <c r="W75" s="169" t="str">
        <f>IF(SUM(VLOOKUP($C75,DATA_Depts[[#All],[COVID-19 Item List]:[SCL]],MATCH(W$6,DATA_Depts[[#Headers],[COVID-19 Item List]:[SCL]],0),FALSE)=0),IF(VLOOKUP(_xlfn.CONCAT(W$6,$C75),BurnRate!$G$3:$P$1102,10,FALSE)="NR","NR",0),VLOOKUP($C75,DATA_Depts[[#All],[COVID-19 Item List]:[SCL]],MATCH(W$6,DATA_Depts[[#Headers],[COVID-19 Item List]:[SCL]],0),FALSE))</f>
        <v>NR</v>
      </c>
      <c r="X75" s="148" t="str">
        <f>IF(VLOOKUP(_xlfn.CONCAT(W$6,$C75),BurnRate!$G$3:$P$1102,10,FALSE)="NR","NR",IF(W75="NR","NR",W75/(VLOOKUP(_xlfn.CONCAT(W$6,$C75),BurnRate!$G$3:$P$1102,10,FALSE)/90)))</f>
        <v>NR</v>
      </c>
      <c r="Y75" s="169" t="str">
        <f>IF(SUM(VLOOKUP($C75,DATA_Depts[[#All],[COVID-19 Item List]:[SCL]],MATCH(Y$6,DATA_Depts[[#Headers],[COVID-19 Item List]:[SCL]],0),FALSE)=0),IF(VLOOKUP(_xlfn.CONCAT(Y$6,$C75),BurnRate!$G$3:$P$1102,10,FALSE)="NR","NR",0),VLOOKUP($C75,DATA_Depts[[#All],[COVID-19 Item List]:[SCL]],MATCH(Y$6,DATA_Depts[[#Headers],[COVID-19 Item List]:[SCL]],0),FALSE))</f>
        <v>NR</v>
      </c>
      <c r="Z75" s="148" t="str">
        <f>IF(VLOOKUP(_xlfn.CONCAT(Y$6,$C75),BurnRate!$G$3:$P$1102,10,FALSE)="NR","NR",IF(Y75="NR","NR",Y75/(VLOOKUP(_xlfn.CONCAT(Y$6,$C75),BurnRate!$G$3:$P$1102,10,FALSE)/90)))</f>
        <v>NR</v>
      </c>
    </row>
    <row r="76" spans="2:26" s="43" customFormat="1" ht="11" hidden="1">
      <c r="B76" s="46">
        <v>69</v>
      </c>
      <c r="C76" s="47" t="str">
        <f>_xlfn.SINGLE(VLOOKUP(B76,DisplayOrder[#All],2,FALSE))</f>
        <v>Reserved-69</v>
      </c>
      <c r="D76" s="116" t="str">
        <f>_xlfn.SINGLE(VLOOKUP(B76,DisplayOrder!A:C,3,FALSE))</f>
        <v>each</v>
      </c>
      <c r="E76" s="117" t="str">
        <f>IF(VLOOKUP(_xlfn.CONCAT(E$6,$C76),BurnRate!$G$3:$P$1102,10,FALSE)="NR",IF(SUMIF(FAS_Centralized!K:K,C76,FAS_Centralized!N:N)=0,"NR",SUMIF(FAS_Centralized!K:K,C76,FAS_Centralized!N:N)),SUMIF(FAS_Centralized!K:K,C76,FAS_Centralized!N:N))</f>
        <v>NR</v>
      </c>
      <c r="F76" s="148" t="str">
        <f>IF(VLOOKUP(_xlfn.CONCAT(E$6,$C76),BurnRate!$G$3:$P$1102,10,FALSE)="NR","NR",IF(E76="NR","NR",E76/(VLOOKUP(_xlfn.CONCAT(E$6,$C76),BurnRate!$G$3:$P$1102,10,FALSE)/90)))</f>
        <v>NR</v>
      </c>
      <c r="G76" s="169" t="str">
        <f>IF(SUM(VLOOKUP($C76,DATA_Depts[[#All],[COVID-19 Item List]:[SCL]],MATCH(G$6,DATA_Depts[[#Headers],[COVID-19 Item List]:[SCL]],0),FALSE)=0),IF(VLOOKUP(_xlfn.CONCAT(G$6,$C76),BurnRate!$G$3:$P$1102,10,FALSE)="NR","NR",0),VLOOKUP($C76,DATA_Depts[[#All],[COVID-19 Item List]:[SCL]],MATCH(G$6,DATA_Depts[[#Headers],[COVID-19 Item List]:[SCL]],0),FALSE))</f>
        <v>NR</v>
      </c>
      <c r="H76" s="148" t="str">
        <f>IF(VLOOKUP(_xlfn.CONCAT(G$6,$C76),BurnRate!$G$3:$P$1102,10,FALSE)="NR","NR",IF(G76="NR","NR",G76/(VLOOKUP(_xlfn.CONCAT(G$6,$C76),BurnRate!$G$3:$P$1102,10,FALSE)/90)))</f>
        <v>NR</v>
      </c>
      <c r="I76" s="169" t="str">
        <f>IF(SUM(VLOOKUP($C76,DATA_Depts[[#All],[COVID-19 Item List]:[SCL]],MATCH(I$6,DATA_Depts[[#Headers],[COVID-19 Item List]:[SCL]],0),FALSE)=0),IF(VLOOKUP(_xlfn.CONCAT(I$6,$C76),BurnRate!$G$3:$P$1102,10,FALSE)="NR","NR",0),VLOOKUP($C76,DATA_Depts[[#All],[COVID-19 Item List]:[SCL]],MATCH(I$6,DATA_Depts[[#Headers],[COVID-19 Item List]:[SCL]],0),FALSE))</f>
        <v>NR</v>
      </c>
      <c r="J76" s="148" t="str">
        <f>IF(VLOOKUP(_xlfn.CONCAT(I$6,$C76),BurnRate!$G$3:$P$1102,10,FALSE)="NR","NR",IF(I76="NR","NR",I76/(VLOOKUP(_xlfn.CONCAT(I$6,$C76),BurnRate!$G$3:$P$1102,10,FALSE)/90)))</f>
        <v>NR</v>
      </c>
      <c r="K76" s="169" t="str">
        <f>IF(SUM(VLOOKUP($C76,DATA_Depts[[#All],[COVID-19 Item List]:[SCL]],MATCH(K$6,DATA_Depts[[#Headers],[COVID-19 Item List]:[SCL]],0),FALSE)=0),IF(VLOOKUP(_xlfn.CONCAT(K$6,$C76),BurnRate!$G$3:$P$1102,10,FALSE)="NR","NR",0),VLOOKUP($C76,DATA_Depts[[#All],[COVID-19 Item List]:[SCL]],MATCH(K$6,DATA_Depts[[#Headers],[COVID-19 Item List]:[SCL]],0),FALSE))</f>
        <v>NR</v>
      </c>
      <c r="L76" s="148" t="str">
        <f>IF(VLOOKUP(_xlfn.CONCAT(K$6,$C76),BurnRate!$G$3:$P$1102,10,FALSE)="NR","NR",IF(K76="NR","NR",K76/(VLOOKUP(_xlfn.CONCAT(K$6,$C76),BurnRate!$G$3:$P$1102,10,FALSE)/90)))</f>
        <v>NR</v>
      </c>
      <c r="M76" s="169" t="str">
        <f>IF(SUM(VLOOKUP($C76,DATA_Depts[[#All],[COVID-19 Item List]:[SCL]],MATCH(M$6,DATA_Depts[[#Headers],[COVID-19 Item List]:[SCL]],0),FALSE)=0),IF(VLOOKUP(_xlfn.CONCAT(M$6,$C76),BurnRate!$G$3:$P$1102,10,FALSE)="NR","NR",0),VLOOKUP($C76,DATA_Depts[[#All],[COVID-19 Item List]:[SCL]],MATCH(M$6,DATA_Depts[[#Headers],[COVID-19 Item List]:[SCL]],0),FALSE))</f>
        <v>NR</v>
      </c>
      <c r="N76" s="148" t="str">
        <f>IF(VLOOKUP(_xlfn.CONCAT(M$6,$C76),BurnRate!$G$3:$P$1102,10,FALSE)="NR","NR",IF(M76="NR","NR",M76/(VLOOKUP(_xlfn.CONCAT(M$6,$C76),BurnRate!$G$3:$P$1102,10,FALSE)/90)))</f>
        <v>NR</v>
      </c>
      <c r="O76" s="169" t="str">
        <f>IF(SUM(VLOOKUP($C76,DATA_Depts[[#All],[COVID-19 Item List]:[SCL]],MATCH(O$6,DATA_Depts[[#Headers],[COVID-19 Item List]:[SCL]],0),FALSE)=0),IF(VLOOKUP(_xlfn.CONCAT(O$6,$C76),BurnRate!$G$3:$P$1102,10,FALSE)="NR","NR",0),VLOOKUP($C76,DATA_Depts[[#All],[COVID-19 Item List]:[SCL]],MATCH(O$6,DATA_Depts[[#Headers],[COVID-19 Item List]:[SCL]],0),FALSE))</f>
        <v>NR</v>
      </c>
      <c r="P76" s="148" t="str">
        <f>IF(VLOOKUP(_xlfn.CONCAT(O$6,$C76),BurnRate!$G$3:$P$1102,10,FALSE)="NR","NR",IF(O76="NR","NR",O76/(VLOOKUP(_xlfn.CONCAT(O$6,$C76),BurnRate!$G$3:$P$1102,10,FALSE)/90)))</f>
        <v>NR</v>
      </c>
      <c r="Q76" s="169" t="str">
        <f>IF(SUM(VLOOKUP($C76,DATA_Depts[[#All],[COVID-19 Item List]:[SCL]],MATCH(Q$6,DATA_Depts[[#Headers],[COVID-19 Item List]:[SCL]],0),FALSE)=0),IF(VLOOKUP(_xlfn.CONCAT(Q$6,$C76),BurnRate!$G$3:$P$1102,10,FALSE)="NR","NR",0),VLOOKUP($C76,DATA_Depts[[#All],[COVID-19 Item List]:[SCL]],MATCH(Q$6,DATA_Depts[[#Headers],[COVID-19 Item List]:[SCL]],0),FALSE))</f>
        <v>NR</v>
      </c>
      <c r="R76" s="148" t="str">
        <f>IF(VLOOKUP(_xlfn.CONCAT(Q$6,$C76),BurnRate!$G$3:$P$1102,10,FALSE)="NR","NR",IF(Q76="NR","NR",Q76/(VLOOKUP(_xlfn.CONCAT(Q$6,$C76),BurnRate!$G$3:$P$1102,10,FALSE)/90)))</f>
        <v>NR</v>
      </c>
      <c r="S76" s="169" t="str">
        <f>IF(SUM(VLOOKUP($C76,DATA_Depts[[#All],[COVID-19 Item List]:[SCL]],MATCH(S$6,DATA_Depts[[#Headers],[COVID-19 Item List]:[SCL]],0),FALSE)=0),IF(VLOOKUP(_xlfn.CONCAT(S$6,$C76),BurnRate!$G$3:$P$1102,10,FALSE)="NR","NR",0),VLOOKUP($C76,DATA_Depts[[#All],[COVID-19 Item List]:[SCL]],MATCH(S$6,DATA_Depts[[#Headers],[COVID-19 Item List]:[SCL]],0),FALSE))</f>
        <v>NR</v>
      </c>
      <c r="T76" s="148" t="str">
        <f>IF(VLOOKUP(_xlfn.CONCAT(S$6,$C76),BurnRate!$G$3:$P$1102,10,FALSE)="NR","NR",IF(S76="NR","NR",S76/(VLOOKUP(_xlfn.CONCAT(S$6,$C76),BurnRate!$G$3:$P$1102,10,FALSE)/90)))</f>
        <v>NR</v>
      </c>
      <c r="U76" s="169" t="str">
        <f>IF(SUM(VLOOKUP($C76,DATA_Depts[[#All],[COVID-19 Item List]:[SCL]],MATCH(U$6,DATA_Depts[[#Headers],[COVID-19 Item List]:[SCL]],0),FALSE)=0),IF(VLOOKUP(_xlfn.CONCAT(U$6,$C76),BurnRate!$G$3:$P$1102,10,FALSE)="NR","NR",0),VLOOKUP($C76,DATA_Depts[[#All],[COVID-19 Item List]:[SCL]],MATCH(U$6,DATA_Depts[[#Headers],[COVID-19 Item List]:[SCL]],0),FALSE))</f>
        <v>NR</v>
      </c>
      <c r="V76" s="148" t="str">
        <f>IF(VLOOKUP(_xlfn.CONCAT(U$6,$C76),BurnRate!$G$3:$P$1102,10,FALSE)="NR","NR",IF(U76="NR","NR",U76/(VLOOKUP(_xlfn.CONCAT(U$6,$C76),BurnRate!$G$3:$P$1102,10,FALSE)/90)))</f>
        <v>NR</v>
      </c>
      <c r="W76" s="169" t="str">
        <f>IF(SUM(VLOOKUP($C76,DATA_Depts[[#All],[COVID-19 Item List]:[SCL]],MATCH(W$6,DATA_Depts[[#Headers],[COVID-19 Item List]:[SCL]],0),FALSE)=0),IF(VLOOKUP(_xlfn.CONCAT(W$6,$C76),BurnRate!$G$3:$P$1102,10,FALSE)="NR","NR",0),VLOOKUP($C76,DATA_Depts[[#All],[COVID-19 Item List]:[SCL]],MATCH(W$6,DATA_Depts[[#Headers],[COVID-19 Item List]:[SCL]],0),FALSE))</f>
        <v>NR</v>
      </c>
      <c r="X76" s="148" t="str">
        <f>IF(VLOOKUP(_xlfn.CONCAT(W$6,$C76),BurnRate!$G$3:$P$1102,10,FALSE)="NR","NR",IF(W76="NR","NR",W76/(VLOOKUP(_xlfn.CONCAT(W$6,$C76),BurnRate!$G$3:$P$1102,10,FALSE)/90)))</f>
        <v>NR</v>
      </c>
      <c r="Y76" s="169" t="str">
        <f>IF(SUM(VLOOKUP($C76,DATA_Depts[[#All],[COVID-19 Item List]:[SCL]],MATCH(Y$6,DATA_Depts[[#Headers],[COVID-19 Item List]:[SCL]],0),FALSE)=0),IF(VLOOKUP(_xlfn.CONCAT(Y$6,$C76),BurnRate!$G$3:$P$1102,10,FALSE)="NR","NR",0),VLOOKUP($C76,DATA_Depts[[#All],[COVID-19 Item List]:[SCL]],MATCH(Y$6,DATA_Depts[[#Headers],[COVID-19 Item List]:[SCL]],0),FALSE))</f>
        <v>NR</v>
      </c>
      <c r="Z76" s="148" t="str">
        <f>IF(VLOOKUP(_xlfn.CONCAT(Y$6,$C76),BurnRate!$G$3:$P$1102,10,FALSE)="NR","NR",IF(Y76="NR","NR",Y76/(VLOOKUP(_xlfn.CONCAT(Y$6,$C76),BurnRate!$G$3:$P$1102,10,FALSE)/90)))</f>
        <v>NR</v>
      </c>
    </row>
    <row r="77" spans="2:26" s="43" customFormat="1" ht="11" hidden="1">
      <c r="B77" s="46">
        <v>70</v>
      </c>
      <c r="C77" s="47" t="str">
        <f>_xlfn.SINGLE(VLOOKUP(B77,DisplayOrder[#All],2,FALSE))</f>
        <v>Reserved-70</v>
      </c>
      <c r="D77" s="116" t="str">
        <f>_xlfn.SINGLE(VLOOKUP(B77,DisplayOrder!A:C,3,FALSE))</f>
        <v>each</v>
      </c>
      <c r="E77" s="117" t="str">
        <f>IF(VLOOKUP(_xlfn.CONCAT(E$6,$C77),BurnRate!$G$3:$P$1102,10,FALSE)="NR",IF(SUMIF(FAS_Centralized!K:K,C77,FAS_Centralized!N:N)=0,"NR",SUMIF(FAS_Centralized!K:K,C77,FAS_Centralized!N:N)),SUMIF(FAS_Centralized!K:K,C77,FAS_Centralized!N:N))</f>
        <v>NR</v>
      </c>
      <c r="F77" s="148" t="str">
        <f>IF(VLOOKUP(_xlfn.CONCAT(E$6,$C77),BurnRate!$G$3:$P$1102,10,FALSE)="NR","NR",IF(E77="NR","NR",E77/(VLOOKUP(_xlfn.CONCAT(E$6,$C77),BurnRate!$G$3:$P$1102,10,FALSE)/90)))</f>
        <v>NR</v>
      </c>
      <c r="G77" s="169" t="str">
        <f>IF(SUM(VLOOKUP($C77,DATA_Depts[[#All],[COVID-19 Item List]:[SCL]],MATCH(G$6,DATA_Depts[[#Headers],[COVID-19 Item List]:[SCL]],0),FALSE)=0),IF(VLOOKUP(_xlfn.CONCAT(G$6,$C77),BurnRate!$G$3:$P$1102,10,FALSE)="NR","NR",0),VLOOKUP($C77,DATA_Depts[[#All],[COVID-19 Item List]:[SCL]],MATCH(G$6,DATA_Depts[[#Headers],[COVID-19 Item List]:[SCL]],0),FALSE))</f>
        <v>NR</v>
      </c>
      <c r="H77" s="148" t="str">
        <f>IF(VLOOKUP(_xlfn.CONCAT(G$6,$C77),BurnRate!$G$3:$P$1102,10,FALSE)="NR","NR",IF(G77="NR","NR",G77/(VLOOKUP(_xlfn.CONCAT(G$6,$C77),BurnRate!$G$3:$P$1102,10,FALSE)/90)))</f>
        <v>NR</v>
      </c>
      <c r="I77" s="169" t="str">
        <f>IF(SUM(VLOOKUP($C77,DATA_Depts[[#All],[COVID-19 Item List]:[SCL]],MATCH(I$6,DATA_Depts[[#Headers],[COVID-19 Item List]:[SCL]],0),FALSE)=0),IF(VLOOKUP(_xlfn.CONCAT(I$6,$C77),BurnRate!$G$3:$P$1102,10,FALSE)="NR","NR",0),VLOOKUP($C77,DATA_Depts[[#All],[COVID-19 Item List]:[SCL]],MATCH(I$6,DATA_Depts[[#Headers],[COVID-19 Item List]:[SCL]],0),FALSE))</f>
        <v>NR</v>
      </c>
      <c r="J77" s="148" t="str">
        <f>IF(VLOOKUP(_xlfn.CONCAT(I$6,$C77),BurnRate!$G$3:$P$1102,10,FALSE)="NR","NR",IF(I77="NR","NR",I77/(VLOOKUP(_xlfn.CONCAT(I$6,$C77),BurnRate!$G$3:$P$1102,10,FALSE)/90)))</f>
        <v>NR</v>
      </c>
      <c r="K77" s="169" t="str">
        <f>IF(SUM(VLOOKUP($C77,DATA_Depts[[#All],[COVID-19 Item List]:[SCL]],MATCH(K$6,DATA_Depts[[#Headers],[COVID-19 Item List]:[SCL]],0),FALSE)=0),IF(VLOOKUP(_xlfn.CONCAT(K$6,$C77),BurnRate!$G$3:$P$1102,10,FALSE)="NR","NR",0),VLOOKUP($C77,DATA_Depts[[#All],[COVID-19 Item List]:[SCL]],MATCH(K$6,DATA_Depts[[#Headers],[COVID-19 Item List]:[SCL]],0),FALSE))</f>
        <v>NR</v>
      </c>
      <c r="L77" s="148" t="str">
        <f>IF(VLOOKUP(_xlfn.CONCAT(K$6,$C77),BurnRate!$G$3:$P$1102,10,FALSE)="NR","NR",IF(K77="NR","NR",K77/(VLOOKUP(_xlfn.CONCAT(K$6,$C77),BurnRate!$G$3:$P$1102,10,FALSE)/90)))</f>
        <v>NR</v>
      </c>
      <c r="M77" s="169" t="str">
        <f>IF(SUM(VLOOKUP($C77,DATA_Depts[[#All],[COVID-19 Item List]:[SCL]],MATCH(M$6,DATA_Depts[[#Headers],[COVID-19 Item List]:[SCL]],0),FALSE)=0),IF(VLOOKUP(_xlfn.CONCAT(M$6,$C77),BurnRate!$G$3:$P$1102,10,FALSE)="NR","NR",0),VLOOKUP($C77,DATA_Depts[[#All],[COVID-19 Item List]:[SCL]],MATCH(M$6,DATA_Depts[[#Headers],[COVID-19 Item List]:[SCL]],0),FALSE))</f>
        <v>NR</v>
      </c>
      <c r="N77" s="148" t="str">
        <f>IF(VLOOKUP(_xlfn.CONCAT(M$6,$C77),BurnRate!$G$3:$P$1102,10,FALSE)="NR","NR",IF(M77="NR","NR",M77/(VLOOKUP(_xlfn.CONCAT(M$6,$C77),BurnRate!$G$3:$P$1102,10,FALSE)/90)))</f>
        <v>NR</v>
      </c>
      <c r="O77" s="169" t="str">
        <f>IF(SUM(VLOOKUP($C77,DATA_Depts[[#All],[COVID-19 Item List]:[SCL]],MATCH(O$6,DATA_Depts[[#Headers],[COVID-19 Item List]:[SCL]],0),FALSE)=0),IF(VLOOKUP(_xlfn.CONCAT(O$6,$C77),BurnRate!$G$3:$P$1102,10,FALSE)="NR","NR",0),VLOOKUP($C77,DATA_Depts[[#All],[COVID-19 Item List]:[SCL]],MATCH(O$6,DATA_Depts[[#Headers],[COVID-19 Item List]:[SCL]],0),FALSE))</f>
        <v>NR</v>
      </c>
      <c r="P77" s="148" t="str">
        <f>IF(VLOOKUP(_xlfn.CONCAT(O$6,$C77),BurnRate!$G$3:$P$1102,10,FALSE)="NR","NR",IF(O77="NR","NR",O77/(VLOOKUP(_xlfn.CONCAT(O$6,$C77),BurnRate!$G$3:$P$1102,10,FALSE)/90)))</f>
        <v>NR</v>
      </c>
      <c r="Q77" s="169" t="str">
        <f>IF(SUM(VLOOKUP($C77,DATA_Depts[[#All],[COVID-19 Item List]:[SCL]],MATCH(Q$6,DATA_Depts[[#Headers],[COVID-19 Item List]:[SCL]],0),FALSE)=0),IF(VLOOKUP(_xlfn.CONCAT(Q$6,$C77),BurnRate!$G$3:$P$1102,10,FALSE)="NR","NR",0),VLOOKUP($C77,DATA_Depts[[#All],[COVID-19 Item List]:[SCL]],MATCH(Q$6,DATA_Depts[[#Headers],[COVID-19 Item List]:[SCL]],0),FALSE))</f>
        <v>NR</v>
      </c>
      <c r="R77" s="148" t="str">
        <f>IF(VLOOKUP(_xlfn.CONCAT(Q$6,$C77),BurnRate!$G$3:$P$1102,10,FALSE)="NR","NR",IF(Q77="NR","NR",Q77/(VLOOKUP(_xlfn.CONCAT(Q$6,$C77),BurnRate!$G$3:$P$1102,10,FALSE)/90)))</f>
        <v>NR</v>
      </c>
      <c r="S77" s="169" t="str">
        <f>IF(SUM(VLOOKUP($C77,DATA_Depts[[#All],[COVID-19 Item List]:[SCL]],MATCH(S$6,DATA_Depts[[#Headers],[COVID-19 Item List]:[SCL]],0),FALSE)=0),IF(VLOOKUP(_xlfn.CONCAT(S$6,$C77),BurnRate!$G$3:$P$1102,10,FALSE)="NR","NR",0),VLOOKUP($C77,DATA_Depts[[#All],[COVID-19 Item List]:[SCL]],MATCH(S$6,DATA_Depts[[#Headers],[COVID-19 Item List]:[SCL]],0),FALSE))</f>
        <v>NR</v>
      </c>
      <c r="T77" s="148" t="str">
        <f>IF(VLOOKUP(_xlfn.CONCAT(S$6,$C77),BurnRate!$G$3:$P$1102,10,FALSE)="NR","NR",IF(S77="NR","NR",S77/(VLOOKUP(_xlfn.CONCAT(S$6,$C77),BurnRate!$G$3:$P$1102,10,FALSE)/90)))</f>
        <v>NR</v>
      </c>
      <c r="U77" s="169" t="str">
        <f>IF(SUM(VLOOKUP($C77,DATA_Depts[[#All],[COVID-19 Item List]:[SCL]],MATCH(U$6,DATA_Depts[[#Headers],[COVID-19 Item List]:[SCL]],0),FALSE)=0),IF(VLOOKUP(_xlfn.CONCAT(U$6,$C77),BurnRate!$G$3:$P$1102,10,FALSE)="NR","NR",0),VLOOKUP($C77,DATA_Depts[[#All],[COVID-19 Item List]:[SCL]],MATCH(U$6,DATA_Depts[[#Headers],[COVID-19 Item List]:[SCL]],0),FALSE))</f>
        <v>NR</v>
      </c>
      <c r="V77" s="148" t="str">
        <f>IF(VLOOKUP(_xlfn.CONCAT(U$6,$C77),BurnRate!$G$3:$P$1102,10,FALSE)="NR","NR",IF(U77="NR","NR",U77/(VLOOKUP(_xlfn.CONCAT(U$6,$C77),BurnRate!$G$3:$P$1102,10,FALSE)/90)))</f>
        <v>NR</v>
      </c>
      <c r="W77" s="169" t="str">
        <f>IF(SUM(VLOOKUP($C77,DATA_Depts[[#All],[COVID-19 Item List]:[SCL]],MATCH(W$6,DATA_Depts[[#Headers],[COVID-19 Item List]:[SCL]],0),FALSE)=0),IF(VLOOKUP(_xlfn.CONCAT(W$6,$C77),BurnRate!$G$3:$P$1102,10,FALSE)="NR","NR",0),VLOOKUP($C77,DATA_Depts[[#All],[COVID-19 Item List]:[SCL]],MATCH(W$6,DATA_Depts[[#Headers],[COVID-19 Item List]:[SCL]],0),FALSE))</f>
        <v>NR</v>
      </c>
      <c r="X77" s="148" t="str">
        <f>IF(VLOOKUP(_xlfn.CONCAT(W$6,$C77),BurnRate!$G$3:$P$1102,10,FALSE)="NR","NR",IF(W77="NR","NR",W77/(VLOOKUP(_xlfn.CONCAT(W$6,$C77),BurnRate!$G$3:$P$1102,10,FALSE)/90)))</f>
        <v>NR</v>
      </c>
      <c r="Y77" s="169" t="str">
        <f>IF(SUM(VLOOKUP($C77,DATA_Depts[[#All],[COVID-19 Item List]:[SCL]],MATCH(Y$6,DATA_Depts[[#Headers],[COVID-19 Item List]:[SCL]],0),FALSE)=0),IF(VLOOKUP(_xlfn.CONCAT(Y$6,$C77),BurnRate!$G$3:$P$1102,10,FALSE)="NR","NR",0),VLOOKUP($C77,DATA_Depts[[#All],[COVID-19 Item List]:[SCL]],MATCH(Y$6,DATA_Depts[[#Headers],[COVID-19 Item List]:[SCL]],0),FALSE))</f>
        <v>NR</v>
      </c>
      <c r="Z77" s="148" t="str">
        <f>IF(VLOOKUP(_xlfn.CONCAT(Y$6,$C77),BurnRate!$G$3:$P$1102,10,FALSE)="NR","NR",IF(Y77="NR","NR",Y77/(VLOOKUP(_xlfn.CONCAT(Y$6,$C77),BurnRate!$G$3:$P$1102,10,FALSE)/90)))</f>
        <v>NR</v>
      </c>
    </row>
    <row r="78" spans="2:26" s="43" customFormat="1" ht="11" hidden="1">
      <c r="B78" s="46">
        <v>71</v>
      </c>
      <c r="C78" s="47" t="str">
        <f>_xlfn.SINGLE(VLOOKUP(B78,DisplayOrder[#All],2,FALSE))</f>
        <v>Reserved-71</v>
      </c>
      <c r="D78" s="116" t="str">
        <f>_xlfn.SINGLE(VLOOKUP(B78,DisplayOrder!A:C,3,FALSE))</f>
        <v>each</v>
      </c>
      <c r="E78" s="117" t="str">
        <f>IF(VLOOKUP(_xlfn.CONCAT(E$6,$C78),BurnRate!$G$3:$P$1102,10,FALSE)="NR",IF(SUMIF(FAS_Centralized!K:K,C78,FAS_Centralized!N:N)=0,"NR",SUMIF(FAS_Centralized!K:K,C78,FAS_Centralized!N:N)),SUMIF(FAS_Centralized!K:K,C78,FAS_Centralized!N:N))</f>
        <v>NR</v>
      </c>
      <c r="F78" s="148" t="str">
        <f>IF(VLOOKUP(_xlfn.CONCAT(E$6,$C78),BurnRate!$G$3:$P$1102,10,FALSE)="NR","NR",IF(E78="NR","NR",E78/(VLOOKUP(_xlfn.CONCAT(E$6,$C78),BurnRate!$G$3:$P$1102,10,FALSE)/90)))</f>
        <v>NR</v>
      </c>
      <c r="G78" s="169" t="str">
        <f>IF(SUM(VLOOKUP($C78,DATA_Depts[[#All],[COVID-19 Item List]:[SCL]],MATCH(G$6,DATA_Depts[[#Headers],[COVID-19 Item List]:[SCL]],0),FALSE)=0),IF(VLOOKUP(_xlfn.CONCAT(G$6,$C78),BurnRate!$G$3:$P$1102,10,FALSE)="NR","NR",0),VLOOKUP($C78,DATA_Depts[[#All],[COVID-19 Item List]:[SCL]],MATCH(G$6,DATA_Depts[[#Headers],[COVID-19 Item List]:[SCL]],0),FALSE))</f>
        <v>NR</v>
      </c>
      <c r="H78" s="148" t="str">
        <f>IF(VLOOKUP(_xlfn.CONCAT(G$6,$C78),BurnRate!$G$3:$P$1102,10,FALSE)="NR","NR",IF(G78="NR","NR",G78/(VLOOKUP(_xlfn.CONCAT(G$6,$C78),BurnRate!$G$3:$P$1102,10,FALSE)/90)))</f>
        <v>NR</v>
      </c>
      <c r="I78" s="169" t="str">
        <f>IF(SUM(VLOOKUP($C78,DATA_Depts[[#All],[COVID-19 Item List]:[SCL]],MATCH(I$6,DATA_Depts[[#Headers],[COVID-19 Item List]:[SCL]],0),FALSE)=0),IF(VLOOKUP(_xlfn.CONCAT(I$6,$C78),BurnRate!$G$3:$P$1102,10,FALSE)="NR","NR",0),VLOOKUP($C78,DATA_Depts[[#All],[COVID-19 Item List]:[SCL]],MATCH(I$6,DATA_Depts[[#Headers],[COVID-19 Item List]:[SCL]],0),FALSE))</f>
        <v>NR</v>
      </c>
      <c r="J78" s="148" t="str">
        <f>IF(VLOOKUP(_xlfn.CONCAT(I$6,$C78),BurnRate!$G$3:$P$1102,10,FALSE)="NR","NR",IF(I78="NR","NR",I78/(VLOOKUP(_xlfn.CONCAT(I$6,$C78),BurnRate!$G$3:$P$1102,10,FALSE)/90)))</f>
        <v>NR</v>
      </c>
      <c r="K78" s="169" t="str">
        <f>IF(SUM(VLOOKUP($C78,DATA_Depts[[#All],[COVID-19 Item List]:[SCL]],MATCH(K$6,DATA_Depts[[#Headers],[COVID-19 Item List]:[SCL]],0),FALSE)=0),IF(VLOOKUP(_xlfn.CONCAT(K$6,$C78),BurnRate!$G$3:$P$1102,10,FALSE)="NR","NR",0),VLOOKUP($C78,DATA_Depts[[#All],[COVID-19 Item List]:[SCL]],MATCH(K$6,DATA_Depts[[#Headers],[COVID-19 Item List]:[SCL]],0),FALSE))</f>
        <v>NR</v>
      </c>
      <c r="L78" s="148" t="str">
        <f>IF(VLOOKUP(_xlfn.CONCAT(K$6,$C78),BurnRate!$G$3:$P$1102,10,FALSE)="NR","NR",IF(K78="NR","NR",K78/(VLOOKUP(_xlfn.CONCAT(K$6,$C78),BurnRate!$G$3:$P$1102,10,FALSE)/90)))</f>
        <v>NR</v>
      </c>
      <c r="M78" s="169" t="str">
        <f>IF(SUM(VLOOKUP($C78,DATA_Depts[[#All],[COVID-19 Item List]:[SCL]],MATCH(M$6,DATA_Depts[[#Headers],[COVID-19 Item List]:[SCL]],0),FALSE)=0),IF(VLOOKUP(_xlfn.CONCAT(M$6,$C78),BurnRate!$G$3:$P$1102,10,FALSE)="NR","NR",0),VLOOKUP($C78,DATA_Depts[[#All],[COVID-19 Item List]:[SCL]],MATCH(M$6,DATA_Depts[[#Headers],[COVID-19 Item List]:[SCL]],0),FALSE))</f>
        <v>NR</v>
      </c>
      <c r="N78" s="148" t="str">
        <f>IF(VLOOKUP(_xlfn.CONCAT(M$6,$C78),BurnRate!$G$3:$P$1102,10,FALSE)="NR","NR",IF(M78="NR","NR",M78/(VLOOKUP(_xlfn.CONCAT(M$6,$C78),BurnRate!$G$3:$P$1102,10,FALSE)/90)))</f>
        <v>NR</v>
      </c>
      <c r="O78" s="169" t="str">
        <f>IF(SUM(VLOOKUP($C78,DATA_Depts[[#All],[COVID-19 Item List]:[SCL]],MATCH(O$6,DATA_Depts[[#Headers],[COVID-19 Item List]:[SCL]],0),FALSE)=0),IF(VLOOKUP(_xlfn.CONCAT(O$6,$C78),BurnRate!$G$3:$P$1102,10,FALSE)="NR","NR",0),VLOOKUP($C78,DATA_Depts[[#All],[COVID-19 Item List]:[SCL]],MATCH(O$6,DATA_Depts[[#Headers],[COVID-19 Item List]:[SCL]],0),FALSE))</f>
        <v>NR</v>
      </c>
      <c r="P78" s="148" t="str">
        <f>IF(VLOOKUP(_xlfn.CONCAT(O$6,$C78),BurnRate!$G$3:$P$1102,10,FALSE)="NR","NR",IF(O78="NR","NR",O78/(VLOOKUP(_xlfn.CONCAT(O$6,$C78),BurnRate!$G$3:$P$1102,10,FALSE)/90)))</f>
        <v>NR</v>
      </c>
      <c r="Q78" s="169" t="str">
        <f>IF(SUM(VLOOKUP($C78,DATA_Depts[[#All],[COVID-19 Item List]:[SCL]],MATCH(Q$6,DATA_Depts[[#Headers],[COVID-19 Item List]:[SCL]],0),FALSE)=0),IF(VLOOKUP(_xlfn.CONCAT(Q$6,$C78),BurnRate!$G$3:$P$1102,10,FALSE)="NR","NR",0),VLOOKUP($C78,DATA_Depts[[#All],[COVID-19 Item List]:[SCL]],MATCH(Q$6,DATA_Depts[[#Headers],[COVID-19 Item List]:[SCL]],0),FALSE))</f>
        <v>NR</v>
      </c>
      <c r="R78" s="148" t="str">
        <f>IF(VLOOKUP(_xlfn.CONCAT(Q$6,$C78),BurnRate!$G$3:$P$1102,10,FALSE)="NR","NR",IF(Q78="NR","NR",Q78/(VLOOKUP(_xlfn.CONCAT(Q$6,$C78),BurnRate!$G$3:$P$1102,10,FALSE)/90)))</f>
        <v>NR</v>
      </c>
      <c r="S78" s="169" t="str">
        <f>IF(SUM(VLOOKUP($C78,DATA_Depts[[#All],[COVID-19 Item List]:[SCL]],MATCH(S$6,DATA_Depts[[#Headers],[COVID-19 Item List]:[SCL]],0),FALSE)=0),IF(VLOOKUP(_xlfn.CONCAT(S$6,$C78),BurnRate!$G$3:$P$1102,10,FALSE)="NR","NR",0),VLOOKUP($C78,DATA_Depts[[#All],[COVID-19 Item List]:[SCL]],MATCH(S$6,DATA_Depts[[#Headers],[COVID-19 Item List]:[SCL]],0),FALSE))</f>
        <v>NR</v>
      </c>
      <c r="T78" s="148" t="str">
        <f>IF(VLOOKUP(_xlfn.CONCAT(S$6,$C78),BurnRate!$G$3:$P$1102,10,FALSE)="NR","NR",IF(S78="NR","NR",S78/(VLOOKUP(_xlfn.CONCAT(S$6,$C78),BurnRate!$G$3:$P$1102,10,FALSE)/90)))</f>
        <v>NR</v>
      </c>
      <c r="U78" s="169" t="str">
        <f>IF(SUM(VLOOKUP($C78,DATA_Depts[[#All],[COVID-19 Item List]:[SCL]],MATCH(U$6,DATA_Depts[[#Headers],[COVID-19 Item List]:[SCL]],0),FALSE)=0),IF(VLOOKUP(_xlfn.CONCAT(U$6,$C78),BurnRate!$G$3:$P$1102,10,FALSE)="NR","NR",0),VLOOKUP($C78,DATA_Depts[[#All],[COVID-19 Item List]:[SCL]],MATCH(U$6,DATA_Depts[[#Headers],[COVID-19 Item List]:[SCL]],0),FALSE))</f>
        <v>NR</v>
      </c>
      <c r="V78" s="148" t="str">
        <f>IF(VLOOKUP(_xlfn.CONCAT(U$6,$C78),BurnRate!$G$3:$P$1102,10,FALSE)="NR","NR",IF(U78="NR","NR",U78/(VLOOKUP(_xlfn.CONCAT(U$6,$C78),BurnRate!$G$3:$P$1102,10,FALSE)/90)))</f>
        <v>NR</v>
      </c>
      <c r="W78" s="169" t="str">
        <f>IF(SUM(VLOOKUP($C78,DATA_Depts[[#All],[COVID-19 Item List]:[SCL]],MATCH(W$6,DATA_Depts[[#Headers],[COVID-19 Item List]:[SCL]],0),FALSE)=0),IF(VLOOKUP(_xlfn.CONCAT(W$6,$C78),BurnRate!$G$3:$P$1102,10,FALSE)="NR","NR",0),VLOOKUP($C78,DATA_Depts[[#All],[COVID-19 Item List]:[SCL]],MATCH(W$6,DATA_Depts[[#Headers],[COVID-19 Item List]:[SCL]],0),FALSE))</f>
        <v>NR</v>
      </c>
      <c r="X78" s="148" t="str">
        <f>IF(VLOOKUP(_xlfn.CONCAT(W$6,$C78),BurnRate!$G$3:$P$1102,10,FALSE)="NR","NR",IF(W78="NR","NR",W78/(VLOOKUP(_xlfn.CONCAT(W$6,$C78),BurnRate!$G$3:$P$1102,10,FALSE)/90)))</f>
        <v>NR</v>
      </c>
      <c r="Y78" s="169" t="str">
        <f>IF(SUM(VLOOKUP($C78,DATA_Depts[[#All],[COVID-19 Item List]:[SCL]],MATCH(Y$6,DATA_Depts[[#Headers],[COVID-19 Item List]:[SCL]],0),FALSE)=0),IF(VLOOKUP(_xlfn.CONCAT(Y$6,$C78),BurnRate!$G$3:$P$1102,10,FALSE)="NR","NR",0),VLOOKUP($C78,DATA_Depts[[#All],[COVID-19 Item List]:[SCL]],MATCH(Y$6,DATA_Depts[[#Headers],[COVID-19 Item List]:[SCL]],0),FALSE))</f>
        <v>NR</v>
      </c>
      <c r="Z78" s="148" t="str">
        <f>IF(VLOOKUP(_xlfn.CONCAT(Y$6,$C78),BurnRate!$G$3:$P$1102,10,FALSE)="NR","NR",IF(Y78="NR","NR",Y78/(VLOOKUP(_xlfn.CONCAT(Y$6,$C78),BurnRate!$G$3:$P$1102,10,FALSE)/90)))</f>
        <v>NR</v>
      </c>
    </row>
    <row r="79" spans="2:26" s="43" customFormat="1" ht="11" hidden="1">
      <c r="B79" s="46">
        <v>72</v>
      </c>
      <c r="C79" s="47" t="str">
        <f>_xlfn.SINGLE(VLOOKUP(B79,DisplayOrder[#All],2,FALSE))</f>
        <v>Reserved-72</v>
      </c>
      <c r="D79" s="116" t="str">
        <f>_xlfn.SINGLE(VLOOKUP(B79,DisplayOrder!A:C,3,FALSE))</f>
        <v>each</v>
      </c>
      <c r="E79" s="117" t="str">
        <f>IF(VLOOKUP(_xlfn.CONCAT(E$6,$C79),BurnRate!$G$3:$P$1102,10,FALSE)="NR",IF(SUMIF(FAS_Centralized!K:K,C79,FAS_Centralized!N:N)=0,"NR",SUMIF(FAS_Centralized!K:K,C79,FAS_Centralized!N:N)),SUMIF(FAS_Centralized!K:K,C79,FAS_Centralized!N:N))</f>
        <v>NR</v>
      </c>
      <c r="F79" s="148" t="str">
        <f>IF(VLOOKUP(_xlfn.CONCAT(E$6,$C79),BurnRate!$G$3:$P$1102,10,FALSE)="NR","NR",IF(E79="NR","NR",E79/(VLOOKUP(_xlfn.CONCAT(E$6,$C79),BurnRate!$G$3:$P$1102,10,FALSE)/90)))</f>
        <v>NR</v>
      </c>
      <c r="G79" s="169" t="str">
        <f>IF(SUM(VLOOKUP($C79,DATA_Depts[[#All],[COVID-19 Item List]:[SCL]],MATCH(G$6,DATA_Depts[[#Headers],[COVID-19 Item List]:[SCL]],0),FALSE)=0),IF(VLOOKUP(_xlfn.CONCAT(G$6,$C79),BurnRate!$G$3:$P$1102,10,FALSE)="NR","NR",0),VLOOKUP($C79,DATA_Depts[[#All],[COVID-19 Item List]:[SCL]],MATCH(G$6,DATA_Depts[[#Headers],[COVID-19 Item List]:[SCL]],0),FALSE))</f>
        <v>NR</v>
      </c>
      <c r="H79" s="148" t="str">
        <f>IF(VLOOKUP(_xlfn.CONCAT(G$6,$C79),BurnRate!$G$3:$P$1102,10,FALSE)="NR","NR",IF(G79="NR","NR",G79/(VLOOKUP(_xlfn.CONCAT(G$6,$C79),BurnRate!$G$3:$P$1102,10,FALSE)/90)))</f>
        <v>NR</v>
      </c>
      <c r="I79" s="169" t="str">
        <f>IF(SUM(VLOOKUP($C79,DATA_Depts[[#All],[COVID-19 Item List]:[SCL]],MATCH(I$6,DATA_Depts[[#Headers],[COVID-19 Item List]:[SCL]],0),FALSE)=0),IF(VLOOKUP(_xlfn.CONCAT(I$6,$C79),BurnRate!$G$3:$P$1102,10,FALSE)="NR","NR",0),VLOOKUP($C79,DATA_Depts[[#All],[COVID-19 Item List]:[SCL]],MATCH(I$6,DATA_Depts[[#Headers],[COVID-19 Item List]:[SCL]],0),FALSE))</f>
        <v>NR</v>
      </c>
      <c r="J79" s="148" t="str">
        <f>IF(VLOOKUP(_xlfn.CONCAT(I$6,$C79),BurnRate!$G$3:$P$1102,10,FALSE)="NR","NR",IF(I79="NR","NR",I79/(VLOOKUP(_xlfn.CONCAT(I$6,$C79),BurnRate!$G$3:$P$1102,10,FALSE)/90)))</f>
        <v>NR</v>
      </c>
      <c r="K79" s="169" t="str">
        <f>IF(SUM(VLOOKUP($C79,DATA_Depts[[#All],[COVID-19 Item List]:[SCL]],MATCH(K$6,DATA_Depts[[#Headers],[COVID-19 Item List]:[SCL]],0),FALSE)=0),IF(VLOOKUP(_xlfn.CONCAT(K$6,$C79),BurnRate!$G$3:$P$1102,10,FALSE)="NR","NR",0),VLOOKUP($C79,DATA_Depts[[#All],[COVID-19 Item List]:[SCL]],MATCH(K$6,DATA_Depts[[#Headers],[COVID-19 Item List]:[SCL]],0),FALSE))</f>
        <v>NR</v>
      </c>
      <c r="L79" s="148" t="str">
        <f>IF(VLOOKUP(_xlfn.CONCAT(K$6,$C79),BurnRate!$G$3:$P$1102,10,FALSE)="NR","NR",IF(K79="NR","NR",K79/(VLOOKUP(_xlfn.CONCAT(K$6,$C79),BurnRate!$G$3:$P$1102,10,FALSE)/90)))</f>
        <v>NR</v>
      </c>
      <c r="M79" s="169" t="str">
        <f>IF(SUM(VLOOKUP($C79,DATA_Depts[[#All],[COVID-19 Item List]:[SCL]],MATCH(M$6,DATA_Depts[[#Headers],[COVID-19 Item List]:[SCL]],0),FALSE)=0),IF(VLOOKUP(_xlfn.CONCAT(M$6,$C79),BurnRate!$G$3:$P$1102,10,FALSE)="NR","NR",0),VLOOKUP($C79,DATA_Depts[[#All],[COVID-19 Item List]:[SCL]],MATCH(M$6,DATA_Depts[[#Headers],[COVID-19 Item List]:[SCL]],0),FALSE))</f>
        <v>NR</v>
      </c>
      <c r="N79" s="148" t="str">
        <f>IF(VLOOKUP(_xlfn.CONCAT(M$6,$C79),BurnRate!$G$3:$P$1102,10,FALSE)="NR","NR",IF(M79="NR","NR",M79/(VLOOKUP(_xlfn.CONCAT(M$6,$C79),BurnRate!$G$3:$P$1102,10,FALSE)/90)))</f>
        <v>NR</v>
      </c>
      <c r="O79" s="169" t="str">
        <f>IF(SUM(VLOOKUP($C79,DATA_Depts[[#All],[COVID-19 Item List]:[SCL]],MATCH(O$6,DATA_Depts[[#Headers],[COVID-19 Item List]:[SCL]],0),FALSE)=0),IF(VLOOKUP(_xlfn.CONCAT(O$6,$C79),BurnRate!$G$3:$P$1102,10,FALSE)="NR","NR",0),VLOOKUP($C79,DATA_Depts[[#All],[COVID-19 Item List]:[SCL]],MATCH(O$6,DATA_Depts[[#Headers],[COVID-19 Item List]:[SCL]],0),FALSE))</f>
        <v>NR</v>
      </c>
      <c r="P79" s="148" t="str">
        <f>IF(VLOOKUP(_xlfn.CONCAT(O$6,$C79),BurnRate!$G$3:$P$1102,10,FALSE)="NR","NR",IF(O79="NR","NR",O79/(VLOOKUP(_xlfn.CONCAT(O$6,$C79),BurnRate!$G$3:$P$1102,10,FALSE)/90)))</f>
        <v>NR</v>
      </c>
      <c r="Q79" s="169" t="str">
        <f>IF(SUM(VLOOKUP($C79,DATA_Depts[[#All],[COVID-19 Item List]:[SCL]],MATCH(Q$6,DATA_Depts[[#Headers],[COVID-19 Item List]:[SCL]],0),FALSE)=0),IF(VLOOKUP(_xlfn.CONCAT(Q$6,$C79),BurnRate!$G$3:$P$1102,10,FALSE)="NR","NR",0),VLOOKUP($C79,DATA_Depts[[#All],[COVID-19 Item List]:[SCL]],MATCH(Q$6,DATA_Depts[[#Headers],[COVID-19 Item List]:[SCL]],0),FALSE))</f>
        <v>NR</v>
      </c>
      <c r="R79" s="148" t="str">
        <f>IF(VLOOKUP(_xlfn.CONCAT(Q$6,$C79),BurnRate!$G$3:$P$1102,10,FALSE)="NR","NR",IF(Q79="NR","NR",Q79/(VLOOKUP(_xlfn.CONCAT(Q$6,$C79),BurnRate!$G$3:$P$1102,10,FALSE)/90)))</f>
        <v>NR</v>
      </c>
      <c r="S79" s="169" t="str">
        <f>IF(SUM(VLOOKUP($C79,DATA_Depts[[#All],[COVID-19 Item List]:[SCL]],MATCH(S$6,DATA_Depts[[#Headers],[COVID-19 Item List]:[SCL]],0),FALSE)=0),IF(VLOOKUP(_xlfn.CONCAT(S$6,$C79),BurnRate!$G$3:$P$1102,10,FALSE)="NR","NR",0),VLOOKUP($C79,DATA_Depts[[#All],[COVID-19 Item List]:[SCL]],MATCH(S$6,DATA_Depts[[#Headers],[COVID-19 Item List]:[SCL]],0),FALSE))</f>
        <v>NR</v>
      </c>
      <c r="T79" s="148" t="str">
        <f>IF(VLOOKUP(_xlfn.CONCAT(S$6,$C79),BurnRate!$G$3:$P$1102,10,FALSE)="NR","NR",IF(S79="NR","NR",S79/(VLOOKUP(_xlfn.CONCAT(S$6,$C79),BurnRate!$G$3:$P$1102,10,FALSE)/90)))</f>
        <v>NR</v>
      </c>
      <c r="U79" s="169" t="str">
        <f>IF(SUM(VLOOKUP($C79,DATA_Depts[[#All],[COVID-19 Item List]:[SCL]],MATCH(U$6,DATA_Depts[[#Headers],[COVID-19 Item List]:[SCL]],0),FALSE)=0),IF(VLOOKUP(_xlfn.CONCAT(U$6,$C79),BurnRate!$G$3:$P$1102,10,FALSE)="NR","NR",0),VLOOKUP($C79,DATA_Depts[[#All],[COVID-19 Item List]:[SCL]],MATCH(U$6,DATA_Depts[[#Headers],[COVID-19 Item List]:[SCL]],0),FALSE))</f>
        <v>NR</v>
      </c>
      <c r="V79" s="148" t="str">
        <f>IF(VLOOKUP(_xlfn.CONCAT(U$6,$C79),BurnRate!$G$3:$P$1102,10,FALSE)="NR","NR",IF(U79="NR","NR",U79/(VLOOKUP(_xlfn.CONCAT(U$6,$C79),BurnRate!$G$3:$P$1102,10,FALSE)/90)))</f>
        <v>NR</v>
      </c>
      <c r="W79" s="169" t="str">
        <f>IF(SUM(VLOOKUP($C79,DATA_Depts[[#All],[COVID-19 Item List]:[SCL]],MATCH(W$6,DATA_Depts[[#Headers],[COVID-19 Item List]:[SCL]],0),FALSE)=0),IF(VLOOKUP(_xlfn.CONCAT(W$6,$C79),BurnRate!$G$3:$P$1102,10,FALSE)="NR","NR",0),VLOOKUP($C79,DATA_Depts[[#All],[COVID-19 Item List]:[SCL]],MATCH(W$6,DATA_Depts[[#Headers],[COVID-19 Item List]:[SCL]],0),FALSE))</f>
        <v>NR</v>
      </c>
      <c r="X79" s="148" t="str">
        <f>IF(VLOOKUP(_xlfn.CONCAT(W$6,$C79),BurnRate!$G$3:$P$1102,10,FALSE)="NR","NR",IF(W79="NR","NR",W79/(VLOOKUP(_xlfn.CONCAT(W$6,$C79),BurnRate!$G$3:$P$1102,10,FALSE)/90)))</f>
        <v>NR</v>
      </c>
      <c r="Y79" s="169" t="str">
        <f>IF(SUM(VLOOKUP($C79,DATA_Depts[[#All],[COVID-19 Item List]:[SCL]],MATCH(Y$6,DATA_Depts[[#Headers],[COVID-19 Item List]:[SCL]],0),FALSE)=0),IF(VLOOKUP(_xlfn.CONCAT(Y$6,$C79),BurnRate!$G$3:$P$1102,10,FALSE)="NR","NR",0),VLOOKUP($C79,DATA_Depts[[#All],[COVID-19 Item List]:[SCL]],MATCH(Y$6,DATA_Depts[[#Headers],[COVID-19 Item List]:[SCL]],0),FALSE))</f>
        <v>NR</v>
      </c>
      <c r="Z79" s="148" t="str">
        <f>IF(VLOOKUP(_xlfn.CONCAT(Y$6,$C79),BurnRate!$G$3:$P$1102,10,FALSE)="NR","NR",IF(Y79="NR","NR",Y79/(VLOOKUP(_xlfn.CONCAT(Y$6,$C79),BurnRate!$G$3:$P$1102,10,FALSE)/90)))</f>
        <v>NR</v>
      </c>
    </row>
    <row r="80" spans="2:26" s="43" customFormat="1" ht="11" hidden="1">
      <c r="B80" s="46">
        <v>73</v>
      </c>
      <c r="C80" s="47" t="str">
        <f>_xlfn.SINGLE(VLOOKUP(B80,DisplayOrder[#All],2,FALSE))</f>
        <v>Reserved-73</v>
      </c>
      <c r="D80" s="116" t="str">
        <f>_xlfn.SINGLE(VLOOKUP(B80,DisplayOrder!A:C,3,FALSE))</f>
        <v>each</v>
      </c>
      <c r="E80" s="117" t="str">
        <f>IF(VLOOKUP(_xlfn.CONCAT(E$6,$C80),BurnRate!$G$3:$P$1102,10,FALSE)="NR",IF(SUMIF(FAS_Centralized!K:K,C80,FAS_Centralized!N:N)=0,"NR",SUMIF(FAS_Centralized!K:K,C80,FAS_Centralized!N:N)),SUMIF(FAS_Centralized!K:K,C80,FAS_Centralized!N:N))</f>
        <v>NR</v>
      </c>
      <c r="F80" s="148" t="str">
        <f>IF(VLOOKUP(_xlfn.CONCAT(E$6,$C80),BurnRate!$G$3:$P$1102,10,FALSE)="NR","NR",IF(E80="NR","NR",E80/(VLOOKUP(_xlfn.CONCAT(E$6,$C80),BurnRate!$G$3:$P$1102,10,FALSE)/90)))</f>
        <v>NR</v>
      </c>
      <c r="G80" s="169" t="str">
        <f>IF(SUM(VLOOKUP($C80,DATA_Depts[[#All],[COVID-19 Item List]:[SCL]],MATCH(G$6,DATA_Depts[[#Headers],[COVID-19 Item List]:[SCL]],0),FALSE)=0),IF(VLOOKUP(_xlfn.CONCAT(G$6,$C80),BurnRate!$G$3:$P$1102,10,FALSE)="NR","NR",0),VLOOKUP($C80,DATA_Depts[[#All],[COVID-19 Item List]:[SCL]],MATCH(G$6,DATA_Depts[[#Headers],[COVID-19 Item List]:[SCL]],0),FALSE))</f>
        <v>NR</v>
      </c>
      <c r="H80" s="148" t="str">
        <f>IF(VLOOKUP(_xlfn.CONCAT(G$6,$C80),BurnRate!$G$3:$P$1102,10,FALSE)="NR","NR",IF(G80="NR","NR",G80/(VLOOKUP(_xlfn.CONCAT(G$6,$C80),BurnRate!$G$3:$P$1102,10,FALSE)/90)))</f>
        <v>NR</v>
      </c>
      <c r="I80" s="169" t="str">
        <f>IF(SUM(VLOOKUP($C80,DATA_Depts[[#All],[COVID-19 Item List]:[SCL]],MATCH(I$6,DATA_Depts[[#Headers],[COVID-19 Item List]:[SCL]],0),FALSE)=0),IF(VLOOKUP(_xlfn.CONCAT(I$6,$C80),BurnRate!$G$3:$P$1102,10,FALSE)="NR","NR",0),VLOOKUP($C80,DATA_Depts[[#All],[COVID-19 Item List]:[SCL]],MATCH(I$6,DATA_Depts[[#Headers],[COVID-19 Item List]:[SCL]],0),FALSE))</f>
        <v>NR</v>
      </c>
      <c r="J80" s="148" t="str">
        <f>IF(VLOOKUP(_xlfn.CONCAT(I$6,$C80),BurnRate!$G$3:$P$1102,10,FALSE)="NR","NR",IF(I80="NR","NR",I80/(VLOOKUP(_xlfn.CONCAT(I$6,$C80),BurnRate!$G$3:$P$1102,10,FALSE)/90)))</f>
        <v>NR</v>
      </c>
      <c r="K80" s="169" t="str">
        <f>IF(SUM(VLOOKUP($C80,DATA_Depts[[#All],[COVID-19 Item List]:[SCL]],MATCH(K$6,DATA_Depts[[#Headers],[COVID-19 Item List]:[SCL]],0),FALSE)=0),IF(VLOOKUP(_xlfn.CONCAT(K$6,$C80),BurnRate!$G$3:$P$1102,10,FALSE)="NR","NR",0),VLOOKUP($C80,DATA_Depts[[#All],[COVID-19 Item List]:[SCL]],MATCH(K$6,DATA_Depts[[#Headers],[COVID-19 Item List]:[SCL]],0),FALSE))</f>
        <v>NR</v>
      </c>
      <c r="L80" s="148" t="str">
        <f>IF(VLOOKUP(_xlfn.CONCAT(K$6,$C80),BurnRate!$G$3:$P$1102,10,FALSE)="NR","NR",IF(K80="NR","NR",K80/(VLOOKUP(_xlfn.CONCAT(K$6,$C80),BurnRate!$G$3:$P$1102,10,FALSE)/90)))</f>
        <v>NR</v>
      </c>
      <c r="M80" s="169" t="str">
        <f>IF(SUM(VLOOKUP($C80,DATA_Depts[[#All],[COVID-19 Item List]:[SCL]],MATCH(M$6,DATA_Depts[[#Headers],[COVID-19 Item List]:[SCL]],0),FALSE)=0),IF(VLOOKUP(_xlfn.CONCAT(M$6,$C80),BurnRate!$G$3:$P$1102,10,FALSE)="NR","NR",0),VLOOKUP($C80,DATA_Depts[[#All],[COVID-19 Item List]:[SCL]],MATCH(M$6,DATA_Depts[[#Headers],[COVID-19 Item List]:[SCL]],0),FALSE))</f>
        <v>NR</v>
      </c>
      <c r="N80" s="148" t="str">
        <f>IF(VLOOKUP(_xlfn.CONCAT(M$6,$C80),BurnRate!$G$3:$P$1102,10,FALSE)="NR","NR",IF(M80="NR","NR",M80/(VLOOKUP(_xlfn.CONCAT(M$6,$C80),BurnRate!$G$3:$P$1102,10,FALSE)/90)))</f>
        <v>NR</v>
      </c>
      <c r="O80" s="169" t="str">
        <f>IF(SUM(VLOOKUP($C80,DATA_Depts[[#All],[COVID-19 Item List]:[SCL]],MATCH(O$6,DATA_Depts[[#Headers],[COVID-19 Item List]:[SCL]],0),FALSE)=0),IF(VLOOKUP(_xlfn.CONCAT(O$6,$C80),BurnRate!$G$3:$P$1102,10,FALSE)="NR","NR",0),VLOOKUP($C80,DATA_Depts[[#All],[COVID-19 Item List]:[SCL]],MATCH(O$6,DATA_Depts[[#Headers],[COVID-19 Item List]:[SCL]],0),FALSE))</f>
        <v>NR</v>
      </c>
      <c r="P80" s="148" t="str">
        <f>IF(VLOOKUP(_xlfn.CONCAT(O$6,$C80),BurnRate!$G$3:$P$1102,10,FALSE)="NR","NR",IF(O80="NR","NR",O80/(VLOOKUP(_xlfn.CONCAT(O$6,$C80),BurnRate!$G$3:$P$1102,10,FALSE)/90)))</f>
        <v>NR</v>
      </c>
      <c r="Q80" s="169" t="str">
        <f>IF(SUM(VLOOKUP($C80,DATA_Depts[[#All],[COVID-19 Item List]:[SCL]],MATCH(Q$6,DATA_Depts[[#Headers],[COVID-19 Item List]:[SCL]],0),FALSE)=0),IF(VLOOKUP(_xlfn.CONCAT(Q$6,$C80),BurnRate!$G$3:$P$1102,10,FALSE)="NR","NR",0),VLOOKUP($C80,DATA_Depts[[#All],[COVID-19 Item List]:[SCL]],MATCH(Q$6,DATA_Depts[[#Headers],[COVID-19 Item List]:[SCL]],0),FALSE))</f>
        <v>NR</v>
      </c>
      <c r="R80" s="148" t="str">
        <f>IF(VLOOKUP(_xlfn.CONCAT(Q$6,$C80),BurnRate!$G$3:$P$1102,10,FALSE)="NR","NR",IF(Q80="NR","NR",Q80/(VLOOKUP(_xlfn.CONCAT(Q$6,$C80),BurnRate!$G$3:$P$1102,10,FALSE)/90)))</f>
        <v>NR</v>
      </c>
      <c r="S80" s="169" t="str">
        <f>IF(SUM(VLOOKUP($C80,DATA_Depts[[#All],[COVID-19 Item List]:[SCL]],MATCH(S$6,DATA_Depts[[#Headers],[COVID-19 Item List]:[SCL]],0),FALSE)=0),IF(VLOOKUP(_xlfn.CONCAT(S$6,$C80),BurnRate!$G$3:$P$1102,10,FALSE)="NR","NR",0),VLOOKUP($C80,DATA_Depts[[#All],[COVID-19 Item List]:[SCL]],MATCH(S$6,DATA_Depts[[#Headers],[COVID-19 Item List]:[SCL]],0),FALSE))</f>
        <v>NR</v>
      </c>
      <c r="T80" s="148" t="str">
        <f>IF(VLOOKUP(_xlfn.CONCAT(S$6,$C80),BurnRate!$G$3:$P$1102,10,FALSE)="NR","NR",IF(S80="NR","NR",S80/(VLOOKUP(_xlfn.CONCAT(S$6,$C80),BurnRate!$G$3:$P$1102,10,FALSE)/90)))</f>
        <v>NR</v>
      </c>
      <c r="U80" s="169" t="str">
        <f>IF(SUM(VLOOKUP($C80,DATA_Depts[[#All],[COVID-19 Item List]:[SCL]],MATCH(U$6,DATA_Depts[[#Headers],[COVID-19 Item List]:[SCL]],0),FALSE)=0),IF(VLOOKUP(_xlfn.CONCAT(U$6,$C80),BurnRate!$G$3:$P$1102,10,FALSE)="NR","NR",0),VLOOKUP($C80,DATA_Depts[[#All],[COVID-19 Item List]:[SCL]],MATCH(U$6,DATA_Depts[[#Headers],[COVID-19 Item List]:[SCL]],0),FALSE))</f>
        <v>NR</v>
      </c>
      <c r="V80" s="148" t="str">
        <f>IF(VLOOKUP(_xlfn.CONCAT(U$6,$C80),BurnRate!$G$3:$P$1102,10,FALSE)="NR","NR",IF(U80="NR","NR",U80/(VLOOKUP(_xlfn.CONCAT(U$6,$C80),BurnRate!$G$3:$P$1102,10,FALSE)/90)))</f>
        <v>NR</v>
      </c>
      <c r="W80" s="169" t="str">
        <f>IF(SUM(VLOOKUP($C80,DATA_Depts[[#All],[COVID-19 Item List]:[SCL]],MATCH(W$6,DATA_Depts[[#Headers],[COVID-19 Item List]:[SCL]],0),FALSE)=0),IF(VLOOKUP(_xlfn.CONCAT(W$6,$C80),BurnRate!$G$3:$P$1102,10,FALSE)="NR","NR",0),VLOOKUP($C80,DATA_Depts[[#All],[COVID-19 Item List]:[SCL]],MATCH(W$6,DATA_Depts[[#Headers],[COVID-19 Item List]:[SCL]],0),FALSE))</f>
        <v>NR</v>
      </c>
      <c r="X80" s="148" t="str">
        <f>IF(VLOOKUP(_xlfn.CONCAT(W$6,$C80),BurnRate!$G$3:$P$1102,10,FALSE)="NR","NR",IF(W80="NR","NR",W80/(VLOOKUP(_xlfn.CONCAT(W$6,$C80),BurnRate!$G$3:$P$1102,10,FALSE)/90)))</f>
        <v>NR</v>
      </c>
      <c r="Y80" s="169" t="str">
        <f>IF(SUM(VLOOKUP($C80,DATA_Depts[[#All],[COVID-19 Item List]:[SCL]],MATCH(Y$6,DATA_Depts[[#Headers],[COVID-19 Item List]:[SCL]],0),FALSE)=0),IF(VLOOKUP(_xlfn.CONCAT(Y$6,$C80),BurnRate!$G$3:$P$1102,10,FALSE)="NR","NR",0),VLOOKUP($C80,DATA_Depts[[#All],[COVID-19 Item List]:[SCL]],MATCH(Y$6,DATA_Depts[[#Headers],[COVID-19 Item List]:[SCL]],0),FALSE))</f>
        <v>NR</v>
      </c>
      <c r="Z80" s="148" t="str">
        <f>IF(VLOOKUP(_xlfn.CONCAT(Y$6,$C80),BurnRate!$G$3:$P$1102,10,FALSE)="NR","NR",IF(Y80="NR","NR",Y80/(VLOOKUP(_xlfn.CONCAT(Y$6,$C80),BurnRate!$G$3:$P$1102,10,FALSE)/90)))</f>
        <v>NR</v>
      </c>
    </row>
    <row r="81" spans="2:26" s="43" customFormat="1" ht="11" hidden="1">
      <c r="B81" s="46">
        <v>74</v>
      </c>
      <c r="C81" s="47" t="str">
        <f>_xlfn.SINGLE(VLOOKUP(B81,DisplayOrder[#All],2,FALSE))</f>
        <v>Reserved-74</v>
      </c>
      <c r="D81" s="116" t="str">
        <f>_xlfn.SINGLE(VLOOKUP(B81,DisplayOrder!A:C,3,FALSE))</f>
        <v>each</v>
      </c>
      <c r="E81" s="117" t="str">
        <f>IF(VLOOKUP(_xlfn.CONCAT(E$6,$C81),BurnRate!$G$3:$P$1102,10,FALSE)="NR",IF(SUMIF(FAS_Centralized!K:K,C81,FAS_Centralized!N:N)=0,"NR",SUMIF(FAS_Centralized!K:K,C81,FAS_Centralized!N:N)),SUMIF(FAS_Centralized!K:K,C81,FAS_Centralized!N:N))</f>
        <v>NR</v>
      </c>
      <c r="F81" s="148" t="str">
        <f>IF(VLOOKUP(_xlfn.CONCAT(E$6,$C81),BurnRate!$G$3:$P$1102,10,FALSE)="NR","NR",IF(E81="NR","NR",E81/(VLOOKUP(_xlfn.CONCAT(E$6,$C81),BurnRate!$G$3:$P$1102,10,FALSE)/90)))</f>
        <v>NR</v>
      </c>
      <c r="G81" s="169" t="str">
        <f>IF(SUM(VLOOKUP($C81,DATA_Depts[[#All],[COVID-19 Item List]:[SCL]],MATCH(G$6,DATA_Depts[[#Headers],[COVID-19 Item List]:[SCL]],0),FALSE)=0),IF(VLOOKUP(_xlfn.CONCAT(G$6,$C81),BurnRate!$G$3:$P$1102,10,FALSE)="NR","NR",0),VLOOKUP($C81,DATA_Depts[[#All],[COVID-19 Item List]:[SCL]],MATCH(G$6,DATA_Depts[[#Headers],[COVID-19 Item List]:[SCL]],0),FALSE))</f>
        <v>NR</v>
      </c>
      <c r="H81" s="148" t="str">
        <f>IF(VLOOKUP(_xlfn.CONCAT(G$6,$C81),BurnRate!$G$3:$P$1102,10,FALSE)="NR","NR",IF(G81="NR","NR",G81/(VLOOKUP(_xlfn.CONCAT(G$6,$C81),BurnRate!$G$3:$P$1102,10,FALSE)/90)))</f>
        <v>NR</v>
      </c>
      <c r="I81" s="169" t="str">
        <f>IF(SUM(VLOOKUP($C81,DATA_Depts[[#All],[COVID-19 Item List]:[SCL]],MATCH(I$6,DATA_Depts[[#Headers],[COVID-19 Item List]:[SCL]],0),FALSE)=0),IF(VLOOKUP(_xlfn.CONCAT(I$6,$C81),BurnRate!$G$3:$P$1102,10,FALSE)="NR","NR",0),VLOOKUP($C81,DATA_Depts[[#All],[COVID-19 Item List]:[SCL]],MATCH(I$6,DATA_Depts[[#Headers],[COVID-19 Item List]:[SCL]],0),FALSE))</f>
        <v>NR</v>
      </c>
      <c r="J81" s="148" t="str">
        <f>IF(VLOOKUP(_xlfn.CONCAT(I$6,$C81),BurnRate!$G$3:$P$1102,10,FALSE)="NR","NR",IF(I81="NR","NR",I81/(VLOOKUP(_xlfn.CONCAT(I$6,$C81),BurnRate!$G$3:$P$1102,10,FALSE)/90)))</f>
        <v>NR</v>
      </c>
      <c r="K81" s="169" t="str">
        <f>IF(SUM(VLOOKUP($C81,DATA_Depts[[#All],[COVID-19 Item List]:[SCL]],MATCH(K$6,DATA_Depts[[#Headers],[COVID-19 Item List]:[SCL]],0),FALSE)=0),IF(VLOOKUP(_xlfn.CONCAT(K$6,$C81),BurnRate!$G$3:$P$1102,10,FALSE)="NR","NR",0),VLOOKUP($C81,DATA_Depts[[#All],[COVID-19 Item List]:[SCL]],MATCH(K$6,DATA_Depts[[#Headers],[COVID-19 Item List]:[SCL]],0),FALSE))</f>
        <v>NR</v>
      </c>
      <c r="L81" s="148" t="str">
        <f>IF(VLOOKUP(_xlfn.CONCAT(K$6,$C81),BurnRate!$G$3:$P$1102,10,FALSE)="NR","NR",IF(K81="NR","NR",K81/(VLOOKUP(_xlfn.CONCAT(K$6,$C81),BurnRate!$G$3:$P$1102,10,FALSE)/90)))</f>
        <v>NR</v>
      </c>
      <c r="M81" s="169" t="str">
        <f>IF(SUM(VLOOKUP($C81,DATA_Depts[[#All],[COVID-19 Item List]:[SCL]],MATCH(M$6,DATA_Depts[[#Headers],[COVID-19 Item List]:[SCL]],0),FALSE)=0),IF(VLOOKUP(_xlfn.CONCAT(M$6,$C81),BurnRate!$G$3:$P$1102,10,FALSE)="NR","NR",0),VLOOKUP($C81,DATA_Depts[[#All],[COVID-19 Item List]:[SCL]],MATCH(M$6,DATA_Depts[[#Headers],[COVID-19 Item List]:[SCL]],0),FALSE))</f>
        <v>NR</v>
      </c>
      <c r="N81" s="148" t="str">
        <f>IF(VLOOKUP(_xlfn.CONCAT(M$6,$C81),BurnRate!$G$3:$P$1102,10,FALSE)="NR","NR",IF(M81="NR","NR",M81/(VLOOKUP(_xlfn.CONCAT(M$6,$C81),BurnRate!$G$3:$P$1102,10,FALSE)/90)))</f>
        <v>NR</v>
      </c>
      <c r="O81" s="169" t="str">
        <f>IF(SUM(VLOOKUP($C81,DATA_Depts[[#All],[COVID-19 Item List]:[SCL]],MATCH(O$6,DATA_Depts[[#Headers],[COVID-19 Item List]:[SCL]],0),FALSE)=0),IF(VLOOKUP(_xlfn.CONCAT(O$6,$C81),BurnRate!$G$3:$P$1102,10,FALSE)="NR","NR",0),VLOOKUP($C81,DATA_Depts[[#All],[COVID-19 Item List]:[SCL]],MATCH(O$6,DATA_Depts[[#Headers],[COVID-19 Item List]:[SCL]],0),FALSE))</f>
        <v>NR</v>
      </c>
      <c r="P81" s="148" t="str">
        <f>IF(VLOOKUP(_xlfn.CONCAT(O$6,$C81),BurnRate!$G$3:$P$1102,10,FALSE)="NR","NR",IF(O81="NR","NR",O81/(VLOOKUP(_xlfn.CONCAT(O$6,$C81),BurnRate!$G$3:$P$1102,10,FALSE)/90)))</f>
        <v>NR</v>
      </c>
      <c r="Q81" s="169" t="str">
        <f>IF(SUM(VLOOKUP($C81,DATA_Depts[[#All],[COVID-19 Item List]:[SCL]],MATCH(Q$6,DATA_Depts[[#Headers],[COVID-19 Item List]:[SCL]],0),FALSE)=0),IF(VLOOKUP(_xlfn.CONCAT(Q$6,$C81),BurnRate!$G$3:$P$1102,10,FALSE)="NR","NR",0),VLOOKUP($C81,DATA_Depts[[#All],[COVID-19 Item List]:[SCL]],MATCH(Q$6,DATA_Depts[[#Headers],[COVID-19 Item List]:[SCL]],0),FALSE))</f>
        <v>NR</v>
      </c>
      <c r="R81" s="148" t="str">
        <f>IF(VLOOKUP(_xlfn.CONCAT(Q$6,$C81),BurnRate!$G$3:$P$1102,10,FALSE)="NR","NR",IF(Q81="NR","NR",Q81/(VLOOKUP(_xlfn.CONCAT(Q$6,$C81),BurnRate!$G$3:$P$1102,10,FALSE)/90)))</f>
        <v>NR</v>
      </c>
      <c r="S81" s="169" t="str">
        <f>IF(SUM(VLOOKUP($C81,DATA_Depts[[#All],[COVID-19 Item List]:[SCL]],MATCH(S$6,DATA_Depts[[#Headers],[COVID-19 Item List]:[SCL]],0),FALSE)=0),IF(VLOOKUP(_xlfn.CONCAT(S$6,$C81),BurnRate!$G$3:$P$1102,10,FALSE)="NR","NR",0),VLOOKUP($C81,DATA_Depts[[#All],[COVID-19 Item List]:[SCL]],MATCH(S$6,DATA_Depts[[#Headers],[COVID-19 Item List]:[SCL]],0),FALSE))</f>
        <v>NR</v>
      </c>
      <c r="T81" s="148" t="str">
        <f>IF(VLOOKUP(_xlfn.CONCAT(S$6,$C81),BurnRate!$G$3:$P$1102,10,FALSE)="NR","NR",IF(S81="NR","NR",S81/(VLOOKUP(_xlfn.CONCAT(S$6,$C81),BurnRate!$G$3:$P$1102,10,FALSE)/90)))</f>
        <v>NR</v>
      </c>
      <c r="U81" s="169" t="str">
        <f>IF(SUM(VLOOKUP($C81,DATA_Depts[[#All],[COVID-19 Item List]:[SCL]],MATCH(U$6,DATA_Depts[[#Headers],[COVID-19 Item List]:[SCL]],0),FALSE)=0),IF(VLOOKUP(_xlfn.CONCAT(U$6,$C81),BurnRate!$G$3:$P$1102,10,FALSE)="NR","NR",0),VLOOKUP($C81,DATA_Depts[[#All],[COVID-19 Item List]:[SCL]],MATCH(U$6,DATA_Depts[[#Headers],[COVID-19 Item List]:[SCL]],0),FALSE))</f>
        <v>NR</v>
      </c>
      <c r="V81" s="148" t="str">
        <f>IF(VLOOKUP(_xlfn.CONCAT(U$6,$C81),BurnRate!$G$3:$P$1102,10,FALSE)="NR","NR",IF(U81="NR","NR",U81/(VLOOKUP(_xlfn.CONCAT(U$6,$C81),BurnRate!$G$3:$P$1102,10,FALSE)/90)))</f>
        <v>NR</v>
      </c>
      <c r="W81" s="169" t="str">
        <f>IF(SUM(VLOOKUP($C81,DATA_Depts[[#All],[COVID-19 Item List]:[SCL]],MATCH(W$6,DATA_Depts[[#Headers],[COVID-19 Item List]:[SCL]],0),FALSE)=0),IF(VLOOKUP(_xlfn.CONCAT(W$6,$C81),BurnRate!$G$3:$P$1102,10,FALSE)="NR","NR",0),VLOOKUP($C81,DATA_Depts[[#All],[COVID-19 Item List]:[SCL]],MATCH(W$6,DATA_Depts[[#Headers],[COVID-19 Item List]:[SCL]],0),FALSE))</f>
        <v>NR</v>
      </c>
      <c r="X81" s="148" t="str">
        <f>IF(VLOOKUP(_xlfn.CONCAT(W$6,$C81),BurnRate!$G$3:$P$1102,10,FALSE)="NR","NR",IF(W81="NR","NR",W81/(VLOOKUP(_xlfn.CONCAT(W$6,$C81),BurnRate!$G$3:$P$1102,10,FALSE)/90)))</f>
        <v>NR</v>
      </c>
      <c r="Y81" s="169" t="str">
        <f>IF(SUM(VLOOKUP($C81,DATA_Depts[[#All],[COVID-19 Item List]:[SCL]],MATCH(Y$6,DATA_Depts[[#Headers],[COVID-19 Item List]:[SCL]],0),FALSE)=0),IF(VLOOKUP(_xlfn.CONCAT(Y$6,$C81),BurnRate!$G$3:$P$1102,10,FALSE)="NR","NR",0),VLOOKUP($C81,DATA_Depts[[#All],[COVID-19 Item List]:[SCL]],MATCH(Y$6,DATA_Depts[[#Headers],[COVID-19 Item List]:[SCL]],0),FALSE))</f>
        <v>NR</v>
      </c>
      <c r="Z81" s="148" t="str">
        <f>IF(VLOOKUP(_xlfn.CONCAT(Y$6,$C81),BurnRate!$G$3:$P$1102,10,FALSE)="NR","NR",IF(Y81="NR","NR",Y81/(VLOOKUP(_xlfn.CONCAT(Y$6,$C81),BurnRate!$G$3:$P$1102,10,FALSE)/90)))</f>
        <v>NR</v>
      </c>
    </row>
    <row r="82" spans="2:26" s="43" customFormat="1" ht="11" hidden="1">
      <c r="B82" s="46">
        <v>75</v>
      </c>
      <c r="C82" s="47" t="str">
        <f>_xlfn.SINGLE(VLOOKUP(B82,DisplayOrder[#All],2,FALSE))</f>
        <v>Reserved-75</v>
      </c>
      <c r="D82" s="116" t="str">
        <f>_xlfn.SINGLE(VLOOKUP(B82,DisplayOrder!A:C,3,FALSE))</f>
        <v>each</v>
      </c>
      <c r="E82" s="117" t="str">
        <f>IF(VLOOKUP(_xlfn.CONCAT(E$6,$C82),BurnRate!$G$3:$P$1102,10,FALSE)="NR",IF(SUMIF(FAS_Centralized!K:K,C82,FAS_Centralized!N:N)=0,"NR",SUMIF(FAS_Centralized!K:K,C82,FAS_Centralized!N:N)),SUMIF(FAS_Centralized!K:K,C82,FAS_Centralized!N:N))</f>
        <v>NR</v>
      </c>
      <c r="F82" s="148" t="str">
        <f>IF(VLOOKUP(_xlfn.CONCAT(E$6,$C82),BurnRate!$G$3:$P$1102,10,FALSE)="NR","NR",IF(E82="NR","NR",E82/(VLOOKUP(_xlfn.CONCAT(E$6,$C82),BurnRate!$G$3:$P$1102,10,FALSE)/90)))</f>
        <v>NR</v>
      </c>
      <c r="G82" s="169" t="str">
        <f>IF(SUM(VLOOKUP($C82,DATA_Depts[[#All],[COVID-19 Item List]:[SCL]],MATCH(G$6,DATA_Depts[[#Headers],[COVID-19 Item List]:[SCL]],0),FALSE)=0),IF(VLOOKUP(_xlfn.CONCAT(G$6,$C82),BurnRate!$G$3:$P$1102,10,FALSE)="NR","NR",0),VLOOKUP($C82,DATA_Depts[[#All],[COVID-19 Item List]:[SCL]],MATCH(G$6,DATA_Depts[[#Headers],[COVID-19 Item List]:[SCL]],0),FALSE))</f>
        <v>NR</v>
      </c>
      <c r="H82" s="148" t="str">
        <f>IF(VLOOKUP(_xlfn.CONCAT(G$6,$C82),BurnRate!$G$3:$P$1102,10,FALSE)="NR","NR",IF(G82="NR","NR",G82/(VLOOKUP(_xlfn.CONCAT(G$6,$C82),BurnRate!$G$3:$P$1102,10,FALSE)/90)))</f>
        <v>NR</v>
      </c>
      <c r="I82" s="169" t="str">
        <f>IF(SUM(VLOOKUP($C82,DATA_Depts[[#All],[COVID-19 Item List]:[SCL]],MATCH(I$6,DATA_Depts[[#Headers],[COVID-19 Item List]:[SCL]],0),FALSE)=0),IF(VLOOKUP(_xlfn.CONCAT(I$6,$C82),BurnRate!$G$3:$P$1102,10,FALSE)="NR","NR",0),VLOOKUP($C82,DATA_Depts[[#All],[COVID-19 Item List]:[SCL]],MATCH(I$6,DATA_Depts[[#Headers],[COVID-19 Item List]:[SCL]],0),FALSE))</f>
        <v>NR</v>
      </c>
      <c r="J82" s="148" t="str">
        <f>IF(VLOOKUP(_xlfn.CONCAT(I$6,$C82),BurnRate!$G$3:$P$1102,10,FALSE)="NR","NR",IF(I82="NR","NR",I82/(VLOOKUP(_xlfn.CONCAT(I$6,$C82),BurnRate!$G$3:$P$1102,10,FALSE)/90)))</f>
        <v>NR</v>
      </c>
      <c r="K82" s="169" t="str">
        <f>IF(SUM(VLOOKUP($C82,DATA_Depts[[#All],[COVID-19 Item List]:[SCL]],MATCH(K$6,DATA_Depts[[#Headers],[COVID-19 Item List]:[SCL]],0),FALSE)=0),IF(VLOOKUP(_xlfn.CONCAT(K$6,$C82),BurnRate!$G$3:$P$1102,10,FALSE)="NR","NR",0),VLOOKUP($C82,DATA_Depts[[#All],[COVID-19 Item List]:[SCL]],MATCH(K$6,DATA_Depts[[#Headers],[COVID-19 Item List]:[SCL]],0),FALSE))</f>
        <v>NR</v>
      </c>
      <c r="L82" s="148" t="str">
        <f>IF(VLOOKUP(_xlfn.CONCAT(K$6,$C82),BurnRate!$G$3:$P$1102,10,FALSE)="NR","NR",IF(K82="NR","NR",K82/(VLOOKUP(_xlfn.CONCAT(K$6,$C82),BurnRate!$G$3:$P$1102,10,FALSE)/90)))</f>
        <v>NR</v>
      </c>
      <c r="M82" s="169" t="str">
        <f>IF(SUM(VLOOKUP($C82,DATA_Depts[[#All],[COVID-19 Item List]:[SCL]],MATCH(M$6,DATA_Depts[[#Headers],[COVID-19 Item List]:[SCL]],0),FALSE)=0),IF(VLOOKUP(_xlfn.CONCAT(M$6,$C82),BurnRate!$G$3:$P$1102,10,FALSE)="NR","NR",0),VLOOKUP($C82,DATA_Depts[[#All],[COVID-19 Item List]:[SCL]],MATCH(M$6,DATA_Depts[[#Headers],[COVID-19 Item List]:[SCL]],0),FALSE))</f>
        <v>NR</v>
      </c>
      <c r="N82" s="148" t="str">
        <f>IF(VLOOKUP(_xlfn.CONCAT(M$6,$C82),BurnRate!$G$3:$P$1102,10,FALSE)="NR","NR",IF(M82="NR","NR",M82/(VLOOKUP(_xlfn.CONCAT(M$6,$C82),BurnRate!$G$3:$P$1102,10,FALSE)/90)))</f>
        <v>NR</v>
      </c>
      <c r="O82" s="169" t="str">
        <f>IF(SUM(VLOOKUP($C82,DATA_Depts[[#All],[COVID-19 Item List]:[SCL]],MATCH(O$6,DATA_Depts[[#Headers],[COVID-19 Item List]:[SCL]],0),FALSE)=0),IF(VLOOKUP(_xlfn.CONCAT(O$6,$C82),BurnRate!$G$3:$P$1102,10,FALSE)="NR","NR",0),VLOOKUP($C82,DATA_Depts[[#All],[COVID-19 Item List]:[SCL]],MATCH(O$6,DATA_Depts[[#Headers],[COVID-19 Item List]:[SCL]],0),FALSE))</f>
        <v>NR</v>
      </c>
      <c r="P82" s="148" t="str">
        <f>IF(VLOOKUP(_xlfn.CONCAT(O$6,$C82),BurnRate!$G$3:$P$1102,10,FALSE)="NR","NR",IF(O82="NR","NR",O82/(VLOOKUP(_xlfn.CONCAT(O$6,$C82),BurnRate!$G$3:$P$1102,10,FALSE)/90)))</f>
        <v>NR</v>
      </c>
      <c r="Q82" s="169" t="str">
        <f>IF(SUM(VLOOKUP($C82,DATA_Depts[[#All],[COVID-19 Item List]:[SCL]],MATCH(Q$6,DATA_Depts[[#Headers],[COVID-19 Item List]:[SCL]],0),FALSE)=0),IF(VLOOKUP(_xlfn.CONCAT(Q$6,$C82),BurnRate!$G$3:$P$1102,10,FALSE)="NR","NR",0),VLOOKUP($C82,DATA_Depts[[#All],[COVID-19 Item List]:[SCL]],MATCH(Q$6,DATA_Depts[[#Headers],[COVID-19 Item List]:[SCL]],0),FALSE))</f>
        <v>NR</v>
      </c>
      <c r="R82" s="148" t="str">
        <f>IF(VLOOKUP(_xlfn.CONCAT(Q$6,$C82),BurnRate!$G$3:$P$1102,10,FALSE)="NR","NR",IF(Q82="NR","NR",Q82/(VLOOKUP(_xlfn.CONCAT(Q$6,$C82),BurnRate!$G$3:$P$1102,10,FALSE)/90)))</f>
        <v>NR</v>
      </c>
      <c r="S82" s="169" t="str">
        <f>IF(SUM(VLOOKUP($C82,DATA_Depts[[#All],[COVID-19 Item List]:[SCL]],MATCH(S$6,DATA_Depts[[#Headers],[COVID-19 Item List]:[SCL]],0),FALSE)=0),IF(VLOOKUP(_xlfn.CONCAT(S$6,$C82),BurnRate!$G$3:$P$1102,10,FALSE)="NR","NR",0),VLOOKUP($C82,DATA_Depts[[#All],[COVID-19 Item List]:[SCL]],MATCH(S$6,DATA_Depts[[#Headers],[COVID-19 Item List]:[SCL]],0),FALSE))</f>
        <v>NR</v>
      </c>
      <c r="T82" s="148" t="str">
        <f>IF(VLOOKUP(_xlfn.CONCAT(S$6,$C82),BurnRate!$G$3:$P$1102,10,FALSE)="NR","NR",IF(S82="NR","NR",S82/(VLOOKUP(_xlfn.CONCAT(S$6,$C82),BurnRate!$G$3:$P$1102,10,FALSE)/90)))</f>
        <v>NR</v>
      </c>
      <c r="U82" s="169" t="str">
        <f>IF(SUM(VLOOKUP($C82,DATA_Depts[[#All],[COVID-19 Item List]:[SCL]],MATCH(U$6,DATA_Depts[[#Headers],[COVID-19 Item List]:[SCL]],0),FALSE)=0),IF(VLOOKUP(_xlfn.CONCAT(U$6,$C82),BurnRate!$G$3:$P$1102,10,FALSE)="NR","NR",0),VLOOKUP($C82,DATA_Depts[[#All],[COVID-19 Item List]:[SCL]],MATCH(U$6,DATA_Depts[[#Headers],[COVID-19 Item List]:[SCL]],0),FALSE))</f>
        <v>NR</v>
      </c>
      <c r="V82" s="148" t="str">
        <f>IF(VLOOKUP(_xlfn.CONCAT(U$6,$C82),BurnRate!$G$3:$P$1102,10,FALSE)="NR","NR",IF(U82="NR","NR",U82/(VLOOKUP(_xlfn.CONCAT(U$6,$C82),BurnRate!$G$3:$P$1102,10,FALSE)/90)))</f>
        <v>NR</v>
      </c>
      <c r="W82" s="169" t="str">
        <f>IF(SUM(VLOOKUP($C82,DATA_Depts[[#All],[COVID-19 Item List]:[SCL]],MATCH(W$6,DATA_Depts[[#Headers],[COVID-19 Item List]:[SCL]],0),FALSE)=0),IF(VLOOKUP(_xlfn.CONCAT(W$6,$C82),BurnRate!$G$3:$P$1102,10,FALSE)="NR","NR",0),VLOOKUP($C82,DATA_Depts[[#All],[COVID-19 Item List]:[SCL]],MATCH(W$6,DATA_Depts[[#Headers],[COVID-19 Item List]:[SCL]],0),FALSE))</f>
        <v>NR</v>
      </c>
      <c r="X82" s="148" t="str">
        <f>IF(VLOOKUP(_xlfn.CONCAT(W$6,$C82),BurnRate!$G$3:$P$1102,10,FALSE)="NR","NR",IF(W82="NR","NR",W82/(VLOOKUP(_xlfn.CONCAT(W$6,$C82),BurnRate!$G$3:$P$1102,10,FALSE)/90)))</f>
        <v>NR</v>
      </c>
      <c r="Y82" s="169" t="str">
        <f>IF(SUM(VLOOKUP($C82,DATA_Depts[[#All],[COVID-19 Item List]:[SCL]],MATCH(Y$6,DATA_Depts[[#Headers],[COVID-19 Item List]:[SCL]],0),FALSE)=0),IF(VLOOKUP(_xlfn.CONCAT(Y$6,$C82),BurnRate!$G$3:$P$1102,10,FALSE)="NR","NR",0),VLOOKUP($C82,DATA_Depts[[#All],[COVID-19 Item List]:[SCL]],MATCH(Y$6,DATA_Depts[[#Headers],[COVID-19 Item List]:[SCL]],0),FALSE))</f>
        <v>NR</v>
      </c>
      <c r="Z82" s="148" t="str">
        <f>IF(VLOOKUP(_xlfn.CONCAT(Y$6,$C82),BurnRate!$G$3:$P$1102,10,FALSE)="NR","NR",IF(Y82="NR","NR",Y82/(VLOOKUP(_xlfn.CONCAT(Y$6,$C82),BurnRate!$G$3:$P$1102,10,FALSE)/90)))</f>
        <v>NR</v>
      </c>
    </row>
    <row r="83" spans="2:26" s="43" customFormat="1" ht="11" hidden="1">
      <c r="B83" s="46">
        <v>76</v>
      </c>
      <c r="C83" s="47" t="str">
        <f>_xlfn.SINGLE(VLOOKUP(B83,DisplayOrder[#All],2,FALSE))</f>
        <v>Reserved-76</v>
      </c>
      <c r="D83" s="116" t="str">
        <f>_xlfn.SINGLE(VLOOKUP(B83,DisplayOrder!A:C,3,FALSE))</f>
        <v>each</v>
      </c>
      <c r="E83" s="117" t="str">
        <f>IF(VLOOKUP(_xlfn.CONCAT(E$6,$C83),BurnRate!$G$3:$P$1102,10,FALSE)="NR",IF(SUMIF(FAS_Centralized!K:K,C83,FAS_Centralized!N:N)=0,"NR",SUMIF(FAS_Centralized!K:K,C83,FAS_Centralized!N:N)),SUMIF(FAS_Centralized!K:K,C83,FAS_Centralized!N:N))</f>
        <v>NR</v>
      </c>
      <c r="F83" s="148" t="str">
        <f>IF(VLOOKUP(_xlfn.CONCAT(E$6,$C83),BurnRate!$G$3:$P$1102,10,FALSE)="NR","NR",IF(E83="NR","NR",E83/(VLOOKUP(_xlfn.CONCAT(E$6,$C83),BurnRate!$G$3:$P$1102,10,FALSE)/90)))</f>
        <v>NR</v>
      </c>
      <c r="G83" s="169" t="str">
        <f>IF(SUM(VLOOKUP($C83,DATA_Depts[[#All],[COVID-19 Item List]:[SCL]],MATCH(G$6,DATA_Depts[[#Headers],[COVID-19 Item List]:[SCL]],0),FALSE)=0),IF(VLOOKUP(_xlfn.CONCAT(G$6,$C83),BurnRate!$G$3:$P$1102,10,FALSE)="NR","NR",0),VLOOKUP($C83,DATA_Depts[[#All],[COVID-19 Item List]:[SCL]],MATCH(G$6,DATA_Depts[[#Headers],[COVID-19 Item List]:[SCL]],0),FALSE))</f>
        <v>NR</v>
      </c>
      <c r="H83" s="148" t="str">
        <f>IF(VLOOKUP(_xlfn.CONCAT(G$6,$C83),BurnRate!$G$3:$P$1102,10,FALSE)="NR","NR",IF(G83="NR","NR",G83/(VLOOKUP(_xlfn.CONCAT(G$6,$C83),BurnRate!$G$3:$P$1102,10,FALSE)/90)))</f>
        <v>NR</v>
      </c>
      <c r="I83" s="169" t="str">
        <f>IF(SUM(VLOOKUP($C83,DATA_Depts[[#All],[COVID-19 Item List]:[SCL]],MATCH(I$6,DATA_Depts[[#Headers],[COVID-19 Item List]:[SCL]],0),FALSE)=0),IF(VLOOKUP(_xlfn.CONCAT(I$6,$C83),BurnRate!$G$3:$P$1102,10,FALSE)="NR","NR",0),VLOOKUP($C83,DATA_Depts[[#All],[COVID-19 Item List]:[SCL]],MATCH(I$6,DATA_Depts[[#Headers],[COVID-19 Item List]:[SCL]],0),FALSE))</f>
        <v>NR</v>
      </c>
      <c r="J83" s="148" t="str">
        <f>IF(VLOOKUP(_xlfn.CONCAT(I$6,$C83),BurnRate!$G$3:$P$1102,10,FALSE)="NR","NR",IF(I83="NR","NR",I83/(VLOOKUP(_xlfn.CONCAT(I$6,$C83),BurnRate!$G$3:$P$1102,10,FALSE)/90)))</f>
        <v>NR</v>
      </c>
      <c r="K83" s="169" t="str">
        <f>IF(SUM(VLOOKUP($C83,DATA_Depts[[#All],[COVID-19 Item List]:[SCL]],MATCH(K$6,DATA_Depts[[#Headers],[COVID-19 Item List]:[SCL]],0),FALSE)=0),IF(VLOOKUP(_xlfn.CONCAT(K$6,$C83),BurnRate!$G$3:$P$1102,10,FALSE)="NR","NR",0),VLOOKUP($C83,DATA_Depts[[#All],[COVID-19 Item List]:[SCL]],MATCH(K$6,DATA_Depts[[#Headers],[COVID-19 Item List]:[SCL]],0),FALSE))</f>
        <v>NR</v>
      </c>
      <c r="L83" s="148" t="str">
        <f>IF(VLOOKUP(_xlfn.CONCAT(K$6,$C83),BurnRate!$G$3:$P$1102,10,FALSE)="NR","NR",IF(K83="NR","NR",K83/(VLOOKUP(_xlfn.CONCAT(K$6,$C83),BurnRate!$G$3:$P$1102,10,FALSE)/90)))</f>
        <v>NR</v>
      </c>
      <c r="M83" s="169" t="str">
        <f>IF(SUM(VLOOKUP($C83,DATA_Depts[[#All],[COVID-19 Item List]:[SCL]],MATCH(M$6,DATA_Depts[[#Headers],[COVID-19 Item List]:[SCL]],0),FALSE)=0),IF(VLOOKUP(_xlfn.CONCAT(M$6,$C83),BurnRate!$G$3:$P$1102,10,FALSE)="NR","NR",0),VLOOKUP($C83,DATA_Depts[[#All],[COVID-19 Item List]:[SCL]],MATCH(M$6,DATA_Depts[[#Headers],[COVID-19 Item List]:[SCL]],0),FALSE))</f>
        <v>NR</v>
      </c>
      <c r="N83" s="148" t="str">
        <f>IF(VLOOKUP(_xlfn.CONCAT(M$6,$C83),BurnRate!$G$3:$P$1102,10,FALSE)="NR","NR",IF(M83="NR","NR",M83/(VLOOKUP(_xlfn.CONCAT(M$6,$C83),BurnRate!$G$3:$P$1102,10,FALSE)/90)))</f>
        <v>NR</v>
      </c>
      <c r="O83" s="169" t="str">
        <f>IF(SUM(VLOOKUP($C83,DATA_Depts[[#All],[COVID-19 Item List]:[SCL]],MATCH(O$6,DATA_Depts[[#Headers],[COVID-19 Item List]:[SCL]],0),FALSE)=0),IF(VLOOKUP(_xlfn.CONCAT(O$6,$C83),BurnRate!$G$3:$P$1102,10,FALSE)="NR","NR",0),VLOOKUP($C83,DATA_Depts[[#All],[COVID-19 Item List]:[SCL]],MATCH(O$6,DATA_Depts[[#Headers],[COVID-19 Item List]:[SCL]],0),FALSE))</f>
        <v>NR</v>
      </c>
      <c r="P83" s="148" t="str">
        <f>IF(VLOOKUP(_xlfn.CONCAT(O$6,$C83),BurnRate!$G$3:$P$1102,10,FALSE)="NR","NR",IF(O83="NR","NR",O83/(VLOOKUP(_xlfn.CONCAT(O$6,$C83),BurnRate!$G$3:$P$1102,10,FALSE)/90)))</f>
        <v>NR</v>
      </c>
      <c r="Q83" s="169" t="str">
        <f>IF(SUM(VLOOKUP($C83,DATA_Depts[[#All],[COVID-19 Item List]:[SCL]],MATCH(Q$6,DATA_Depts[[#Headers],[COVID-19 Item List]:[SCL]],0),FALSE)=0),IF(VLOOKUP(_xlfn.CONCAT(Q$6,$C83),BurnRate!$G$3:$P$1102,10,FALSE)="NR","NR",0),VLOOKUP($C83,DATA_Depts[[#All],[COVID-19 Item List]:[SCL]],MATCH(Q$6,DATA_Depts[[#Headers],[COVID-19 Item List]:[SCL]],0),FALSE))</f>
        <v>NR</v>
      </c>
      <c r="R83" s="148" t="str">
        <f>IF(VLOOKUP(_xlfn.CONCAT(Q$6,$C83),BurnRate!$G$3:$P$1102,10,FALSE)="NR","NR",IF(Q83="NR","NR",Q83/(VLOOKUP(_xlfn.CONCAT(Q$6,$C83),BurnRate!$G$3:$P$1102,10,FALSE)/90)))</f>
        <v>NR</v>
      </c>
      <c r="S83" s="169" t="str">
        <f>IF(SUM(VLOOKUP($C83,DATA_Depts[[#All],[COVID-19 Item List]:[SCL]],MATCH(S$6,DATA_Depts[[#Headers],[COVID-19 Item List]:[SCL]],0),FALSE)=0),IF(VLOOKUP(_xlfn.CONCAT(S$6,$C83),BurnRate!$G$3:$P$1102,10,FALSE)="NR","NR",0),VLOOKUP($C83,DATA_Depts[[#All],[COVID-19 Item List]:[SCL]],MATCH(S$6,DATA_Depts[[#Headers],[COVID-19 Item List]:[SCL]],0),FALSE))</f>
        <v>NR</v>
      </c>
      <c r="T83" s="148" t="str">
        <f>IF(VLOOKUP(_xlfn.CONCAT(S$6,$C83),BurnRate!$G$3:$P$1102,10,FALSE)="NR","NR",IF(S83="NR","NR",S83/(VLOOKUP(_xlfn.CONCAT(S$6,$C83),BurnRate!$G$3:$P$1102,10,FALSE)/90)))</f>
        <v>NR</v>
      </c>
      <c r="U83" s="169" t="str">
        <f>IF(SUM(VLOOKUP($C83,DATA_Depts[[#All],[COVID-19 Item List]:[SCL]],MATCH(U$6,DATA_Depts[[#Headers],[COVID-19 Item List]:[SCL]],0),FALSE)=0),IF(VLOOKUP(_xlfn.CONCAT(U$6,$C83),BurnRate!$G$3:$P$1102,10,FALSE)="NR","NR",0),VLOOKUP($C83,DATA_Depts[[#All],[COVID-19 Item List]:[SCL]],MATCH(U$6,DATA_Depts[[#Headers],[COVID-19 Item List]:[SCL]],0),FALSE))</f>
        <v>NR</v>
      </c>
      <c r="V83" s="148" t="str">
        <f>IF(VLOOKUP(_xlfn.CONCAT(U$6,$C83),BurnRate!$G$3:$P$1102,10,FALSE)="NR","NR",IF(U83="NR","NR",U83/(VLOOKUP(_xlfn.CONCAT(U$6,$C83),BurnRate!$G$3:$P$1102,10,FALSE)/90)))</f>
        <v>NR</v>
      </c>
      <c r="W83" s="169" t="str">
        <f>IF(SUM(VLOOKUP($C83,DATA_Depts[[#All],[COVID-19 Item List]:[SCL]],MATCH(W$6,DATA_Depts[[#Headers],[COVID-19 Item List]:[SCL]],0),FALSE)=0),IF(VLOOKUP(_xlfn.CONCAT(W$6,$C83),BurnRate!$G$3:$P$1102,10,FALSE)="NR","NR",0),VLOOKUP($C83,DATA_Depts[[#All],[COVID-19 Item List]:[SCL]],MATCH(W$6,DATA_Depts[[#Headers],[COVID-19 Item List]:[SCL]],0),FALSE))</f>
        <v>NR</v>
      </c>
      <c r="X83" s="148" t="str">
        <f>IF(VLOOKUP(_xlfn.CONCAT(W$6,$C83),BurnRate!$G$3:$P$1102,10,FALSE)="NR","NR",IF(W83="NR","NR",W83/(VLOOKUP(_xlfn.CONCAT(W$6,$C83),BurnRate!$G$3:$P$1102,10,FALSE)/90)))</f>
        <v>NR</v>
      </c>
      <c r="Y83" s="169" t="str">
        <f>IF(SUM(VLOOKUP($C83,DATA_Depts[[#All],[COVID-19 Item List]:[SCL]],MATCH(Y$6,DATA_Depts[[#Headers],[COVID-19 Item List]:[SCL]],0),FALSE)=0),IF(VLOOKUP(_xlfn.CONCAT(Y$6,$C83),BurnRate!$G$3:$P$1102,10,FALSE)="NR","NR",0),VLOOKUP($C83,DATA_Depts[[#All],[COVID-19 Item List]:[SCL]],MATCH(Y$6,DATA_Depts[[#Headers],[COVID-19 Item List]:[SCL]],0),FALSE))</f>
        <v>NR</v>
      </c>
      <c r="Z83" s="148" t="str">
        <f>IF(VLOOKUP(_xlfn.CONCAT(Y$6,$C83),BurnRate!$G$3:$P$1102,10,FALSE)="NR","NR",IF(Y83="NR","NR",Y83/(VLOOKUP(_xlfn.CONCAT(Y$6,$C83),BurnRate!$G$3:$P$1102,10,FALSE)/90)))</f>
        <v>NR</v>
      </c>
    </row>
    <row r="84" spans="2:26" s="43" customFormat="1" ht="11" hidden="1">
      <c r="B84" s="46">
        <v>77</v>
      </c>
      <c r="C84" s="47" t="str">
        <f>_xlfn.SINGLE(VLOOKUP(B84,DisplayOrder[#All],2,FALSE))</f>
        <v>Reserved-77</v>
      </c>
      <c r="D84" s="116" t="str">
        <f>_xlfn.SINGLE(VLOOKUP(B84,DisplayOrder!A:C,3,FALSE))</f>
        <v>each</v>
      </c>
      <c r="E84" s="117" t="str">
        <f>IF(VLOOKUP(_xlfn.CONCAT(E$6,$C84),BurnRate!$G$3:$P$1102,10,FALSE)="NR",IF(SUMIF(FAS_Centralized!K:K,C84,FAS_Centralized!N:N)=0,"NR",SUMIF(FAS_Centralized!K:K,C84,FAS_Centralized!N:N)),SUMIF(FAS_Centralized!K:K,C84,FAS_Centralized!N:N))</f>
        <v>NR</v>
      </c>
      <c r="F84" s="148" t="str">
        <f>IF(VLOOKUP(_xlfn.CONCAT(E$6,$C84),BurnRate!$G$3:$P$1102,10,FALSE)="NR","NR",IF(E84="NR","NR",E84/(VLOOKUP(_xlfn.CONCAT(E$6,$C84),BurnRate!$G$3:$P$1102,10,FALSE)/90)))</f>
        <v>NR</v>
      </c>
      <c r="G84" s="169" t="str">
        <f>IF(SUM(VLOOKUP($C84,DATA_Depts[[#All],[COVID-19 Item List]:[SCL]],MATCH(G$6,DATA_Depts[[#Headers],[COVID-19 Item List]:[SCL]],0),FALSE)=0),IF(VLOOKUP(_xlfn.CONCAT(G$6,$C84),BurnRate!$G$3:$P$1102,10,FALSE)="NR","NR",0),VLOOKUP($C84,DATA_Depts[[#All],[COVID-19 Item List]:[SCL]],MATCH(G$6,DATA_Depts[[#Headers],[COVID-19 Item List]:[SCL]],0),FALSE))</f>
        <v>NR</v>
      </c>
      <c r="H84" s="148" t="str">
        <f>IF(VLOOKUP(_xlfn.CONCAT(G$6,$C84),BurnRate!$G$3:$P$1102,10,FALSE)="NR","NR",IF(G84="NR","NR",G84/(VLOOKUP(_xlfn.CONCAT(G$6,$C84),BurnRate!$G$3:$P$1102,10,FALSE)/90)))</f>
        <v>NR</v>
      </c>
      <c r="I84" s="169" t="str">
        <f>IF(SUM(VLOOKUP($C84,DATA_Depts[[#All],[COVID-19 Item List]:[SCL]],MATCH(I$6,DATA_Depts[[#Headers],[COVID-19 Item List]:[SCL]],0),FALSE)=0),IF(VLOOKUP(_xlfn.CONCAT(I$6,$C84),BurnRate!$G$3:$P$1102,10,FALSE)="NR","NR",0),VLOOKUP($C84,DATA_Depts[[#All],[COVID-19 Item List]:[SCL]],MATCH(I$6,DATA_Depts[[#Headers],[COVID-19 Item List]:[SCL]],0),FALSE))</f>
        <v>NR</v>
      </c>
      <c r="J84" s="148" t="str">
        <f>IF(VLOOKUP(_xlfn.CONCAT(I$6,$C84),BurnRate!$G$3:$P$1102,10,FALSE)="NR","NR",IF(I84="NR","NR",I84/(VLOOKUP(_xlfn.CONCAT(I$6,$C84),BurnRate!$G$3:$P$1102,10,FALSE)/90)))</f>
        <v>NR</v>
      </c>
      <c r="K84" s="169" t="str">
        <f>IF(SUM(VLOOKUP($C84,DATA_Depts[[#All],[COVID-19 Item List]:[SCL]],MATCH(K$6,DATA_Depts[[#Headers],[COVID-19 Item List]:[SCL]],0),FALSE)=0),IF(VLOOKUP(_xlfn.CONCAT(K$6,$C84),BurnRate!$G$3:$P$1102,10,FALSE)="NR","NR",0),VLOOKUP($C84,DATA_Depts[[#All],[COVID-19 Item List]:[SCL]],MATCH(K$6,DATA_Depts[[#Headers],[COVID-19 Item List]:[SCL]],0),FALSE))</f>
        <v>NR</v>
      </c>
      <c r="L84" s="148" t="str">
        <f>IF(VLOOKUP(_xlfn.CONCAT(K$6,$C84),BurnRate!$G$3:$P$1102,10,FALSE)="NR","NR",IF(K84="NR","NR",K84/(VLOOKUP(_xlfn.CONCAT(K$6,$C84),BurnRate!$G$3:$P$1102,10,FALSE)/90)))</f>
        <v>NR</v>
      </c>
      <c r="M84" s="169" t="str">
        <f>IF(SUM(VLOOKUP($C84,DATA_Depts[[#All],[COVID-19 Item List]:[SCL]],MATCH(M$6,DATA_Depts[[#Headers],[COVID-19 Item List]:[SCL]],0),FALSE)=0),IF(VLOOKUP(_xlfn.CONCAT(M$6,$C84),BurnRate!$G$3:$P$1102,10,FALSE)="NR","NR",0),VLOOKUP($C84,DATA_Depts[[#All],[COVID-19 Item List]:[SCL]],MATCH(M$6,DATA_Depts[[#Headers],[COVID-19 Item List]:[SCL]],0),FALSE))</f>
        <v>NR</v>
      </c>
      <c r="N84" s="148" t="str">
        <f>IF(VLOOKUP(_xlfn.CONCAT(M$6,$C84),BurnRate!$G$3:$P$1102,10,FALSE)="NR","NR",IF(M84="NR","NR",M84/(VLOOKUP(_xlfn.CONCAT(M$6,$C84),BurnRate!$G$3:$P$1102,10,FALSE)/90)))</f>
        <v>NR</v>
      </c>
      <c r="O84" s="169" t="str">
        <f>IF(SUM(VLOOKUP($C84,DATA_Depts[[#All],[COVID-19 Item List]:[SCL]],MATCH(O$6,DATA_Depts[[#Headers],[COVID-19 Item List]:[SCL]],0),FALSE)=0),IF(VLOOKUP(_xlfn.CONCAT(O$6,$C84),BurnRate!$G$3:$P$1102,10,FALSE)="NR","NR",0),VLOOKUP($C84,DATA_Depts[[#All],[COVID-19 Item List]:[SCL]],MATCH(O$6,DATA_Depts[[#Headers],[COVID-19 Item List]:[SCL]],0),FALSE))</f>
        <v>NR</v>
      </c>
      <c r="P84" s="148" t="str">
        <f>IF(VLOOKUP(_xlfn.CONCAT(O$6,$C84),BurnRate!$G$3:$P$1102,10,FALSE)="NR","NR",IF(O84="NR","NR",O84/(VLOOKUP(_xlfn.CONCAT(O$6,$C84),BurnRate!$G$3:$P$1102,10,FALSE)/90)))</f>
        <v>NR</v>
      </c>
      <c r="Q84" s="169" t="str">
        <f>IF(SUM(VLOOKUP($C84,DATA_Depts[[#All],[COVID-19 Item List]:[SCL]],MATCH(Q$6,DATA_Depts[[#Headers],[COVID-19 Item List]:[SCL]],0),FALSE)=0),IF(VLOOKUP(_xlfn.CONCAT(Q$6,$C84),BurnRate!$G$3:$P$1102,10,FALSE)="NR","NR",0),VLOOKUP($C84,DATA_Depts[[#All],[COVID-19 Item List]:[SCL]],MATCH(Q$6,DATA_Depts[[#Headers],[COVID-19 Item List]:[SCL]],0),FALSE))</f>
        <v>NR</v>
      </c>
      <c r="R84" s="148" t="str">
        <f>IF(VLOOKUP(_xlfn.CONCAT(Q$6,$C84),BurnRate!$G$3:$P$1102,10,FALSE)="NR","NR",IF(Q84="NR","NR",Q84/(VLOOKUP(_xlfn.CONCAT(Q$6,$C84),BurnRate!$G$3:$P$1102,10,FALSE)/90)))</f>
        <v>NR</v>
      </c>
      <c r="S84" s="169" t="str">
        <f>IF(SUM(VLOOKUP($C84,DATA_Depts[[#All],[COVID-19 Item List]:[SCL]],MATCH(S$6,DATA_Depts[[#Headers],[COVID-19 Item List]:[SCL]],0),FALSE)=0),IF(VLOOKUP(_xlfn.CONCAT(S$6,$C84),BurnRate!$G$3:$P$1102,10,FALSE)="NR","NR",0),VLOOKUP($C84,DATA_Depts[[#All],[COVID-19 Item List]:[SCL]],MATCH(S$6,DATA_Depts[[#Headers],[COVID-19 Item List]:[SCL]],0),FALSE))</f>
        <v>NR</v>
      </c>
      <c r="T84" s="148" t="str">
        <f>IF(VLOOKUP(_xlfn.CONCAT(S$6,$C84),BurnRate!$G$3:$P$1102,10,FALSE)="NR","NR",IF(S84="NR","NR",S84/(VLOOKUP(_xlfn.CONCAT(S$6,$C84),BurnRate!$G$3:$P$1102,10,FALSE)/90)))</f>
        <v>NR</v>
      </c>
      <c r="U84" s="169" t="str">
        <f>IF(SUM(VLOOKUP($C84,DATA_Depts[[#All],[COVID-19 Item List]:[SCL]],MATCH(U$6,DATA_Depts[[#Headers],[COVID-19 Item List]:[SCL]],0),FALSE)=0),IF(VLOOKUP(_xlfn.CONCAT(U$6,$C84),BurnRate!$G$3:$P$1102,10,FALSE)="NR","NR",0),VLOOKUP($C84,DATA_Depts[[#All],[COVID-19 Item List]:[SCL]],MATCH(U$6,DATA_Depts[[#Headers],[COVID-19 Item List]:[SCL]],0),FALSE))</f>
        <v>NR</v>
      </c>
      <c r="V84" s="148" t="str">
        <f>IF(VLOOKUP(_xlfn.CONCAT(U$6,$C84),BurnRate!$G$3:$P$1102,10,FALSE)="NR","NR",IF(U84="NR","NR",U84/(VLOOKUP(_xlfn.CONCAT(U$6,$C84),BurnRate!$G$3:$P$1102,10,FALSE)/90)))</f>
        <v>NR</v>
      </c>
      <c r="W84" s="169" t="str">
        <f>IF(SUM(VLOOKUP($C84,DATA_Depts[[#All],[COVID-19 Item List]:[SCL]],MATCH(W$6,DATA_Depts[[#Headers],[COVID-19 Item List]:[SCL]],0),FALSE)=0),IF(VLOOKUP(_xlfn.CONCAT(W$6,$C84),BurnRate!$G$3:$P$1102,10,FALSE)="NR","NR",0),VLOOKUP($C84,DATA_Depts[[#All],[COVID-19 Item List]:[SCL]],MATCH(W$6,DATA_Depts[[#Headers],[COVID-19 Item List]:[SCL]],0),FALSE))</f>
        <v>NR</v>
      </c>
      <c r="X84" s="148" t="str">
        <f>IF(VLOOKUP(_xlfn.CONCAT(W$6,$C84),BurnRate!$G$3:$P$1102,10,FALSE)="NR","NR",IF(W84="NR","NR",W84/(VLOOKUP(_xlfn.CONCAT(W$6,$C84),BurnRate!$G$3:$P$1102,10,FALSE)/90)))</f>
        <v>NR</v>
      </c>
      <c r="Y84" s="169" t="str">
        <f>IF(SUM(VLOOKUP($C84,DATA_Depts[[#All],[COVID-19 Item List]:[SCL]],MATCH(Y$6,DATA_Depts[[#Headers],[COVID-19 Item List]:[SCL]],0),FALSE)=0),IF(VLOOKUP(_xlfn.CONCAT(Y$6,$C84),BurnRate!$G$3:$P$1102,10,FALSE)="NR","NR",0),VLOOKUP($C84,DATA_Depts[[#All],[COVID-19 Item List]:[SCL]],MATCH(Y$6,DATA_Depts[[#Headers],[COVID-19 Item List]:[SCL]],0),FALSE))</f>
        <v>NR</v>
      </c>
      <c r="Z84" s="148" t="str">
        <f>IF(VLOOKUP(_xlfn.CONCAT(Y$6,$C84),BurnRate!$G$3:$P$1102,10,FALSE)="NR","NR",IF(Y84="NR","NR",Y84/(VLOOKUP(_xlfn.CONCAT(Y$6,$C84),BurnRate!$G$3:$P$1102,10,FALSE)/90)))</f>
        <v>NR</v>
      </c>
    </row>
    <row r="85" spans="2:26" s="43" customFormat="1" ht="11" hidden="1">
      <c r="B85" s="46">
        <v>78</v>
      </c>
      <c r="C85" s="47" t="str">
        <f>_xlfn.SINGLE(VLOOKUP(B85,DisplayOrder[#All],2,FALSE))</f>
        <v>Reserved-78</v>
      </c>
      <c r="D85" s="116" t="str">
        <f>_xlfn.SINGLE(VLOOKUP(B85,DisplayOrder!A:C,3,FALSE))</f>
        <v>each</v>
      </c>
      <c r="E85" s="117" t="str">
        <f>IF(VLOOKUP(_xlfn.CONCAT(E$6,$C85),BurnRate!$G$3:$P$1102,10,FALSE)="NR",IF(SUMIF(FAS_Centralized!K:K,C85,FAS_Centralized!N:N)=0,"NR",SUMIF(FAS_Centralized!K:K,C85,FAS_Centralized!N:N)),SUMIF(FAS_Centralized!K:K,C85,FAS_Centralized!N:N))</f>
        <v>NR</v>
      </c>
      <c r="F85" s="148" t="str">
        <f>IF(VLOOKUP(_xlfn.CONCAT(E$6,$C85),BurnRate!$G$3:$P$1102,10,FALSE)="NR","NR",IF(E85="NR","NR",E85/(VLOOKUP(_xlfn.CONCAT(E$6,$C85),BurnRate!$G$3:$P$1102,10,FALSE)/90)))</f>
        <v>NR</v>
      </c>
      <c r="G85" s="169" t="str">
        <f>IF(SUM(VLOOKUP($C85,DATA_Depts[[#All],[COVID-19 Item List]:[SCL]],MATCH(G$6,DATA_Depts[[#Headers],[COVID-19 Item List]:[SCL]],0),FALSE)=0),IF(VLOOKUP(_xlfn.CONCAT(G$6,$C85),BurnRate!$G$3:$P$1102,10,FALSE)="NR","NR",0),VLOOKUP($C85,DATA_Depts[[#All],[COVID-19 Item List]:[SCL]],MATCH(G$6,DATA_Depts[[#Headers],[COVID-19 Item List]:[SCL]],0),FALSE))</f>
        <v>NR</v>
      </c>
      <c r="H85" s="148" t="str">
        <f>IF(VLOOKUP(_xlfn.CONCAT(G$6,$C85),BurnRate!$G$3:$P$1102,10,FALSE)="NR","NR",IF(G85="NR","NR",G85/(VLOOKUP(_xlfn.CONCAT(G$6,$C85),BurnRate!$G$3:$P$1102,10,FALSE)/90)))</f>
        <v>NR</v>
      </c>
      <c r="I85" s="169" t="str">
        <f>IF(SUM(VLOOKUP($C85,DATA_Depts[[#All],[COVID-19 Item List]:[SCL]],MATCH(I$6,DATA_Depts[[#Headers],[COVID-19 Item List]:[SCL]],0),FALSE)=0),IF(VLOOKUP(_xlfn.CONCAT(I$6,$C85),BurnRate!$G$3:$P$1102,10,FALSE)="NR","NR",0),VLOOKUP($C85,DATA_Depts[[#All],[COVID-19 Item List]:[SCL]],MATCH(I$6,DATA_Depts[[#Headers],[COVID-19 Item List]:[SCL]],0),FALSE))</f>
        <v>NR</v>
      </c>
      <c r="J85" s="148" t="str">
        <f>IF(VLOOKUP(_xlfn.CONCAT(I$6,$C85),BurnRate!$G$3:$P$1102,10,FALSE)="NR","NR",IF(I85="NR","NR",I85/(VLOOKUP(_xlfn.CONCAT(I$6,$C85),BurnRate!$G$3:$P$1102,10,FALSE)/90)))</f>
        <v>NR</v>
      </c>
      <c r="K85" s="169" t="str">
        <f>IF(SUM(VLOOKUP($C85,DATA_Depts[[#All],[COVID-19 Item List]:[SCL]],MATCH(K$6,DATA_Depts[[#Headers],[COVID-19 Item List]:[SCL]],0),FALSE)=0),IF(VLOOKUP(_xlfn.CONCAT(K$6,$C85),BurnRate!$G$3:$P$1102,10,FALSE)="NR","NR",0),VLOOKUP($C85,DATA_Depts[[#All],[COVID-19 Item List]:[SCL]],MATCH(K$6,DATA_Depts[[#Headers],[COVID-19 Item List]:[SCL]],0),FALSE))</f>
        <v>NR</v>
      </c>
      <c r="L85" s="148" t="str">
        <f>IF(VLOOKUP(_xlfn.CONCAT(K$6,$C85),BurnRate!$G$3:$P$1102,10,FALSE)="NR","NR",IF(K85="NR","NR",K85/(VLOOKUP(_xlfn.CONCAT(K$6,$C85),BurnRate!$G$3:$P$1102,10,FALSE)/90)))</f>
        <v>NR</v>
      </c>
      <c r="M85" s="169" t="str">
        <f>IF(SUM(VLOOKUP($C85,DATA_Depts[[#All],[COVID-19 Item List]:[SCL]],MATCH(M$6,DATA_Depts[[#Headers],[COVID-19 Item List]:[SCL]],0),FALSE)=0),IF(VLOOKUP(_xlfn.CONCAT(M$6,$C85),BurnRate!$G$3:$P$1102,10,FALSE)="NR","NR",0),VLOOKUP($C85,DATA_Depts[[#All],[COVID-19 Item List]:[SCL]],MATCH(M$6,DATA_Depts[[#Headers],[COVID-19 Item List]:[SCL]],0),FALSE))</f>
        <v>NR</v>
      </c>
      <c r="N85" s="148" t="str">
        <f>IF(VLOOKUP(_xlfn.CONCAT(M$6,$C85),BurnRate!$G$3:$P$1102,10,FALSE)="NR","NR",IF(M85="NR","NR",M85/(VLOOKUP(_xlfn.CONCAT(M$6,$C85),BurnRate!$G$3:$P$1102,10,FALSE)/90)))</f>
        <v>NR</v>
      </c>
      <c r="O85" s="169" t="str">
        <f>IF(SUM(VLOOKUP($C85,DATA_Depts[[#All],[COVID-19 Item List]:[SCL]],MATCH(O$6,DATA_Depts[[#Headers],[COVID-19 Item List]:[SCL]],0),FALSE)=0),IF(VLOOKUP(_xlfn.CONCAT(O$6,$C85),BurnRate!$G$3:$P$1102,10,FALSE)="NR","NR",0),VLOOKUP($C85,DATA_Depts[[#All],[COVID-19 Item List]:[SCL]],MATCH(O$6,DATA_Depts[[#Headers],[COVID-19 Item List]:[SCL]],0),FALSE))</f>
        <v>NR</v>
      </c>
      <c r="P85" s="148" t="str">
        <f>IF(VLOOKUP(_xlfn.CONCAT(O$6,$C85),BurnRate!$G$3:$P$1102,10,FALSE)="NR","NR",IF(O85="NR","NR",O85/(VLOOKUP(_xlfn.CONCAT(O$6,$C85),BurnRate!$G$3:$P$1102,10,FALSE)/90)))</f>
        <v>NR</v>
      </c>
      <c r="Q85" s="169" t="str">
        <f>IF(SUM(VLOOKUP($C85,DATA_Depts[[#All],[COVID-19 Item List]:[SCL]],MATCH(Q$6,DATA_Depts[[#Headers],[COVID-19 Item List]:[SCL]],0),FALSE)=0),IF(VLOOKUP(_xlfn.CONCAT(Q$6,$C85),BurnRate!$G$3:$P$1102,10,FALSE)="NR","NR",0),VLOOKUP($C85,DATA_Depts[[#All],[COVID-19 Item List]:[SCL]],MATCH(Q$6,DATA_Depts[[#Headers],[COVID-19 Item List]:[SCL]],0),FALSE))</f>
        <v>NR</v>
      </c>
      <c r="R85" s="148" t="str">
        <f>IF(VLOOKUP(_xlfn.CONCAT(Q$6,$C85),BurnRate!$G$3:$P$1102,10,FALSE)="NR","NR",IF(Q85="NR","NR",Q85/(VLOOKUP(_xlfn.CONCAT(Q$6,$C85),BurnRate!$G$3:$P$1102,10,FALSE)/90)))</f>
        <v>NR</v>
      </c>
      <c r="S85" s="169" t="str">
        <f>IF(SUM(VLOOKUP($C85,DATA_Depts[[#All],[COVID-19 Item List]:[SCL]],MATCH(S$6,DATA_Depts[[#Headers],[COVID-19 Item List]:[SCL]],0),FALSE)=0),IF(VLOOKUP(_xlfn.CONCAT(S$6,$C85),BurnRate!$G$3:$P$1102,10,FALSE)="NR","NR",0),VLOOKUP($C85,DATA_Depts[[#All],[COVID-19 Item List]:[SCL]],MATCH(S$6,DATA_Depts[[#Headers],[COVID-19 Item List]:[SCL]],0),FALSE))</f>
        <v>NR</v>
      </c>
      <c r="T85" s="148" t="str">
        <f>IF(VLOOKUP(_xlfn.CONCAT(S$6,$C85),BurnRate!$G$3:$P$1102,10,FALSE)="NR","NR",IF(S85="NR","NR",S85/(VLOOKUP(_xlfn.CONCAT(S$6,$C85),BurnRate!$G$3:$P$1102,10,FALSE)/90)))</f>
        <v>NR</v>
      </c>
      <c r="U85" s="169" t="str">
        <f>IF(SUM(VLOOKUP($C85,DATA_Depts[[#All],[COVID-19 Item List]:[SCL]],MATCH(U$6,DATA_Depts[[#Headers],[COVID-19 Item List]:[SCL]],0),FALSE)=0),IF(VLOOKUP(_xlfn.CONCAT(U$6,$C85),BurnRate!$G$3:$P$1102,10,FALSE)="NR","NR",0),VLOOKUP($C85,DATA_Depts[[#All],[COVID-19 Item List]:[SCL]],MATCH(U$6,DATA_Depts[[#Headers],[COVID-19 Item List]:[SCL]],0),FALSE))</f>
        <v>NR</v>
      </c>
      <c r="V85" s="148" t="str">
        <f>IF(VLOOKUP(_xlfn.CONCAT(U$6,$C85),BurnRate!$G$3:$P$1102,10,FALSE)="NR","NR",IF(U85="NR","NR",U85/(VLOOKUP(_xlfn.CONCAT(U$6,$C85),BurnRate!$G$3:$P$1102,10,FALSE)/90)))</f>
        <v>NR</v>
      </c>
      <c r="W85" s="169" t="str">
        <f>IF(SUM(VLOOKUP($C85,DATA_Depts[[#All],[COVID-19 Item List]:[SCL]],MATCH(W$6,DATA_Depts[[#Headers],[COVID-19 Item List]:[SCL]],0),FALSE)=0),IF(VLOOKUP(_xlfn.CONCAT(W$6,$C85),BurnRate!$G$3:$P$1102,10,FALSE)="NR","NR",0),VLOOKUP($C85,DATA_Depts[[#All],[COVID-19 Item List]:[SCL]],MATCH(W$6,DATA_Depts[[#Headers],[COVID-19 Item List]:[SCL]],0),FALSE))</f>
        <v>NR</v>
      </c>
      <c r="X85" s="148" t="str">
        <f>IF(VLOOKUP(_xlfn.CONCAT(W$6,$C85),BurnRate!$G$3:$P$1102,10,FALSE)="NR","NR",IF(W85="NR","NR",W85/(VLOOKUP(_xlfn.CONCAT(W$6,$C85),BurnRate!$G$3:$P$1102,10,FALSE)/90)))</f>
        <v>NR</v>
      </c>
      <c r="Y85" s="169" t="str">
        <f>IF(SUM(VLOOKUP($C85,DATA_Depts[[#All],[COVID-19 Item List]:[SCL]],MATCH(Y$6,DATA_Depts[[#Headers],[COVID-19 Item List]:[SCL]],0),FALSE)=0),IF(VLOOKUP(_xlfn.CONCAT(Y$6,$C85),BurnRate!$G$3:$P$1102,10,FALSE)="NR","NR",0),VLOOKUP($C85,DATA_Depts[[#All],[COVID-19 Item List]:[SCL]],MATCH(Y$6,DATA_Depts[[#Headers],[COVID-19 Item List]:[SCL]],0),FALSE))</f>
        <v>NR</v>
      </c>
      <c r="Z85" s="148" t="str">
        <f>IF(VLOOKUP(_xlfn.CONCAT(Y$6,$C85),BurnRate!$G$3:$P$1102,10,FALSE)="NR","NR",IF(Y85="NR","NR",Y85/(VLOOKUP(_xlfn.CONCAT(Y$6,$C85),BurnRate!$G$3:$P$1102,10,FALSE)/90)))</f>
        <v>NR</v>
      </c>
    </row>
    <row r="86" spans="2:26" s="43" customFormat="1" ht="11" hidden="1">
      <c r="B86" s="46">
        <v>79</v>
      </c>
      <c r="C86" s="47" t="str">
        <f>_xlfn.SINGLE(VLOOKUP(B86,DisplayOrder[#All],2,FALSE))</f>
        <v>Reserved-79</v>
      </c>
      <c r="D86" s="116" t="str">
        <f>_xlfn.SINGLE(VLOOKUP(B86,DisplayOrder!A:C,3,FALSE))</f>
        <v>each</v>
      </c>
      <c r="E86" s="117" t="str">
        <f>IF(VLOOKUP(_xlfn.CONCAT(E$6,$C86),BurnRate!$G$3:$P$1102,10,FALSE)="NR",IF(SUMIF(FAS_Centralized!K:K,C86,FAS_Centralized!N:N)=0,"NR",SUMIF(FAS_Centralized!K:K,C86,FAS_Centralized!N:N)),SUMIF(FAS_Centralized!K:K,C86,FAS_Centralized!N:N))</f>
        <v>NR</v>
      </c>
      <c r="F86" s="148" t="str">
        <f>IF(VLOOKUP(_xlfn.CONCAT(E$6,$C86),BurnRate!$G$3:$P$1102,10,FALSE)="NR","NR",IF(E86="NR","NR",E86/(VLOOKUP(_xlfn.CONCAT(E$6,$C86),BurnRate!$G$3:$P$1102,10,FALSE)/90)))</f>
        <v>NR</v>
      </c>
      <c r="G86" s="169" t="str">
        <f>IF(SUM(VLOOKUP($C86,DATA_Depts[[#All],[COVID-19 Item List]:[SCL]],MATCH(G$6,DATA_Depts[[#Headers],[COVID-19 Item List]:[SCL]],0),FALSE)=0),IF(VLOOKUP(_xlfn.CONCAT(G$6,$C86),BurnRate!$G$3:$P$1102,10,FALSE)="NR","NR",0),VLOOKUP($C86,DATA_Depts[[#All],[COVID-19 Item List]:[SCL]],MATCH(G$6,DATA_Depts[[#Headers],[COVID-19 Item List]:[SCL]],0),FALSE))</f>
        <v>NR</v>
      </c>
      <c r="H86" s="148" t="str">
        <f>IF(VLOOKUP(_xlfn.CONCAT(G$6,$C86),BurnRate!$G$3:$P$1102,10,FALSE)="NR","NR",IF(G86="NR","NR",G86/(VLOOKUP(_xlfn.CONCAT(G$6,$C86),BurnRate!$G$3:$P$1102,10,FALSE)/90)))</f>
        <v>NR</v>
      </c>
      <c r="I86" s="169" t="str">
        <f>IF(SUM(VLOOKUP($C86,DATA_Depts[[#All],[COVID-19 Item List]:[SCL]],MATCH(I$6,DATA_Depts[[#Headers],[COVID-19 Item List]:[SCL]],0),FALSE)=0),IF(VLOOKUP(_xlfn.CONCAT(I$6,$C86),BurnRate!$G$3:$P$1102,10,FALSE)="NR","NR",0),VLOOKUP($C86,DATA_Depts[[#All],[COVID-19 Item List]:[SCL]],MATCH(I$6,DATA_Depts[[#Headers],[COVID-19 Item List]:[SCL]],0),FALSE))</f>
        <v>NR</v>
      </c>
      <c r="J86" s="148" t="str">
        <f>IF(VLOOKUP(_xlfn.CONCAT(I$6,$C86),BurnRate!$G$3:$P$1102,10,FALSE)="NR","NR",IF(I86="NR","NR",I86/(VLOOKUP(_xlfn.CONCAT(I$6,$C86),BurnRate!$G$3:$P$1102,10,FALSE)/90)))</f>
        <v>NR</v>
      </c>
      <c r="K86" s="169" t="str">
        <f>IF(SUM(VLOOKUP($C86,DATA_Depts[[#All],[COVID-19 Item List]:[SCL]],MATCH(K$6,DATA_Depts[[#Headers],[COVID-19 Item List]:[SCL]],0),FALSE)=0),IF(VLOOKUP(_xlfn.CONCAT(K$6,$C86),BurnRate!$G$3:$P$1102,10,FALSE)="NR","NR",0),VLOOKUP($C86,DATA_Depts[[#All],[COVID-19 Item List]:[SCL]],MATCH(K$6,DATA_Depts[[#Headers],[COVID-19 Item List]:[SCL]],0),FALSE))</f>
        <v>NR</v>
      </c>
      <c r="L86" s="148" t="str">
        <f>IF(VLOOKUP(_xlfn.CONCAT(K$6,$C86),BurnRate!$G$3:$P$1102,10,FALSE)="NR","NR",IF(K86="NR","NR",K86/(VLOOKUP(_xlfn.CONCAT(K$6,$C86),BurnRate!$G$3:$P$1102,10,FALSE)/90)))</f>
        <v>NR</v>
      </c>
      <c r="M86" s="169" t="str">
        <f>IF(SUM(VLOOKUP($C86,DATA_Depts[[#All],[COVID-19 Item List]:[SCL]],MATCH(M$6,DATA_Depts[[#Headers],[COVID-19 Item List]:[SCL]],0),FALSE)=0),IF(VLOOKUP(_xlfn.CONCAT(M$6,$C86),BurnRate!$G$3:$P$1102,10,FALSE)="NR","NR",0),VLOOKUP($C86,DATA_Depts[[#All],[COVID-19 Item List]:[SCL]],MATCH(M$6,DATA_Depts[[#Headers],[COVID-19 Item List]:[SCL]],0),FALSE))</f>
        <v>NR</v>
      </c>
      <c r="N86" s="148" t="str">
        <f>IF(VLOOKUP(_xlfn.CONCAT(M$6,$C86),BurnRate!$G$3:$P$1102,10,FALSE)="NR","NR",IF(M86="NR","NR",M86/(VLOOKUP(_xlfn.CONCAT(M$6,$C86),BurnRate!$G$3:$P$1102,10,FALSE)/90)))</f>
        <v>NR</v>
      </c>
      <c r="O86" s="169" t="str">
        <f>IF(SUM(VLOOKUP($C86,DATA_Depts[[#All],[COVID-19 Item List]:[SCL]],MATCH(O$6,DATA_Depts[[#Headers],[COVID-19 Item List]:[SCL]],0),FALSE)=0),IF(VLOOKUP(_xlfn.CONCAT(O$6,$C86),BurnRate!$G$3:$P$1102,10,FALSE)="NR","NR",0),VLOOKUP($C86,DATA_Depts[[#All],[COVID-19 Item List]:[SCL]],MATCH(O$6,DATA_Depts[[#Headers],[COVID-19 Item List]:[SCL]],0),FALSE))</f>
        <v>NR</v>
      </c>
      <c r="P86" s="148" t="str">
        <f>IF(VLOOKUP(_xlfn.CONCAT(O$6,$C86),BurnRate!$G$3:$P$1102,10,FALSE)="NR","NR",IF(O86="NR","NR",O86/(VLOOKUP(_xlfn.CONCAT(O$6,$C86),BurnRate!$G$3:$P$1102,10,FALSE)/90)))</f>
        <v>NR</v>
      </c>
      <c r="Q86" s="169" t="str">
        <f>IF(SUM(VLOOKUP($C86,DATA_Depts[[#All],[COVID-19 Item List]:[SCL]],MATCH(Q$6,DATA_Depts[[#Headers],[COVID-19 Item List]:[SCL]],0),FALSE)=0),IF(VLOOKUP(_xlfn.CONCAT(Q$6,$C86),BurnRate!$G$3:$P$1102,10,FALSE)="NR","NR",0),VLOOKUP($C86,DATA_Depts[[#All],[COVID-19 Item List]:[SCL]],MATCH(Q$6,DATA_Depts[[#Headers],[COVID-19 Item List]:[SCL]],0),FALSE))</f>
        <v>NR</v>
      </c>
      <c r="R86" s="148" t="str">
        <f>IF(VLOOKUP(_xlfn.CONCAT(Q$6,$C86),BurnRate!$G$3:$P$1102,10,FALSE)="NR","NR",IF(Q86="NR","NR",Q86/(VLOOKUP(_xlfn.CONCAT(Q$6,$C86),BurnRate!$G$3:$P$1102,10,FALSE)/90)))</f>
        <v>NR</v>
      </c>
      <c r="S86" s="169" t="str">
        <f>IF(SUM(VLOOKUP($C86,DATA_Depts[[#All],[COVID-19 Item List]:[SCL]],MATCH(S$6,DATA_Depts[[#Headers],[COVID-19 Item List]:[SCL]],0),FALSE)=0),IF(VLOOKUP(_xlfn.CONCAT(S$6,$C86),BurnRate!$G$3:$P$1102,10,FALSE)="NR","NR",0),VLOOKUP($C86,DATA_Depts[[#All],[COVID-19 Item List]:[SCL]],MATCH(S$6,DATA_Depts[[#Headers],[COVID-19 Item List]:[SCL]],0),FALSE))</f>
        <v>NR</v>
      </c>
      <c r="T86" s="148" t="str">
        <f>IF(VLOOKUP(_xlfn.CONCAT(S$6,$C86),BurnRate!$G$3:$P$1102,10,FALSE)="NR","NR",IF(S86="NR","NR",S86/(VLOOKUP(_xlfn.CONCAT(S$6,$C86),BurnRate!$G$3:$P$1102,10,FALSE)/90)))</f>
        <v>NR</v>
      </c>
      <c r="U86" s="169" t="str">
        <f>IF(SUM(VLOOKUP($C86,DATA_Depts[[#All],[COVID-19 Item List]:[SCL]],MATCH(U$6,DATA_Depts[[#Headers],[COVID-19 Item List]:[SCL]],0),FALSE)=0),IF(VLOOKUP(_xlfn.CONCAT(U$6,$C86),BurnRate!$G$3:$P$1102,10,FALSE)="NR","NR",0),VLOOKUP($C86,DATA_Depts[[#All],[COVID-19 Item List]:[SCL]],MATCH(U$6,DATA_Depts[[#Headers],[COVID-19 Item List]:[SCL]],0),FALSE))</f>
        <v>NR</v>
      </c>
      <c r="V86" s="148" t="str">
        <f>IF(VLOOKUP(_xlfn.CONCAT(U$6,$C86),BurnRate!$G$3:$P$1102,10,FALSE)="NR","NR",IF(U86="NR","NR",U86/(VLOOKUP(_xlfn.CONCAT(U$6,$C86),BurnRate!$G$3:$P$1102,10,FALSE)/90)))</f>
        <v>NR</v>
      </c>
      <c r="W86" s="169" t="str">
        <f>IF(SUM(VLOOKUP($C86,DATA_Depts[[#All],[COVID-19 Item List]:[SCL]],MATCH(W$6,DATA_Depts[[#Headers],[COVID-19 Item List]:[SCL]],0),FALSE)=0),IF(VLOOKUP(_xlfn.CONCAT(W$6,$C86),BurnRate!$G$3:$P$1102,10,FALSE)="NR","NR",0),VLOOKUP($C86,DATA_Depts[[#All],[COVID-19 Item List]:[SCL]],MATCH(W$6,DATA_Depts[[#Headers],[COVID-19 Item List]:[SCL]],0),FALSE))</f>
        <v>NR</v>
      </c>
      <c r="X86" s="148" t="str">
        <f>IF(VLOOKUP(_xlfn.CONCAT(W$6,$C86),BurnRate!$G$3:$P$1102,10,FALSE)="NR","NR",IF(W86="NR","NR",W86/(VLOOKUP(_xlfn.CONCAT(W$6,$C86),BurnRate!$G$3:$P$1102,10,FALSE)/90)))</f>
        <v>NR</v>
      </c>
      <c r="Y86" s="169" t="str">
        <f>IF(SUM(VLOOKUP($C86,DATA_Depts[[#All],[COVID-19 Item List]:[SCL]],MATCH(Y$6,DATA_Depts[[#Headers],[COVID-19 Item List]:[SCL]],0),FALSE)=0),IF(VLOOKUP(_xlfn.CONCAT(Y$6,$C86),BurnRate!$G$3:$P$1102,10,FALSE)="NR","NR",0),VLOOKUP($C86,DATA_Depts[[#All],[COVID-19 Item List]:[SCL]],MATCH(Y$6,DATA_Depts[[#Headers],[COVID-19 Item List]:[SCL]],0),FALSE))</f>
        <v>NR</v>
      </c>
      <c r="Z86" s="148" t="str">
        <f>IF(VLOOKUP(_xlfn.CONCAT(Y$6,$C86),BurnRate!$G$3:$P$1102,10,FALSE)="NR","NR",IF(Y86="NR","NR",Y86/(VLOOKUP(_xlfn.CONCAT(Y$6,$C86),BurnRate!$G$3:$P$1102,10,FALSE)/90)))</f>
        <v>NR</v>
      </c>
    </row>
    <row r="87" spans="2:26" s="43" customFormat="1" ht="11" hidden="1">
      <c r="B87" s="46">
        <v>80</v>
      </c>
      <c r="C87" s="47" t="str">
        <f>_xlfn.SINGLE(VLOOKUP(B87,DisplayOrder[#All],2,FALSE))</f>
        <v>Reserved-80</v>
      </c>
      <c r="D87" s="116" t="str">
        <f>_xlfn.SINGLE(VLOOKUP(B87,DisplayOrder!A:C,3,FALSE))</f>
        <v>each</v>
      </c>
      <c r="E87" s="117" t="str">
        <f>IF(VLOOKUP(_xlfn.CONCAT(E$6,$C87),BurnRate!$G$3:$P$1102,10,FALSE)="NR",IF(SUMIF(FAS_Centralized!K:K,C87,FAS_Centralized!N:N)=0,"NR",SUMIF(FAS_Centralized!K:K,C87,FAS_Centralized!N:N)),SUMIF(FAS_Centralized!K:K,C87,FAS_Centralized!N:N))</f>
        <v>NR</v>
      </c>
      <c r="F87" s="148" t="str">
        <f>IF(VLOOKUP(_xlfn.CONCAT(E$6,$C87),BurnRate!$G$3:$P$1102,10,FALSE)="NR","NR",IF(E87="NR","NR",E87/(VLOOKUP(_xlfn.CONCAT(E$6,$C87),BurnRate!$G$3:$P$1102,10,FALSE)/90)))</f>
        <v>NR</v>
      </c>
      <c r="G87" s="169" t="str">
        <f>IF(SUM(VLOOKUP($C87,DATA_Depts[[#All],[COVID-19 Item List]:[SCL]],MATCH(G$6,DATA_Depts[[#Headers],[COVID-19 Item List]:[SCL]],0),FALSE)=0),IF(VLOOKUP(_xlfn.CONCAT(G$6,$C87),BurnRate!$G$3:$P$1102,10,FALSE)="NR","NR",0),VLOOKUP($C87,DATA_Depts[[#All],[COVID-19 Item List]:[SCL]],MATCH(G$6,DATA_Depts[[#Headers],[COVID-19 Item List]:[SCL]],0),FALSE))</f>
        <v>NR</v>
      </c>
      <c r="H87" s="148" t="str">
        <f>IF(VLOOKUP(_xlfn.CONCAT(G$6,$C87),BurnRate!$G$3:$P$1102,10,FALSE)="NR","NR",IF(G87="NR","NR",G87/(VLOOKUP(_xlfn.CONCAT(G$6,$C87),BurnRate!$G$3:$P$1102,10,FALSE)/90)))</f>
        <v>NR</v>
      </c>
      <c r="I87" s="169" t="str">
        <f>IF(SUM(VLOOKUP($C87,DATA_Depts[[#All],[COVID-19 Item List]:[SCL]],MATCH(I$6,DATA_Depts[[#Headers],[COVID-19 Item List]:[SCL]],0),FALSE)=0),IF(VLOOKUP(_xlfn.CONCAT(I$6,$C87),BurnRate!$G$3:$P$1102,10,FALSE)="NR","NR",0),VLOOKUP($C87,DATA_Depts[[#All],[COVID-19 Item List]:[SCL]],MATCH(I$6,DATA_Depts[[#Headers],[COVID-19 Item List]:[SCL]],0),FALSE))</f>
        <v>NR</v>
      </c>
      <c r="J87" s="148" t="str">
        <f>IF(VLOOKUP(_xlfn.CONCAT(I$6,$C87),BurnRate!$G$3:$P$1102,10,FALSE)="NR","NR",IF(I87="NR","NR",I87/(VLOOKUP(_xlfn.CONCAT(I$6,$C87),BurnRate!$G$3:$P$1102,10,FALSE)/90)))</f>
        <v>NR</v>
      </c>
      <c r="K87" s="169" t="str">
        <f>IF(SUM(VLOOKUP($C87,DATA_Depts[[#All],[COVID-19 Item List]:[SCL]],MATCH(K$6,DATA_Depts[[#Headers],[COVID-19 Item List]:[SCL]],0),FALSE)=0),IF(VLOOKUP(_xlfn.CONCAT(K$6,$C87),BurnRate!$G$3:$P$1102,10,FALSE)="NR","NR",0),VLOOKUP($C87,DATA_Depts[[#All],[COVID-19 Item List]:[SCL]],MATCH(K$6,DATA_Depts[[#Headers],[COVID-19 Item List]:[SCL]],0),FALSE))</f>
        <v>NR</v>
      </c>
      <c r="L87" s="148" t="str">
        <f>IF(VLOOKUP(_xlfn.CONCAT(K$6,$C87),BurnRate!$G$3:$P$1102,10,FALSE)="NR","NR",IF(K87="NR","NR",K87/(VLOOKUP(_xlfn.CONCAT(K$6,$C87),BurnRate!$G$3:$P$1102,10,FALSE)/90)))</f>
        <v>NR</v>
      </c>
      <c r="M87" s="169" t="str">
        <f>IF(SUM(VLOOKUP($C87,DATA_Depts[[#All],[COVID-19 Item List]:[SCL]],MATCH(M$6,DATA_Depts[[#Headers],[COVID-19 Item List]:[SCL]],0),FALSE)=0),IF(VLOOKUP(_xlfn.CONCAT(M$6,$C87),BurnRate!$G$3:$P$1102,10,FALSE)="NR","NR",0),VLOOKUP($C87,DATA_Depts[[#All],[COVID-19 Item List]:[SCL]],MATCH(M$6,DATA_Depts[[#Headers],[COVID-19 Item List]:[SCL]],0),FALSE))</f>
        <v>NR</v>
      </c>
      <c r="N87" s="148" t="str">
        <f>IF(VLOOKUP(_xlfn.CONCAT(M$6,$C87),BurnRate!$G$3:$P$1102,10,FALSE)="NR","NR",IF(M87="NR","NR",M87/(VLOOKUP(_xlfn.CONCAT(M$6,$C87),BurnRate!$G$3:$P$1102,10,FALSE)/90)))</f>
        <v>NR</v>
      </c>
      <c r="O87" s="169" t="str">
        <f>IF(SUM(VLOOKUP($C87,DATA_Depts[[#All],[COVID-19 Item List]:[SCL]],MATCH(O$6,DATA_Depts[[#Headers],[COVID-19 Item List]:[SCL]],0),FALSE)=0),IF(VLOOKUP(_xlfn.CONCAT(O$6,$C87),BurnRate!$G$3:$P$1102,10,FALSE)="NR","NR",0),VLOOKUP($C87,DATA_Depts[[#All],[COVID-19 Item List]:[SCL]],MATCH(O$6,DATA_Depts[[#Headers],[COVID-19 Item List]:[SCL]],0),FALSE))</f>
        <v>NR</v>
      </c>
      <c r="P87" s="148" t="str">
        <f>IF(VLOOKUP(_xlfn.CONCAT(O$6,$C87),BurnRate!$G$3:$P$1102,10,FALSE)="NR","NR",IF(O87="NR","NR",O87/(VLOOKUP(_xlfn.CONCAT(O$6,$C87),BurnRate!$G$3:$P$1102,10,FALSE)/90)))</f>
        <v>NR</v>
      </c>
      <c r="Q87" s="169" t="str">
        <f>IF(SUM(VLOOKUP($C87,DATA_Depts[[#All],[COVID-19 Item List]:[SCL]],MATCH(Q$6,DATA_Depts[[#Headers],[COVID-19 Item List]:[SCL]],0),FALSE)=0),IF(VLOOKUP(_xlfn.CONCAT(Q$6,$C87),BurnRate!$G$3:$P$1102,10,FALSE)="NR","NR",0),VLOOKUP($C87,DATA_Depts[[#All],[COVID-19 Item List]:[SCL]],MATCH(Q$6,DATA_Depts[[#Headers],[COVID-19 Item List]:[SCL]],0),FALSE))</f>
        <v>NR</v>
      </c>
      <c r="R87" s="148" t="str">
        <f>IF(VLOOKUP(_xlfn.CONCAT(Q$6,$C87),BurnRate!$G$3:$P$1102,10,FALSE)="NR","NR",IF(Q87="NR","NR",Q87/(VLOOKUP(_xlfn.CONCAT(Q$6,$C87),BurnRate!$G$3:$P$1102,10,FALSE)/90)))</f>
        <v>NR</v>
      </c>
      <c r="S87" s="169" t="str">
        <f>IF(SUM(VLOOKUP($C87,DATA_Depts[[#All],[COVID-19 Item List]:[SCL]],MATCH(S$6,DATA_Depts[[#Headers],[COVID-19 Item List]:[SCL]],0),FALSE)=0),IF(VLOOKUP(_xlfn.CONCAT(S$6,$C87),BurnRate!$G$3:$P$1102,10,FALSE)="NR","NR",0),VLOOKUP($C87,DATA_Depts[[#All],[COVID-19 Item List]:[SCL]],MATCH(S$6,DATA_Depts[[#Headers],[COVID-19 Item List]:[SCL]],0),FALSE))</f>
        <v>NR</v>
      </c>
      <c r="T87" s="148" t="str">
        <f>IF(VLOOKUP(_xlfn.CONCAT(S$6,$C87),BurnRate!$G$3:$P$1102,10,FALSE)="NR","NR",IF(S87="NR","NR",S87/(VLOOKUP(_xlfn.CONCAT(S$6,$C87),BurnRate!$G$3:$P$1102,10,FALSE)/90)))</f>
        <v>NR</v>
      </c>
      <c r="U87" s="169" t="str">
        <f>IF(SUM(VLOOKUP($C87,DATA_Depts[[#All],[COVID-19 Item List]:[SCL]],MATCH(U$6,DATA_Depts[[#Headers],[COVID-19 Item List]:[SCL]],0),FALSE)=0),IF(VLOOKUP(_xlfn.CONCAT(U$6,$C87),BurnRate!$G$3:$P$1102,10,FALSE)="NR","NR",0),VLOOKUP($C87,DATA_Depts[[#All],[COVID-19 Item List]:[SCL]],MATCH(U$6,DATA_Depts[[#Headers],[COVID-19 Item List]:[SCL]],0),FALSE))</f>
        <v>NR</v>
      </c>
      <c r="V87" s="148" t="str">
        <f>IF(VLOOKUP(_xlfn.CONCAT(U$6,$C87),BurnRate!$G$3:$P$1102,10,FALSE)="NR","NR",IF(U87="NR","NR",U87/(VLOOKUP(_xlfn.CONCAT(U$6,$C87),BurnRate!$G$3:$P$1102,10,FALSE)/90)))</f>
        <v>NR</v>
      </c>
      <c r="W87" s="169" t="str">
        <f>IF(SUM(VLOOKUP($C87,DATA_Depts[[#All],[COVID-19 Item List]:[SCL]],MATCH(W$6,DATA_Depts[[#Headers],[COVID-19 Item List]:[SCL]],0),FALSE)=0),IF(VLOOKUP(_xlfn.CONCAT(W$6,$C87),BurnRate!$G$3:$P$1102,10,FALSE)="NR","NR",0),VLOOKUP($C87,DATA_Depts[[#All],[COVID-19 Item List]:[SCL]],MATCH(W$6,DATA_Depts[[#Headers],[COVID-19 Item List]:[SCL]],0),FALSE))</f>
        <v>NR</v>
      </c>
      <c r="X87" s="148" t="str">
        <f>IF(VLOOKUP(_xlfn.CONCAT(W$6,$C87),BurnRate!$G$3:$P$1102,10,FALSE)="NR","NR",IF(W87="NR","NR",W87/(VLOOKUP(_xlfn.CONCAT(W$6,$C87),BurnRate!$G$3:$P$1102,10,FALSE)/90)))</f>
        <v>NR</v>
      </c>
      <c r="Y87" s="169" t="str">
        <f>IF(SUM(VLOOKUP($C87,DATA_Depts[[#All],[COVID-19 Item List]:[SCL]],MATCH(Y$6,DATA_Depts[[#Headers],[COVID-19 Item List]:[SCL]],0),FALSE)=0),IF(VLOOKUP(_xlfn.CONCAT(Y$6,$C87),BurnRate!$G$3:$P$1102,10,FALSE)="NR","NR",0),VLOOKUP($C87,DATA_Depts[[#All],[COVID-19 Item List]:[SCL]],MATCH(Y$6,DATA_Depts[[#Headers],[COVID-19 Item List]:[SCL]],0),FALSE))</f>
        <v>NR</v>
      </c>
      <c r="Z87" s="148" t="str">
        <f>IF(VLOOKUP(_xlfn.CONCAT(Y$6,$C87),BurnRate!$G$3:$P$1102,10,FALSE)="NR","NR",IF(Y87="NR","NR",Y87/(VLOOKUP(_xlfn.CONCAT(Y$6,$C87),BurnRate!$G$3:$P$1102,10,FALSE)/90)))</f>
        <v>NR</v>
      </c>
    </row>
    <row r="88" spans="2:26" s="43" customFormat="1" ht="11" hidden="1">
      <c r="B88" s="46">
        <v>81</v>
      </c>
      <c r="C88" s="47" t="str">
        <f>_xlfn.SINGLE(VLOOKUP(B88,DisplayOrder[#All],2,FALSE))</f>
        <v>Reserved-81</v>
      </c>
      <c r="D88" s="116" t="str">
        <f>_xlfn.SINGLE(VLOOKUP(B88,DisplayOrder!A:C,3,FALSE))</f>
        <v>each</v>
      </c>
      <c r="E88" s="117" t="str">
        <f>IF(VLOOKUP(_xlfn.CONCAT(E$6,$C88),BurnRate!$G$3:$P$1102,10,FALSE)="NR",IF(SUMIF(FAS_Centralized!K:K,C88,FAS_Centralized!N:N)=0,"NR",SUMIF(FAS_Centralized!K:K,C88,FAS_Centralized!N:N)),SUMIF(FAS_Centralized!K:K,C88,FAS_Centralized!N:N))</f>
        <v>NR</v>
      </c>
      <c r="F88" s="148" t="str">
        <f>IF(VLOOKUP(_xlfn.CONCAT(E$6,$C88),BurnRate!$G$3:$P$1102,10,FALSE)="NR","NR",IF(E88="NR","NR",E88/(VLOOKUP(_xlfn.CONCAT(E$6,$C88),BurnRate!$G$3:$P$1102,10,FALSE)/90)))</f>
        <v>NR</v>
      </c>
      <c r="G88" s="169" t="str">
        <f>IF(SUM(VLOOKUP($C88,DATA_Depts[[#All],[COVID-19 Item List]:[SCL]],MATCH(G$6,DATA_Depts[[#Headers],[COVID-19 Item List]:[SCL]],0),FALSE)=0),IF(VLOOKUP(_xlfn.CONCAT(G$6,$C88),BurnRate!$G$3:$P$1102,10,FALSE)="NR","NR",0),VLOOKUP($C88,DATA_Depts[[#All],[COVID-19 Item List]:[SCL]],MATCH(G$6,DATA_Depts[[#Headers],[COVID-19 Item List]:[SCL]],0),FALSE))</f>
        <v>NR</v>
      </c>
      <c r="H88" s="148" t="str">
        <f>IF(VLOOKUP(_xlfn.CONCAT(G$6,$C88),BurnRate!$G$3:$P$1102,10,FALSE)="NR","NR",IF(G88="NR","NR",G88/(VLOOKUP(_xlfn.CONCAT(G$6,$C88),BurnRate!$G$3:$P$1102,10,FALSE)/90)))</f>
        <v>NR</v>
      </c>
      <c r="I88" s="169" t="str">
        <f>IF(SUM(VLOOKUP($C88,DATA_Depts[[#All],[COVID-19 Item List]:[SCL]],MATCH(I$6,DATA_Depts[[#Headers],[COVID-19 Item List]:[SCL]],0),FALSE)=0),IF(VLOOKUP(_xlfn.CONCAT(I$6,$C88),BurnRate!$G$3:$P$1102,10,FALSE)="NR","NR",0),VLOOKUP($C88,DATA_Depts[[#All],[COVID-19 Item List]:[SCL]],MATCH(I$6,DATA_Depts[[#Headers],[COVID-19 Item List]:[SCL]],0),FALSE))</f>
        <v>NR</v>
      </c>
      <c r="J88" s="148" t="str">
        <f>IF(VLOOKUP(_xlfn.CONCAT(I$6,$C88),BurnRate!$G$3:$P$1102,10,FALSE)="NR","NR",IF(I88="NR","NR",I88/(VLOOKUP(_xlfn.CONCAT(I$6,$C88),BurnRate!$G$3:$P$1102,10,FALSE)/90)))</f>
        <v>NR</v>
      </c>
      <c r="K88" s="169" t="str">
        <f>IF(SUM(VLOOKUP($C88,DATA_Depts[[#All],[COVID-19 Item List]:[SCL]],MATCH(K$6,DATA_Depts[[#Headers],[COVID-19 Item List]:[SCL]],0),FALSE)=0),IF(VLOOKUP(_xlfn.CONCAT(K$6,$C88),BurnRate!$G$3:$P$1102,10,FALSE)="NR","NR",0),VLOOKUP($C88,DATA_Depts[[#All],[COVID-19 Item List]:[SCL]],MATCH(K$6,DATA_Depts[[#Headers],[COVID-19 Item List]:[SCL]],0),FALSE))</f>
        <v>NR</v>
      </c>
      <c r="L88" s="148" t="str">
        <f>IF(VLOOKUP(_xlfn.CONCAT(K$6,$C88),BurnRate!$G$3:$P$1102,10,FALSE)="NR","NR",IF(K88="NR","NR",K88/(VLOOKUP(_xlfn.CONCAT(K$6,$C88),BurnRate!$G$3:$P$1102,10,FALSE)/90)))</f>
        <v>NR</v>
      </c>
      <c r="M88" s="169" t="str">
        <f>IF(SUM(VLOOKUP($C88,DATA_Depts[[#All],[COVID-19 Item List]:[SCL]],MATCH(M$6,DATA_Depts[[#Headers],[COVID-19 Item List]:[SCL]],0),FALSE)=0),IF(VLOOKUP(_xlfn.CONCAT(M$6,$C88),BurnRate!$G$3:$P$1102,10,FALSE)="NR","NR",0),VLOOKUP($C88,DATA_Depts[[#All],[COVID-19 Item List]:[SCL]],MATCH(M$6,DATA_Depts[[#Headers],[COVID-19 Item List]:[SCL]],0),FALSE))</f>
        <v>NR</v>
      </c>
      <c r="N88" s="148" t="str">
        <f>IF(VLOOKUP(_xlfn.CONCAT(M$6,$C88),BurnRate!$G$3:$P$1102,10,FALSE)="NR","NR",IF(M88="NR","NR",M88/(VLOOKUP(_xlfn.CONCAT(M$6,$C88),BurnRate!$G$3:$P$1102,10,FALSE)/90)))</f>
        <v>NR</v>
      </c>
      <c r="O88" s="169" t="str">
        <f>IF(SUM(VLOOKUP($C88,DATA_Depts[[#All],[COVID-19 Item List]:[SCL]],MATCH(O$6,DATA_Depts[[#Headers],[COVID-19 Item List]:[SCL]],0),FALSE)=0),IF(VLOOKUP(_xlfn.CONCAT(O$6,$C88),BurnRate!$G$3:$P$1102,10,FALSE)="NR","NR",0),VLOOKUP($C88,DATA_Depts[[#All],[COVID-19 Item List]:[SCL]],MATCH(O$6,DATA_Depts[[#Headers],[COVID-19 Item List]:[SCL]],0),FALSE))</f>
        <v>NR</v>
      </c>
      <c r="P88" s="148" t="str">
        <f>IF(VLOOKUP(_xlfn.CONCAT(O$6,$C88),BurnRate!$G$3:$P$1102,10,FALSE)="NR","NR",IF(O88="NR","NR",O88/(VLOOKUP(_xlfn.CONCAT(O$6,$C88),BurnRate!$G$3:$P$1102,10,FALSE)/90)))</f>
        <v>NR</v>
      </c>
      <c r="Q88" s="169" t="str">
        <f>IF(SUM(VLOOKUP($C88,DATA_Depts[[#All],[COVID-19 Item List]:[SCL]],MATCH(Q$6,DATA_Depts[[#Headers],[COVID-19 Item List]:[SCL]],0),FALSE)=0),IF(VLOOKUP(_xlfn.CONCAT(Q$6,$C88),BurnRate!$G$3:$P$1102,10,FALSE)="NR","NR",0),VLOOKUP($C88,DATA_Depts[[#All],[COVID-19 Item List]:[SCL]],MATCH(Q$6,DATA_Depts[[#Headers],[COVID-19 Item List]:[SCL]],0),FALSE))</f>
        <v>NR</v>
      </c>
      <c r="R88" s="148" t="str">
        <f>IF(VLOOKUP(_xlfn.CONCAT(Q$6,$C88),BurnRate!$G$3:$P$1102,10,FALSE)="NR","NR",IF(Q88="NR","NR",Q88/(VLOOKUP(_xlfn.CONCAT(Q$6,$C88),BurnRate!$G$3:$P$1102,10,FALSE)/90)))</f>
        <v>NR</v>
      </c>
      <c r="S88" s="169" t="str">
        <f>IF(SUM(VLOOKUP($C88,DATA_Depts[[#All],[COVID-19 Item List]:[SCL]],MATCH(S$6,DATA_Depts[[#Headers],[COVID-19 Item List]:[SCL]],0),FALSE)=0),IF(VLOOKUP(_xlfn.CONCAT(S$6,$C88),BurnRate!$G$3:$P$1102,10,FALSE)="NR","NR",0),VLOOKUP($C88,DATA_Depts[[#All],[COVID-19 Item List]:[SCL]],MATCH(S$6,DATA_Depts[[#Headers],[COVID-19 Item List]:[SCL]],0),FALSE))</f>
        <v>NR</v>
      </c>
      <c r="T88" s="148" t="str">
        <f>IF(VLOOKUP(_xlfn.CONCAT(S$6,$C88),BurnRate!$G$3:$P$1102,10,FALSE)="NR","NR",IF(S88="NR","NR",S88/(VLOOKUP(_xlfn.CONCAT(S$6,$C88),BurnRate!$G$3:$P$1102,10,FALSE)/90)))</f>
        <v>NR</v>
      </c>
      <c r="U88" s="169" t="str">
        <f>IF(SUM(VLOOKUP($C88,DATA_Depts[[#All],[COVID-19 Item List]:[SCL]],MATCH(U$6,DATA_Depts[[#Headers],[COVID-19 Item List]:[SCL]],0),FALSE)=0),IF(VLOOKUP(_xlfn.CONCAT(U$6,$C88),BurnRate!$G$3:$P$1102,10,FALSE)="NR","NR",0),VLOOKUP($C88,DATA_Depts[[#All],[COVID-19 Item List]:[SCL]],MATCH(U$6,DATA_Depts[[#Headers],[COVID-19 Item List]:[SCL]],0),FALSE))</f>
        <v>NR</v>
      </c>
      <c r="V88" s="148" t="str">
        <f>IF(VLOOKUP(_xlfn.CONCAT(U$6,$C88),BurnRate!$G$3:$P$1102,10,FALSE)="NR","NR",IF(U88="NR","NR",U88/(VLOOKUP(_xlfn.CONCAT(U$6,$C88),BurnRate!$G$3:$P$1102,10,FALSE)/90)))</f>
        <v>NR</v>
      </c>
      <c r="W88" s="169" t="str">
        <f>IF(SUM(VLOOKUP($C88,DATA_Depts[[#All],[COVID-19 Item List]:[SCL]],MATCH(W$6,DATA_Depts[[#Headers],[COVID-19 Item List]:[SCL]],0),FALSE)=0),IF(VLOOKUP(_xlfn.CONCAT(W$6,$C88),BurnRate!$G$3:$P$1102,10,FALSE)="NR","NR",0),VLOOKUP($C88,DATA_Depts[[#All],[COVID-19 Item List]:[SCL]],MATCH(W$6,DATA_Depts[[#Headers],[COVID-19 Item List]:[SCL]],0),FALSE))</f>
        <v>NR</v>
      </c>
      <c r="X88" s="148" t="str">
        <f>IF(VLOOKUP(_xlfn.CONCAT(W$6,$C88),BurnRate!$G$3:$P$1102,10,FALSE)="NR","NR",IF(W88="NR","NR",W88/(VLOOKUP(_xlfn.CONCAT(W$6,$C88),BurnRate!$G$3:$P$1102,10,FALSE)/90)))</f>
        <v>NR</v>
      </c>
      <c r="Y88" s="169" t="str">
        <f>IF(SUM(VLOOKUP($C88,DATA_Depts[[#All],[COVID-19 Item List]:[SCL]],MATCH(Y$6,DATA_Depts[[#Headers],[COVID-19 Item List]:[SCL]],0),FALSE)=0),IF(VLOOKUP(_xlfn.CONCAT(Y$6,$C88),BurnRate!$G$3:$P$1102,10,FALSE)="NR","NR",0),VLOOKUP($C88,DATA_Depts[[#All],[COVID-19 Item List]:[SCL]],MATCH(Y$6,DATA_Depts[[#Headers],[COVID-19 Item List]:[SCL]],0),FALSE))</f>
        <v>NR</v>
      </c>
      <c r="Z88" s="148" t="str">
        <f>IF(VLOOKUP(_xlfn.CONCAT(Y$6,$C88),BurnRate!$G$3:$P$1102,10,FALSE)="NR","NR",IF(Y88="NR","NR",Y88/(VLOOKUP(_xlfn.CONCAT(Y$6,$C88),BurnRate!$G$3:$P$1102,10,FALSE)/90)))</f>
        <v>NR</v>
      </c>
    </row>
    <row r="89" spans="2:26" s="43" customFormat="1" ht="11" hidden="1">
      <c r="B89" s="46">
        <v>82</v>
      </c>
      <c r="C89" s="47" t="str">
        <f>_xlfn.SINGLE(VLOOKUP(B89,DisplayOrder[#All],2,FALSE))</f>
        <v>Reserved-82</v>
      </c>
      <c r="D89" s="116" t="str">
        <f>_xlfn.SINGLE(VLOOKUP(B89,DisplayOrder!A:C,3,FALSE))</f>
        <v>each</v>
      </c>
      <c r="E89" s="117" t="str">
        <f>IF(VLOOKUP(_xlfn.CONCAT(E$6,$C89),BurnRate!$G$3:$P$1102,10,FALSE)="NR",IF(SUMIF(FAS_Centralized!K:K,C89,FAS_Centralized!N:N)=0,"NR",SUMIF(FAS_Centralized!K:K,C89,FAS_Centralized!N:N)),SUMIF(FAS_Centralized!K:K,C89,FAS_Centralized!N:N))</f>
        <v>NR</v>
      </c>
      <c r="F89" s="148" t="str">
        <f>IF(VLOOKUP(_xlfn.CONCAT(E$6,$C89),BurnRate!$G$3:$P$1102,10,FALSE)="NR","NR",IF(E89="NR","NR",E89/(VLOOKUP(_xlfn.CONCAT(E$6,$C89),BurnRate!$G$3:$P$1102,10,FALSE)/90)))</f>
        <v>NR</v>
      </c>
      <c r="G89" s="169" t="str">
        <f>IF(SUM(VLOOKUP($C89,DATA_Depts[[#All],[COVID-19 Item List]:[SCL]],MATCH(G$6,DATA_Depts[[#Headers],[COVID-19 Item List]:[SCL]],0),FALSE)=0),IF(VLOOKUP(_xlfn.CONCAT(G$6,$C89),BurnRate!$G$3:$P$1102,10,FALSE)="NR","NR",0),VLOOKUP($C89,DATA_Depts[[#All],[COVID-19 Item List]:[SCL]],MATCH(G$6,DATA_Depts[[#Headers],[COVID-19 Item List]:[SCL]],0),FALSE))</f>
        <v>NR</v>
      </c>
      <c r="H89" s="148" t="str">
        <f>IF(VLOOKUP(_xlfn.CONCAT(G$6,$C89),BurnRate!$G$3:$P$1102,10,FALSE)="NR","NR",IF(G89="NR","NR",G89/(VLOOKUP(_xlfn.CONCAT(G$6,$C89),BurnRate!$G$3:$P$1102,10,FALSE)/90)))</f>
        <v>NR</v>
      </c>
      <c r="I89" s="169" t="str">
        <f>IF(SUM(VLOOKUP($C89,DATA_Depts[[#All],[COVID-19 Item List]:[SCL]],MATCH(I$6,DATA_Depts[[#Headers],[COVID-19 Item List]:[SCL]],0),FALSE)=0),IF(VLOOKUP(_xlfn.CONCAT(I$6,$C89),BurnRate!$G$3:$P$1102,10,FALSE)="NR","NR",0),VLOOKUP($C89,DATA_Depts[[#All],[COVID-19 Item List]:[SCL]],MATCH(I$6,DATA_Depts[[#Headers],[COVID-19 Item List]:[SCL]],0),FALSE))</f>
        <v>NR</v>
      </c>
      <c r="J89" s="148" t="str">
        <f>IF(VLOOKUP(_xlfn.CONCAT(I$6,$C89),BurnRate!$G$3:$P$1102,10,FALSE)="NR","NR",IF(I89="NR","NR",I89/(VLOOKUP(_xlfn.CONCAT(I$6,$C89),BurnRate!$G$3:$P$1102,10,FALSE)/90)))</f>
        <v>NR</v>
      </c>
      <c r="K89" s="169" t="str">
        <f>IF(SUM(VLOOKUP($C89,DATA_Depts[[#All],[COVID-19 Item List]:[SCL]],MATCH(K$6,DATA_Depts[[#Headers],[COVID-19 Item List]:[SCL]],0),FALSE)=0),IF(VLOOKUP(_xlfn.CONCAT(K$6,$C89),BurnRate!$G$3:$P$1102,10,FALSE)="NR","NR",0),VLOOKUP($C89,DATA_Depts[[#All],[COVID-19 Item List]:[SCL]],MATCH(K$6,DATA_Depts[[#Headers],[COVID-19 Item List]:[SCL]],0),FALSE))</f>
        <v>NR</v>
      </c>
      <c r="L89" s="148" t="str">
        <f>IF(VLOOKUP(_xlfn.CONCAT(K$6,$C89),BurnRate!$G$3:$P$1102,10,FALSE)="NR","NR",IF(K89="NR","NR",K89/(VLOOKUP(_xlfn.CONCAT(K$6,$C89),BurnRate!$G$3:$P$1102,10,FALSE)/90)))</f>
        <v>NR</v>
      </c>
      <c r="M89" s="169" t="str">
        <f>IF(SUM(VLOOKUP($C89,DATA_Depts[[#All],[COVID-19 Item List]:[SCL]],MATCH(M$6,DATA_Depts[[#Headers],[COVID-19 Item List]:[SCL]],0),FALSE)=0),IF(VLOOKUP(_xlfn.CONCAT(M$6,$C89),BurnRate!$G$3:$P$1102,10,FALSE)="NR","NR",0),VLOOKUP($C89,DATA_Depts[[#All],[COVID-19 Item List]:[SCL]],MATCH(M$6,DATA_Depts[[#Headers],[COVID-19 Item List]:[SCL]],0),FALSE))</f>
        <v>NR</v>
      </c>
      <c r="N89" s="148" t="str">
        <f>IF(VLOOKUP(_xlfn.CONCAT(M$6,$C89),BurnRate!$G$3:$P$1102,10,FALSE)="NR","NR",IF(M89="NR","NR",M89/(VLOOKUP(_xlfn.CONCAT(M$6,$C89),BurnRate!$G$3:$P$1102,10,FALSE)/90)))</f>
        <v>NR</v>
      </c>
      <c r="O89" s="169" t="str">
        <f>IF(SUM(VLOOKUP($C89,DATA_Depts[[#All],[COVID-19 Item List]:[SCL]],MATCH(O$6,DATA_Depts[[#Headers],[COVID-19 Item List]:[SCL]],0),FALSE)=0),IF(VLOOKUP(_xlfn.CONCAT(O$6,$C89),BurnRate!$G$3:$P$1102,10,FALSE)="NR","NR",0),VLOOKUP($C89,DATA_Depts[[#All],[COVID-19 Item List]:[SCL]],MATCH(O$6,DATA_Depts[[#Headers],[COVID-19 Item List]:[SCL]],0),FALSE))</f>
        <v>NR</v>
      </c>
      <c r="P89" s="148" t="str">
        <f>IF(VLOOKUP(_xlfn.CONCAT(O$6,$C89),BurnRate!$G$3:$P$1102,10,FALSE)="NR","NR",IF(O89="NR","NR",O89/(VLOOKUP(_xlfn.CONCAT(O$6,$C89),BurnRate!$G$3:$P$1102,10,FALSE)/90)))</f>
        <v>NR</v>
      </c>
      <c r="Q89" s="169" t="str">
        <f>IF(SUM(VLOOKUP($C89,DATA_Depts[[#All],[COVID-19 Item List]:[SCL]],MATCH(Q$6,DATA_Depts[[#Headers],[COVID-19 Item List]:[SCL]],0),FALSE)=0),IF(VLOOKUP(_xlfn.CONCAT(Q$6,$C89),BurnRate!$G$3:$P$1102,10,FALSE)="NR","NR",0),VLOOKUP($C89,DATA_Depts[[#All],[COVID-19 Item List]:[SCL]],MATCH(Q$6,DATA_Depts[[#Headers],[COVID-19 Item List]:[SCL]],0),FALSE))</f>
        <v>NR</v>
      </c>
      <c r="R89" s="148" t="str">
        <f>IF(VLOOKUP(_xlfn.CONCAT(Q$6,$C89),BurnRate!$G$3:$P$1102,10,FALSE)="NR","NR",IF(Q89="NR","NR",Q89/(VLOOKUP(_xlfn.CONCAT(Q$6,$C89),BurnRate!$G$3:$P$1102,10,FALSE)/90)))</f>
        <v>NR</v>
      </c>
      <c r="S89" s="169" t="str">
        <f>IF(SUM(VLOOKUP($C89,DATA_Depts[[#All],[COVID-19 Item List]:[SCL]],MATCH(S$6,DATA_Depts[[#Headers],[COVID-19 Item List]:[SCL]],0),FALSE)=0),IF(VLOOKUP(_xlfn.CONCAT(S$6,$C89),BurnRate!$G$3:$P$1102,10,FALSE)="NR","NR",0),VLOOKUP($C89,DATA_Depts[[#All],[COVID-19 Item List]:[SCL]],MATCH(S$6,DATA_Depts[[#Headers],[COVID-19 Item List]:[SCL]],0),FALSE))</f>
        <v>NR</v>
      </c>
      <c r="T89" s="148" t="str">
        <f>IF(VLOOKUP(_xlfn.CONCAT(S$6,$C89),BurnRate!$G$3:$P$1102,10,FALSE)="NR","NR",IF(S89="NR","NR",S89/(VLOOKUP(_xlfn.CONCAT(S$6,$C89),BurnRate!$G$3:$P$1102,10,FALSE)/90)))</f>
        <v>NR</v>
      </c>
      <c r="U89" s="169" t="str">
        <f>IF(SUM(VLOOKUP($C89,DATA_Depts[[#All],[COVID-19 Item List]:[SCL]],MATCH(U$6,DATA_Depts[[#Headers],[COVID-19 Item List]:[SCL]],0),FALSE)=0),IF(VLOOKUP(_xlfn.CONCAT(U$6,$C89),BurnRate!$G$3:$P$1102,10,FALSE)="NR","NR",0),VLOOKUP($C89,DATA_Depts[[#All],[COVID-19 Item List]:[SCL]],MATCH(U$6,DATA_Depts[[#Headers],[COVID-19 Item List]:[SCL]],0),FALSE))</f>
        <v>NR</v>
      </c>
      <c r="V89" s="148" t="str">
        <f>IF(VLOOKUP(_xlfn.CONCAT(U$6,$C89),BurnRate!$G$3:$P$1102,10,FALSE)="NR","NR",IF(U89="NR","NR",U89/(VLOOKUP(_xlfn.CONCAT(U$6,$C89),BurnRate!$G$3:$P$1102,10,FALSE)/90)))</f>
        <v>NR</v>
      </c>
      <c r="W89" s="169" t="str">
        <f>IF(SUM(VLOOKUP($C89,DATA_Depts[[#All],[COVID-19 Item List]:[SCL]],MATCH(W$6,DATA_Depts[[#Headers],[COVID-19 Item List]:[SCL]],0),FALSE)=0),IF(VLOOKUP(_xlfn.CONCAT(W$6,$C89),BurnRate!$G$3:$P$1102,10,FALSE)="NR","NR",0),VLOOKUP($C89,DATA_Depts[[#All],[COVID-19 Item List]:[SCL]],MATCH(W$6,DATA_Depts[[#Headers],[COVID-19 Item List]:[SCL]],0),FALSE))</f>
        <v>NR</v>
      </c>
      <c r="X89" s="148" t="str">
        <f>IF(VLOOKUP(_xlfn.CONCAT(W$6,$C89),BurnRate!$G$3:$P$1102,10,FALSE)="NR","NR",IF(W89="NR","NR",W89/(VLOOKUP(_xlfn.CONCAT(W$6,$C89),BurnRate!$G$3:$P$1102,10,FALSE)/90)))</f>
        <v>NR</v>
      </c>
      <c r="Y89" s="169" t="str">
        <f>IF(SUM(VLOOKUP($C89,DATA_Depts[[#All],[COVID-19 Item List]:[SCL]],MATCH(Y$6,DATA_Depts[[#Headers],[COVID-19 Item List]:[SCL]],0),FALSE)=0),IF(VLOOKUP(_xlfn.CONCAT(Y$6,$C89),BurnRate!$G$3:$P$1102,10,FALSE)="NR","NR",0),VLOOKUP($C89,DATA_Depts[[#All],[COVID-19 Item List]:[SCL]],MATCH(Y$6,DATA_Depts[[#Headers],[COVID-19 Item List]:[SCL]],0),FALSE))</f>
        <v>NR</v>
      </c>
      <c r="Z89" s="148" t="str">
        <f>IF(VLOOKUP(_xlfn.CONCAT(Y$6,$C89),BurnRate!$G$3:$P$1102,10,FALSE)="NR","NR",IF(Y89="NR","NR",Y89/(VLOOKUP(_xlfn.CONCAT(Y$6,$C89),BurnRate!$G$3:$P$1102,10,FALSE)/90)))</f>
        <v>NR</v>
      </c>
    </row>
    <row r="90" spans="2:26" s="43" customFormat="1" ht="11" hidden="1">
      <c r="B90" s="46">
        <v>83</v>
      </c>
      <c r="C90" s="47" t="str">
        <f>_xlfn.SINGLE(VLOOKUP(B90,DisplayOrder[#All],2,FALSE))</f>
        <v>Reserved-83</v>
      </c>
      <c r="D90" s="116" t="str">
        <f>_xlfn.SINGLE(VLOOKUP(B90,DisplayOrder!A:C,3,FALSE))</f>
        <v>each</v>
      </c>
      <c r="E90" s="117" t="str">
        <f>IF(VLOOKUP(_xlfn.CONCAT(E$6,$C90),BurnRate!$G$3:$P$1102,10,FALSE)="NR",IF(SUMIF(FAS_Centralized!K:K,C90,FAS_Centralized!N:N)=0,"NR",SUMIF(FAS_Centralized!K:K,C90,FAS_Centralized!N:N)),SUMIF(FAS_Centralized!K:K,C90,FAS_Centralized!N:N))</f>
        <v>NR</v>
      </c>
      <c r="F90" s="148" t="str">
        <f>IF(VLOOKUP(_xlfn.CONCAT(E$6,$C90),BurnRate!$G$3:$P$1102,10,FALSE)="NR","NR",IF(E90="NR","NR",E90/(VLOOKUP(_xlfn.CONCAT(E$6,$C90),BurnRate!$G$3:$P$1102,10,FALSE)/90)))</f>
        <v>NR</v>
      </c>
      <c r="G90" s="169" t="str">
        <f>IF(SUM(VLOOKUP($C90,DATA_Depts[[#All],[COVID-19 Item List]:[SCL]],MATCH(G$6,DATA_Depts[[#Headers],[COVID-19 Item List]:[SCL]],0),FALSE)=0),IF(VLOOKUP(_xlfn.CONCAT(G$6,$C90),BurnRate!$G$3:$P$1102,10,FALSE)="NR","NR",0),VLOOKUP($C90,DATA_Depts[[#All],[COVID-19 Item List]:[SCL]],MATCH(G$6,DATA_Depts[[#Headers],[COVID-19 Item List]:[SCL]],0),FALSE))</f>
        <v>NR</v>
      </c>
      <c r="H90" s="148" t="str">
        <f>IF(VLOOKUP(_xlfn.CONCAT(G$6,$C90),BurnRate!$G$3:$P$1102,10,FALSE)="NR","NR",IF(G90="NR","NR",G90/(VLOOKUP(_xlfn.CONCAT(G$6,$C90),BurnRate!$G$3:$P$1102,10,FALSE)/90)))</f>
        <v>NR</v>
      </c>
      <c r="I90" s="169" t="str">
        <f>IF(SUM(VLOOKUP($C90,DATA_Depts[[#All],[COVID-19 Item List]:[SCL]],MATCH(I$6,DATA_Depts[[#Headers],[COVID-19 Item List]:[SCL]],0),FALSE)=0),IF(VLOOKUP(_xlfn.CONCAT(I$6,$C90),BurnRate!$G$3:$P$1102,10,FALSE)="NR","NR",0),VLOOKUP($C90,DATA_Depts[[#All],[COVID-19 Item List]:[SCL]],MATCH(I$6,DATA_Depts[[#Headers],[COVID-19 Item List]:[SCL]],0),FALSE))</f>
        <v>NR</v>
      </c>
      <c r="J90" s="148" t="str">
        <f>IF(VLOOKUP(_xlfn.CONCAT(I$6,$C90),BurnRate!$G$3:$P$1102,10,FALSE)="NR","NR",IF(I90="NR","NR",I90/(VLOOKUP(_xlfn.CONCAT(I$6,$C90),BurnRate!$G$3:$P$1102,10,FALSE)/90)))</f>
        <v>NR</v>
      </c>
      <c r="K90" s="169" t="str">
        <f>IF(SUM(VLOOKUP($C90,DATA_Depts[[#All],[COVID-19 Item List]:[SCL]],MATCH(K$6,DATA_Depts[[#Headers],[COVID-19 Item List]:[SCL]],0),FALSE)=0),IF(VLOOKUP(_xlfn.CONCAT(K$6,$C90),BurnRate!$G$3:$P$1102,10,FALSE)="NR","NR",0),VLOOKUP($C90,DATA_Depts[[#All],[COVID-19 Item List]:[SCL]],MATCH(K$6,DATA_Depts[[#Headers],[COVID-19 Item List]:[SCL]],0),FALSE))</f>
        <v>NR</v>
      </c>
      <c r="L90" s="148" t="str">
        <f>IF(VLOOKUP(_xlfn.CONCAT(K$6,$C90),BurnRate!$G$3:$P$1102,10,FALSE)="NR","NR",IF(K90="NR","NR",K90/(VLOOKUP(_xlfn.CONCAT(K$6,$C90),BurnRate!$G$3:$P$1102,10,FALSE)/90)))</f>
        <v>NR</v>
      </c>
      <c r="M90" s="169" t="str">
        <f>IF(SUM(VLOOKUP($C90,DATA_Depts[[#All],[COVID-19 Item List]:[SCL]],MATCH(M$6,DATA_Depts[[#Headers],[COVID-19 Item List]:[SCL]],0),FALSE)=0),IF(VLOOKUP(_xlfn.CONCAT(M$6,$C90),BurnRate!$G$3:$P$1102,10,FALSE)="NR","NR",0),VLOOKUP($C90,DATA_Depts[[#All],[COVID-19 Item List]:[SCL]],MATCH(M$6,DATA_Depts[[#Headers],[COVID-19 Item List]:[SCL]],0),FALSE))</f>
        <v>NR</v>
      </c>
      <c r="N90" s="148" t="str">
        <f>IF(VLOOKUP(_xlfn.CONCAT(M$6,$C90),BurnRate!$G$3:$P$1102,10,FALSE)="NR","NR",IF(M90="NR","NR",M90/(VLOOKUP(_xlfn.CONCAT(M$6,$C90),BurnRate!$G$3:$P$1102,10,FALSE)/90)))</f>
        <v>NR</v>
      </c>
      <c r="O90" s="169" t="str">
        <f>IF(SUM(VLOOKUP($C90,DATA_Depts[[#All],[COVID-19 Item List]:[SCL]],MATCH(O$6,DATA_Depts[[#Headers],[COVID-19 Item List]:[SCL]],0),FALSE)=0),IF(VLOOKUP(_xlfn.CONCAT(O$6,$C90),BurnRate!$G$3:$P$1102,10,FALSE)="NR","NR",0),VLOOKUP($C90,DATA_Depts[[#All],[COVID-19 Item List]:[SCL]],MATCH(O$6,DATA_Depts[[#Headers],[COVID-19 Item List]:[SCL]],0),FALSE))</f>
        <v>NR</v>
      </c>
      <c r="P90" s="148" t="str">
        <f>IF(VLOOKUP(_xlfn.CONCAT(O$6,$C90),BurnRate!$G$3:$P$1102,10,FALSE)="NR","NR",IF(O90="NR","NR",O90/(VLOOKUP(_xlfn.CONCAT(O$6,$C90),BurnRate!$G$3:$P$1102,10,FALSE)/90)))</f>
        <v>NR</v>
      </c>
      <c r="Q90" s="169" t="str">
        <f>IF(SUM(VLOOKUP($C90,DATA_Depts[[#All],[COVID-19 Item List]:[SCL]],MATCH(Q$6,DATA_Depts[[#Headers],[COVID-19 Item List]:[SCL]],0),FALSE)=0),IF(VLOOKUP(_xlfn.CONCAT(Q$6,$C90),BurnRate!$G$3:$P$1102,10,FALSE)="NR","NR",0),VLOOKUP($C90,DATA_Depts[[#All],[COVID-19 Item List]:[SCL]],MATCH(Q$6,DATA_Depts[[#Headers],[COVID-19 Item List]:[SCL]],0),FALSE))</f>
        <v>NR</v>
      </c>
      <c r="R90" s="148" t="str">
        <f>IF(VLOOKUP(_xlfn.CONCAT(Q$6,$C90),BurnRate!$G$3:$P$1102,10,FALSE)="NR","NR",IF(Q90="NR","NR",Q90/(VLOOKUP(_xlfn.CONCAT(Q$6,$C90),BurnRate!$G$3:$P$1102,10,FALSE)/90)))</f>
        <v>NR</v>
      </c>
      <c r="S90" s="169" t="str">
        <f>IF(SUM(VLOOKUP($C90,DATA_Depts[[#All],[COVID-19 Item List]:[SCL]],MATCH(S$6,DATA_Depts[[#Headers],[COVID-19 Item List]:[SCL]],0),FALSE)=0),IF(VLOOKUP(_xlfn.CONCAT(S$6,$C90),BurnRate!$G$3:$P$1102,10,FALSE)="NR","NR",0),VLOOKUP($C90,DATA_Depts[[#All],[COVID-19 Item List]:[SCL]],MATCH(S$6,DATA_Depts[[#Headers],[COVID-19 Item List]:[SCL]],0),FALSE))</f>
        <v>NR</v>
      </c>
      <c r="T90" s="148" t="str">
        <f>IF(VLOOKUP(_xlfn.CONCAT(S$6,$C90),BurnRate!$G$3:$P$1102,10,FALSE)="NR","NR",IF(S90="NR","NR",S90/(VLOOKUP(_xlfn.CONCAT(S$6,$C90),BurnRate!$G$3:$P$1102,10,FALSE)/90)))</f>
        <v>NR</v>
      </c>
      <c r="U90" s="169" t="str">
        <f>IF(SUM(VLOOKUP($C90,DATA_Depts[[#All],[COVID-19 Item List]:[SCL]],MATCH(U$6,DATA_Depts[[#Headers],[COVID-19 Item List]:[SCL]],0),FALSE)=0),IF(VLOOKUP(_xlfn.CONCAT(U$6,$C90),BurnRate!$G$3:$P$1102,10,FALSE)="NR","NR",0),VLOOKUP($C90,DATA_Depts[[#All],[COVID-19 Item List]:[SCL]],MATCH(U$6,DATA_Depts[[#Headers],[COVID-19 Item List]:[SCL]],0),FALSE))</f>
        <v>NR</v>
      </c>
      <c r="V90" s="148" t="str">
        <f>IF(VLOOKUP(_xlfn.CONCAT(U$6,$C90),BurnRate!$G$3:$P$1102,10,FALSE)="NR","NR",IF(U90="NR","NR",U90/(VLOOKUP(_xlfn.CONCAT(U$6,$C90),BurnRate!$G$3:$P$1102,10,FALSE)/90)))</f>
        <v>NR</v>
      </c>
      <c r="W90" s="169" t="str">
        <f>IF(SUM(VLOOKUP($C90,DATA_Depts[[#All],[COVID-19 Item List]:[SCL]],MATCH(W$6,DATA_Depts[[#Headers],[COVID-19 Item List]:[SCL]],0),FALSE)=0),IF(VLOOKUP(_xlfn.CONCAT(W$6,$C90),BurnRate!$G$3:$P$1102,10,FALSE)="NR","NR",0),VLOOKUP($C90,DATA_Depts[[#All],[COVID-19 Item List]:[SCL]],MATCH(W$6,DATA_Depts[[#Headers],[COVID-19 Item List]:[SCL]],0),FALSE))</f>
        <v>NR</v>
      </c>
      <c r="X90" s="148" t="str">
        <f>IF(VLOOKUP(_xlfn.CONCAT(W$6,$C90),BurnRate!$G$3:$P$1102,10,FALSE)="NR","NR",IF(W90="NR","NR",W90/(VLOOKUP(_xlfn.CONCAT(W$6,$C90),BurnRate!$G$3:$P$1102,10,FALSE)/90)))</f>
        <v>NR</v>
      </c>
      <c r="Y90" s="169" t="str">
        <f>IF(SUM(VLOOKUP($C90,DATA_Depts[[#All],[COVID-19 Item List]:[SCL]],MATCH(Y$6,DATA_Depts[[#Headers],[COVID-19 Item List]:[SCL]],0),FALSE)=0),IF(VLOOKUP(_xlfn.CONCAT(Y$6,$C90),BurnRate!$G$3:$P$1102,10,FALSE)="NR","NR",0),VLOOKUP($C90,DATA_Depts[[#All],[COVID-19 Item List]:[SCL]],MATCH(Y$6,DATA_Depts[[#Headers],[COVID-19 Item List]:[SCL]],0),FALSE))</f>
        <v>NR</v>
      </c>
      <c r="Z90" s="148" t="str">
        <f>IF(VLOOKUP(_xlfn.CONCAT(Y$6,$C90),BurnRate!$G$3:$P$1102,10,FALSE)="NR","NR",IF(Y90="NR","NR",Y90/(VLOOKUP(_xlfn.CONCAT(Y$6,$C90),BurnRate!$G$3:$P$1102,10,FALSE)/90)))</f>
        <v>NR</v>
      </c>
    </row>
    <row r="91" spans="2:26" s="43" customFormat="1" ht="11" hidden="1">
      <c r="B91" s="46">
        <v>84</v>
      </c>
      <c r="C91" s="47" t="str">
        <f>_xlfn.SINGLE(VLOOKUP(B91,DisplayOrder[#All],2,FALSE))</f>
        <v>Reserved-84</v>
      </c>
      <c r="D91" s="116" t="str">
        <f>_xlfn.SINGLE(VLOOKUP(B91,DisplayOrder!A:C,3,FALSE))</f>
        <v>each</v>
      </c>
      <c r="E91" s="117" t="str">
        <f>IF(VLOOKUP(_xlfn.CONCAT(E$6,$C91),BurnRate!$G$3:$P$1102,10,FALSE)="NR",IF(SUMIF(FAS_Centralized!K:K,C91,FAS_Centralized!N:N)=0,"NR",SUMIF(FAS_Centralized!K:K,C91,FAS_Centralized!N:N)),SUMIF(FAS_Centralized!K:K,C91,FAS_Centralized!N:N))</f>
        <v>NR</v>
      </c>
      <c r="F91" s="148" t="str">
        <f>IF(VLOOKUP(_xlfn.CONCAT(E$6,$C91),BurnRate!$G$3:$P$1102,10,FALSE)="NR","NR",IF(E91="NR","NR",E91/(VLOOKUP(_xlfn.CONCAT(E$6,$C91),BurnRate!$G$3:$P$1102,10,FALSE)/90)))</f>
        <v>NR</v>
      </c>
      <c r="G91" s="169" t="str">
        <f>IF(SUM(VLOOKUP($C91,DATA_Depts[[#All],[COVID-19 Item List]:[SCL]],MATCH(G$6,DATA_Depts[[#Headers],[COVID-19 Item List]:[SCL]],0),FALSE)=0),IF(VLOOKUP(_xlfn.CONCAT(G$6,$C91),BurnRate!$G$3:$P$1102,10,FALSE)="NR","NR",0),VLOOKUP($C91,DATA_Depts[[#All],[COVID-19 Item List]:[SCL]],MATCH(G$6,DATA_Depts[[#Headers],[COVID-19 Item List]:[SCL]],0),FALSE))</f>
        <v>NR</v>
      </c>
      <c r="H91" s="148" t="str">
        <f>IF(VLOOKUP(_xlfn.CONCAT(G$6,$C91),BurnRate!$G$3:$P$1102,10,FALSE)="NR","NR",IF(G91="NR","NR",G91/(VLOOKUP(_xlfn.CONCAT(G$6,$C91),BurnRate!$G$3:$P$1102,10,FALSE)/90)))</f>
        <v>NR</v>
      </c>
      <c r="I91" s="169" t="str">
        <f>IF(SUM(VLOOKUP($C91,DATA_Depts[[#All],[COVID-19 Item List]:[SCL]],MATCH(I$6,DATA_Depts[[#Headers],[COVID-19 Item List]:[SCL]],0),FALSE)=0),IF(VLOOKUP(_xlfn.CONCAT(I$6,$C91),BurnRate!$G$3:$P$1102,10,FALSE)="NR","NR",0),VLOOKUP($C91,DATA_Depts[[#All],[COVID-19 Item List]:[SCL]],MATCH(I$6,DATA_Depts[[#Headers],[COVID-19 Item List]:[SCL]],0),FALSE))</f>
        <v>NR</v>
      </c>
      <c r="J91" s="148" t="str">
        <f>IF(VLOOKUP(_xlfn.CONCAT(I$6,$C91),BurnRate!$G$3:$P$1102,10,FALSE)="NR","NR",IF(I91="NR","NR",I91/(VLOOKUP(_xlfn.CONCAT(I$6,$C91),BurnRate!$G$3:$P$1102,10,FALSE)/90)))</f>
        <v>NR</v>
      </c>
      <c r="K91" s="169" t="str">
        <f>IF(SUM(VLOOKUP($C91,DATA_Depts[[#All],[COVID-19 Item List]:[SCL]],MATCH(K$6,DATA_Depts[[#Headers],[COVID-19 Item List]:[SCL]],0),FALSE)=0),IF(VLOOKUP(_xlfn.CONCAT(K$6,$C91),BurnRate!$G$3:$P$1102,10,FALSE)="NR","NR",0),VLOOKUP($C91,DATA_Depts[[#All],[COVID-19 Item List]:[SCL]],MATCH(K$6,DATA_Depts[[#Headers],[COVID-19 Item List]:[SCL]],0),FALSE))</f>
        <v>NR</v>
      </c>
      <c r="L91" s="148" t="str">
        <f>IF(VLOOKUP(_xlfn.CONCAT(K$6,$C91),BurnRate!$G$3:$P$1102,10,FALSE)="NR","NR",IF(K91="NR","NR",K91/(VLOOKUP(_xlfn.CONCAT(K$6,$C91),BurnRate!$G$3:$P$1102,10,FALSE)/90)))</f>
        <v>NR</v>
      </c>
      <c r="M91" s="169" t="str">
        <f>IF(SUM(VLOOKUP($C91,DATA_Depts[[#All],[COVID-19 Item List]:[SCL]],MATCH(M$6,DATA_Depts[[#Headers],[COVID-19 Item List]:[SCL]],0),FALSE)=0),IF(VLOOKUP(_xlfn.CONCAT(M$6,$C91),BurnRate!$G$3:$P$1102,10,FALSE)="NR","NR",0),VLOOKUP($C91,DATA_Depts[[#All],[COVID-19 Item List]:[SCL]],MATCH(M$6,DATA_Depts[[#Headers],[COVID-19 Item List]:[SCL]],0),FALSE))</f>
        <v>NR</v>
      </c>
      <c r="N91" s="148" t="str">
        <f>IF(VLOOKUP(_xlfn.CONCAT(M$6,$C91),BurnRate!$G$3:$P$1102,10,FALSE)="NR","NR",IF(M91="NR","NR",M91/(VLOOKUP(_xlfn.CONCAT(M$6,$C91),BurnRate!$G$3:$P$1102,10,FALSE)/90)))</f>
        <v>NR</v>
      </c>
      <c r="O91" s="169" t="str">
        <f>IF(SUM(VLOOKUP($C91,DATA_Depts[[#All],[COVID-19 Item List]:[SCL]],MATCH(O$6,DATA_Depts[[#Headers],[COVID-19 Item List]:[SCL]],0),FALSE)=0),IF(VLOOKUP(_xlfn.CONCAT(O$6,$C91),BurnRate!$G$3:$P$1102,10,FALSE)="NR","NR",0),VLOOKUP($C91,DATA_Depts[[#All],[COVID-19 Item List]:[SCL]],MATCH(O$6,DATA_Depts[[#Headers],[COVID-19 Item List]:[SCL]],0),FALSE))</f>
        <v>NR</v>
      </c>
      <c r="P91" s="148" t="str">
        <f>IF(VLOOKUP(_xlfn.CONCAT(O$6,$C91),BurnRate!$G$3:$P$1102,10,FALSE)="NR","NR",IF(O91="NR","NR",O91/(VLOOKUP(_xlfn.CONCAT(O$6,$C91),BurnRate!$G$3:$P$1102,10,FALSE)/90)))</f>
        <v>NR</v>
      </c>
      <c r="Q91" s="169" t="str">
        <f>IF(SUM(VLOOKUP($C91,DATA_Depts[[#All],[COVID-19 Item List]:[SCL]],MATCH(Q$6,DATA_Depts[[#Headers],[COVID-19 Item List]:[SCL]],0),FALSE)=0),IF(VLOOKUP(_xlfn.CONCAT(Q$6,$C91),BurnRate!$G$3:$P$1102,10,FALSE)="NR","NR",0),VLOOKUP($C91,DATA_Depts[[#All],[COVID-19 Item List]:[SCL]],MATCH(Q$6,DATA_Depts[[#Headers],[COVID-19 Item List]:[SCL]],0),FALSE))</f>
        <v>NR</v>
      </c>
      <c r="R91" s="148" t="str">
        <f>IF(VLOOKUP(_xlfn.CONCAT(Q$6,$C91),BurnRate!$G$3:$P$1102,10,FALSE)="NR","NR",IF(Q91="NR","NR",Q91/(VLOOKUP(_xlfn.CONCAT(Q$6,$C91),BurnRate!$G$3:$P$1102,10,FALSE)/90)))</f>
        <v>NR</v>
      </c>
      <c r="S91" s="169" t="str">
        <f>IF(SUM(VLOOKUP($C91,DATA_Depts[[#All],[COVID-19 Item List]:[SCL]],MATCH(S$6,DATA_Depts[[#Headers],[COVID-19 Item List]:[SCL]],0),FALSE)=0),IF(VLOOKUP(_xlfn.CONCAT(S$6,$C91),BurnRate!$G$3:$P$1102,10,FALSE)="NR","NR",0),VLOOKUP($C91,DATA_Depts[[#All],[COVID-19 Item List]:[SCL]],MATCH(S$6,DATA_Depts[[#Headers],[COVID-19 Item List]:[SCL]],0),FALSE))</f>
        <v>NR</v>
      </c>
      <c r="T91" s="148" t="str">
        <f>IF(VLOOKUP(_xlfn.CONCAT(S$6,$C91),BurnRate!$G$3:$P$1102,10,FALSE)="NR","NR",IF(S91="NR","NR",S91/(VLOOKUP(_xlfn.CONCAT(S$6,$C91),BurnRate!$G$3:$P$1102,10,FALSE)/90)))</f>
        <v>NR</v>
      </c>
      <c r="U91" s="169" t="str">
        <f>IF(SUM(VLOOKUP($C91,DATA_Depts[[#All],[COVID-19 Item List]:[SCL]],MATCH(U$6,DATA_Depts[[#Headers],[COVID-19 Item List]:[SCL]],0),FALSE)=0),IF(VLOOKUP(_xlfn.CONCAT(U$6,$C91),BurnRate!$G$3:$P$1102,10,FALSE)="NR","NR",0),VLOOKUP($C91,DATA_Depts[[#All],[COVID-19 Item List]:[SCL]],MATCH(U$6,DATA_Depts[[#Headers],[COVID-19 Item List]:[SCL]],0),FALSE))</f>
        <v>NR</v>
      </c>
      <c r="V91" s="148" t="str">
        <f>IF(VLOOKUP(_xlfn.CONCAT(U$6,$C91),BurnRate!$G$3:$P$1102,10,FALSE)="NR","NR",IF(U91="NR","NR",U91/(VLOOKUP(_xlfn.CONCAT(U$6,$C91),BurnRate!$G$3:$P$1102,10,FALSE)/90)))</f>
        <v>NR</v>
      </c>
      <c r="W91" s="169" t="str">
        <f>IF(SUM(VLOOKUP($C91,DATA_Depts[[#All],[COVID-19 Item List]:[SCL]],MATCH(W$6,DATA_Depts[[#Headers],[COVID-19 Item List]:[SCL]],0),FALSE)=0),IF(VLOOKUP(_xlfn.CONCAT(W$6,$C91),BurnRate!$G$3:$P$1102,10,FALSE)="NR","NR",0),VLOOKUP($C91,DATA_Depts[[#All],[COVID-19 Item List]:[SCL]],MATCH(W$6,DATA_Depts[[#Headers],[COVID-19 Item List]:[SCL]],0),FALSE))</f>
        <v>NR</v>
      </c>
      <c r="X91" s="148" t="str">
        <f>IF(VLOOKUP(_xlfn.CONCAT(W$6,$C91),BurnRate!$G$3:$P$1102,10,FALSE)="NR","NR",IF(W91="NR","NR",W91/(VLOOKUP(_xlfn.CONCAT(W$6,$C91),BurnRate!$G$3:$P$1102,10,FALSE)/90)))</f>
        <v>NR</v>
      </c>
      <c r="Y91" s="169" t="str">
        <f>IF(SUM(VLOOKUP($C91,DATA_Depts[[#All],[COVID-19 Item List]:[SCL]],MATCH(Y$6,DATA_Depts[[#Headers],[COVID-19 Item List]:[SCL]],0),FALSE)=0),IF(VLOOKUP(_xlfn.CONCAT(Y$6,$C91),BurnRate!$G$3:$P$1102,10,FALSE)="NR","NR",0),VLOOKUP($C91,DATA_Depts[[#All],[COVID-19 Item List]:[SCL]],MATCH(Y$6,DATA_Depts[[#Headers],[COVID-19 Item List]:[SCL]],0),FALSE))</f>
        <v>NR</v>
      </c>
      <c r="Z91" s="148" t="str">
        <f>IF(VLOOKUP(_xlfn.CONCAT(Y$6,$C91),BurnRate!$G$3:$P$1102,10,FALSE)="NR","NR",IF(Y91="NR","NR",Y91/(VLOOKUP(_xlfn.CONCAT(Y$6,$C91),BurnRate!$G$3:$P$1102,10,FALSE)/90)))</f>
        <v>NR</v>
      </c>
    </row>
    <row r="92" spans="2:26" s="43" customFormat="1" ht="11" hidden="1">
      <c r="B92" s="46">
        <v>85</v>
      </c>
      <c r="C92" s="47" t="str">
        <f>_xlfn.SINGLE(VLOOKUP(B92,DisplayOrder[#All],2,FALSE))</f>
        <v>Reserved-85</v>
      </c>
      <c r="D92" s="116" t="str">
        <f>_xlfn.SINGLE(VLOOKUP(B92,DisplayOrder!A:C,3,FALSE))</f>
        <v>each</v>
      </c>
      <c r="E92" s="117" t="str">
        <f>IF(VLOOKUP(_xlfn.CONCAT(E$6,$C92),BurnRate!$G$3:$P$1102,10,FALSE)="NR",IF(SUMIF(FAS_Centralized!K:K,C92,FAS_Centralized!N:N)=0,"NR",SUMIF(FAS_Centralized!K:K,C92,FAS_Centralized!N:N)),SUMIF(FAS_Centralized!K:K,C92,FAS_Centralized!N:N))</f>
        <v>NR</v>
      </c>
      <c r="F92" s="148" t="str">
        <f>IF(VLOOKUP(_xlfn.CONCAT(E$6,$C92),BurnRate!$G$3:$P$1102,10,FALSE)="NR","NR",IF(E92="NR","NR",E92/(VLOOKUP(_xlfn.CONCAT(E$6,$C92),BurnRate!$G$3:$P$1102,10,FALSE)/90)))</f>
        <v>NR</v>
      </c>
      <c r="G92" s="169" t="str">
        <f>IF(SUM(VLOOKUP($C92,DATA_Depts[[#All],[COVID-19 Item List]:[SCL]],MATCH(G$6,DATA_Depts[[#Headers],[COVID-19 Item List]:[SCL]],0),FALSE)=0),IF(VLOOKUP(_xlfn.CONCAT(G$6,$C92),BurnRate!$G$3:$P$1102,10,FALSE)="NR","NR",0),VLOOKUP($C92,DATA_Depts[[#All],[COVID-19 Item List]:[SCL]],MATCH(G$6,DATA_Depts[[#Headers],[COVID-19 Item List]:[SCL]],0),FALSE))</f>
        <v>NR</v>
      </c>
      <c r="H92" s="148" t="str">
        <f>IF(VLOOKUP(_xlfn.CONCAT(G$6,$C92),BurnRate!$G$3:$P$1102,10,FALSE)="NR","NR",IF(G92="NR","NR",G92/(VLOOKUP(_xlfn.CONCAT(G$6,$C92),BurnRate!$G$3:$P$1102,10,FALSE)/90)))</f>
        <v>NR</v>
      </c>
      <c r="I92" s="169" t="str">
        <f>IF(SUM(VLOOKUP($C92,DATA_Depts[[#All],[COVID-19 Item List]:[SCL]],MATCH(I$6,DATA_Depts[[#Headers],[COVID-19 Item List]:[SCL]],0),FALSE)=0),IF(VLOOKUP(_xlfn.CONCAT(I$6,$C92),BurnRate!$G$3:$P$1102,10,FALSE)="NR","NR",0),VLOOKUP($C92,DATA_Depts[[#All],[COVID-19 Item List]:[SCL]],MATCH(I$6,DATA_Depts[[#Headers],[COVID-19 Item List]:[SCL]],0),FALSE))</f>
        <v>NR</v>
      </c>
      <c r="J92" s="148" t="str">
        <f>IF(VLOOKUP(_xlfn.CONCAT(I$6,$C92),BurnRate!$G$3:$P$1102,10,FALSE)="NR","NR",IF(I92="NR","NR",I92/(VLOOKUP(_xlfn.CONCAT(I$6,$C92),BurnRate!$G$3:$P$1102,10,FALSE)/90)))</f>
        <v>NR</v>
      </c>
      <c r="K92" s="169" t="str">
        <f>IF(SUM(VLOOKUP($C92,DATA_Depts[[#All],[COVID-19 Item List]:[SCL]],MATCH(K$6,DATA_Depts[[#Headers],[COVID-19 Item List]:[SCL]],0),FALSE)=0),IF(VLOOKUP(_xlfn.CONCAT(K$6,$C92),BurnRate!$G$3:$P$1102,10,FALSE)="NR","NR",0),VLOOKUP($C92,DATA_Depts[[#All],[COVID-19 Item List]:[SCL]],MATCH(K$6,DATA_Depts[[#Headers],[COVID-19 Item List]:[SCL]],0),FALSE))</f>
        <v>NR</v>
      </c>
      <c r="L92" s="148" t="str">
        <f>IF(VLOOKUP(_xlfn.CONCAT(K$6,$C92),BurnRate!$G$3:$P$1102,10,FALSE)="NR","NR",IF(K92="NR","NR",K92/(VLOOKUP(_xlfn.CONCAT(K$6,$C92),BurnRate!$G$3:$P$1102,10,FALSE)/90)))</f>
        <v>NR</v>
      </c>
      <c r="M92" s="169" t="str">
        <f>IF(SUM(VLOOKUP($C92,DATA_Depts[[#All],[COVID-19 Item List]:[SCL]],MATCH(M$6,DATA_Depts[[#Headers],[COVID-19 Item List]:[SCL]],0),FALSE)=0),IF(VLOOKUP(_xlfn.CONCAT(M$6,$C92),BurnRate!$G$3:$P$1102,10,FALSE)="NR","NR",0),VLOOKUP($C92,DATA_Depts[[#All],[COVID-19 Item List]:[SCL]],MATCH(M$6,DATA_Depts[[#Headers],[COVID-19 Item List]:[SCL]],0),FALSE))</f>
        <v>NR</v>
      </c>
      <c r="N92" s="148" t="str">
        <f>IF(VLOOKUP(_xlfn.CONCAT(M$6,$C92),BurnRate!$G$3:$P$1102,10,FALSE)="NR","NR",IF(M92="NR","NR",M92/(VLOOKUP(_xlfn.CONCAT(M$6,$C92),BurnRate!$G$3:$P$1102,10,FALSE)/90)))</f>
        <v>NR</v>
      </c>
      <c r="O92" s="169" t="str">
        <f>IF(SUM(VLOOKUP($C92,DATA_Depts[[#All],[COVID-19 Item List]:[SCL]],MATCH(O$6,DATA_Depts[[#Headers],[COVID-19 Item List]:[SCL]],0),FALSE)=0),IF(VLOOKUP(_xlfn.CONCAT(O$6,$C92),BurnRate!$G$3:$P$1102,10,FALSE)="NR","NR",0),VLOOKUP($C92,DATA_Depts[[#All],[COVID-19 Item List]:[SCL]],MATCH(O$6,DATA_Depts[[#Headers],[COVID-19 Item List]:[SCL]],0),FALSE))</f>
        <v>NR</v>
      </c>
      <c r="P92" s="148" t="str">
        <f>IF(VLOOKUP(_xlfn.CONCAT(O$6,$C92),BurnRate!$G$3:$P$1102,10,FALSE)="NR","NR",IF(O92="NR","NR",O92/(VLOOKUP(_xlfn.CONCAT(O$6,$C92),BurnRate!$G$3:$P$1102,10,FALSE)/90)))</f>
        <v>NR</v>
      </c>
      <c r="Q92" s="169" t="str">
        <f>IF(SUM(VLOOKUP($C92,DATA_Depts[[#All],[COVID-19 Item List]:[SCL]],MATCH(Q$6,DATA_Depts[[#Headers],[COVID-19 Item List]:[SCL]],0),FALSE)=0),IF(VLOOKUP(_xlfn.CONCAT(Q$6,$C92),BurnRate!$G$3:$P$1102,10,FALSE)="NR","NR",0),VLOOKUP($C92,DATA_Depts[[#All],[COVID-19 Item List]:[SCL]],MATCH(Q$6,DATA_Depts[[#Headers],[COVID-19 Item List]:[SCL]],0),FALSE))</f>
        <v>NR</v>
      </c>
      <c r="R92" s="148" t="str">
        <f>IF(VLOOKUP(_xlfn.CONCAT(Q$6,$C92),BurnRate!$G$3:$P$1102,10,FALSE)="NR","NR",IF(Q92="NR","NR",Q92/(VLOOKUP(_xlfn.CONCAT(Q$6,$C92),BurnRate!$G$3:$P$1102,10,FALSE)/90)))</f>
        <v>NR</v>
      </c>
      <c r="S92" s="169" t="str">
        <f>IF(SUM(VLOOKUP($C92,DATA_Depts[[#All],[COVID-19 Item List]:[SCL]],MATCH(S$6,DATA_Depts[[#Headers],[COVID-19 Item List]:[SCL]],0),FALSE)=0),IF(VLOOKUP(_xlfn.CONCAT(S$6,$C92),BurnRate!$G$3:$P$1102,10,FALSE)="NR","NR",0),VLOOKUP($C92,DATA_Depts[[#All],[COVID-19 Item List]:[SCL]],MATCH(S$6,DATA_Depts[[#Headers],[COVID-19 Item List]:[SCL]],0),FALSE))</f>
        <v>NR</v>
      </c>
      <c r="T92" s="148" t="str">
        <f>IF(VLOOKUP(_xlfn.CONCAT(S$6,$C92),BurnRate!$G$3:$P$1102,10,FALSE)="NR","NR",IF(S92="NR","NR",S92/(VLOOKUP(_xlfn.CONCAT(S$6,$C92),BurnRate!$G$3:$P$1102,10,FALSE)/90)))</f>
        <v>NR</v>
      </c>
      <c r="U92" s="169" t="str">
        <f>IF(SUM(VLOOKUP($C92,DATA_Depts[[#All],[COVID-19 Item List]:[SCL]],MATCH(U$6,DATA_Depts[[#Headers],[COVID-19 Item List]:[SCL]],0),FALSE)=0),IF(VLOOKUP(_xlfn.CONCAT(U$6,$C92),BurnRate!$G$3:$P$1102,10,FALSE)="NR","NR",0),VLOOKUP($C92,DATA_Depts[[#All],[COVID-19 Item List]:[SCL]],MATCH(U$6,DATA_Depts[[#Headers],[COVID-19 Item List]:[SCL]],0),FALSE))</f>
        <v>NR</v>
      </c>
      <c r="V92" s="148" t="str">
        <f>IF(VLOOKUP(_xlfn.CONCAT(U$6,$C92),BurnRate!$G$3:$P$1102,10,FALSE)="NR","NR",IF(U92="NR","NR",U92/(VLOOKUP(_xlfn.CONCAT(U$6,$C92),BurnRate!$G$3:$P$1102,10,FALSE)/90)))</f>
        <v>NR</v>
      </c>
      <c r="W92" s="169" t="str">
        <f>IF(SUM(VLOOKUP($C92,DATA_Depts[[#All],[COVID-19 Item List]:[SCL]],MATCH(W$6,DATA_Depts[[#Headers],[COVID-19 Item List]:[SCL]],0),FALSE)=0),IF(VLOOKUP(_xlfn.CONCAT(W$6,$C92),BurnRate!$G$3:$P$1102,10,FALSE)="NR","NR",0),VLOOKUP($C92,DATA_Depts[[#All],[COVID-19 Item List]:[SCL]],MATCH(W$6,DATA_Depts[[#Headers],[COVID-19 Item List]:[SCL]],0),FALSE))</f>
        <v>NR</v>
      </c>
      <c r="X92" s="148" t="str">
        <f>IF(VLOOKUP(_xlfn.CONCAT(W$6,$C92),BurnRate!$G$3:$P$1102,10,FALSE)="NR","NR",IF(W92="NR","NR",W92/(VLOOKUP(_xlfn.CONCAT(W$6,$C92),BurnRate!$G$3:$P$1102,10,FALSE)/90)))</f>
        <v>NR</v>
      </c>
      <c r="Y92" s="169" t="str">
        <f>IF(SUM(VLOOKUP($C92,DATA_Depts[[#All],[COVID-19 Item List]:[SCL]],MATCH(Y$6,DATA_Depts[[#Headers],[COVID-19 Item List]:[SCL]],0),FALSE)=0),IF(VLOOKUP(_xlfn.CONCAT(Y$6,$C92),BurnRate!$G$3:$P$1102,10,FALSE)="NR","NR",0),VLOOKUP($C92,DATA_Depts[[#All],[COVID-19 Item List]:[SCL]],MATCH(Y$6,DATA_Depts[[#Headers],[COVID-19 Item List]:[SCL]],0),FALSE))</f>
        <v>NR</v>
      </c>
      <c r="Z92" s="148" t="str">
        <f>IF(VLOOKUP(_xlfn.CONCAT(Y$6,$C92),BurnRate!$G$3:$P$1102,10,FALSE)="NR","NR",IF(Y92="NR","NR",Y92/(VLOOKUP(_xlfn.CONCAT(Y$6,$C92),BurnRate!$G$3:$P$1102,10,FALSE)/90)))</f>
        <v>NR</v>
      </c>
    </row>
    <row r="93" spans="2:26" s="43" customFormat="1" ht="11" hidden="1">
      <c r="B93" s="46">
        <v>86</v>
      </c>
      <c r="C93" s="47" t="str">
        <f>_xlfn.SINGLE(VLOOKUP(B93,DisplayOrder[#All],2,FALSE))</f>
        <v>Reserved-86</v>
      </c>
      <c r="D93" s="116" t="str">
        <f>_xlfn.SINGLE(VLOOKUP(B93,DisplayOrder!A:C,3,FALSE))</f>
        <v>each</v>
      </c>
      <c r="E93" s="117" t="str">
        <f>IF(VLOOKUP(_xlfn.CONCAT(E$6,$C93),BurnRate!$G$3:$P$1102,10,FALSE)="NR",IF(SUMIF(FAS_Centralized!K:K,C93,FAS_Centralized!N:N)=0,"NR",SUMIF(FAS_Centralized!K:K,C93,FAS_Centralized!N:N)),SUMIF(FAS_Centralized!K:K,C93,FAS_Centralized!N:N))</f>
        <v>NR</v>
      </c>
      <c r="F93" s="148" t="str">
        <f>IF(VLOOKUP(_xlfn.CONCAT(E$6,$C93),BurnRate!$G$3:$P$1102,10,FALSE)="NR","NR",IF(E93="NR","NR",E93/(VLOOKUP(_xlfn.CONCAT(E$6,$C93),BurnRate!$G$3:$P$1102,10,FALSE)/90)))</f>
        <v>NR</v>
      </c>
      <c r="G93" s="169" t="str">
        <f>IF(SUM(VLOOKUP($C93,DATA_Depts[[#All],[COVID-19 Item List]:[SCL]],MATCH(G$6,DATA_Depts[[#Headers],[COVID-19 Item List]:[SCL]],0),FALSE)=0),IF(VLOOKUP(_xlfn.CONCAT(G$6,$C93),BurnRate!$G$3:$P$1102,10,FALSE)="NR","NR",0),VLOOKUP($C93,DATA_Depts[[#All],[COVID-19 Item List]:[SCL]],MATCH(G$6,DATA_Depts[[#Headers],[COVID-19 Item List]:[SCL]],0),FALSE))</f>
        <v>NR</v>
      </c>
      <c r="H93" s="148" t="str">
        <f>IF(VLOOKUP(_xlfn.CONCAT(G$6,$C93),BurnRate!$G$3:$P$1102,10,FALSE)="NR","NR",IF(G93="NR","NR",G93/(VLOOKUP(_xlfn.CONCAT(G$6,$C93),BurnRate!$G$3:$P$1102,10,FALSE)/90)))</f>
        <v>NR</v>
      </c>
      <c r="I93" s="169" t="str">
        <f>IF(SUM(VLOOKUP($C93,DATA_Depts[[#All],[COVID-19 Item List]:[SCL]],MATCH(I$6,DATA_Depts[[#Headers],[COVID-19 Item List]:[SCL]],0),FALSE)=0),IF(VLOOKUP(_xlfn.CONCAT(I$6,$C93),BurnRate!$G$3:$P$1102,10,FALSE)="NR","NR",0),VLOOKUP($C93,DATA_Depts[[#All],[COVID-19 Item List]:[SCL]],MATCH(I$6,DATA_Depts[[#Headers],[COVID-19 Item List]:[SCL]],0),FALSE))</f>
        <v>NR</v>
      </c>
      <c r="J93" s="148" t="str">
        <f>IF(VLOOKUP(_xlfn.CONCAT(I$6,$C93),BurnRate!$G$3:$P$1102,10,FALSE)="NR","NR",IF(I93="NR","NR",I93/(VLOOKUP(_xlfn.CONCAT(I$6,$C93),BurnRate!$G$3:$P$1102,10,FALSE)/90)))</f>
        <v>NR</v>
      </c>
      <c r="K93" s="169" t="str">
        <f>IF(SUM(VLOOKUP($C93,DATA_Depts[[#All],[COVID-19 Item List]:[SCL]],MATCH(K$6,DATA_Depts[[#Headers],[COVID-19 Item List]:[SCL]],0),FALSE)=0),IF(VLOOKUP(_xlfn.CONCAT(K$6,$C93),BurnRate!$G$3:$P$1102,10,FALSE)="NR","NR",0),VLOOKUP($C93,DATA_Depts[[#All],[COVID-19 Item List]:[SCL]],MATCH(K$6,DATA_Depts[[#Headers],[COVID-19 Item List]:[SCL]],0),FALSE))</f>
        <v>NR</v>
      </c>
      <c r="L93" s="148" t="str">
        <f>IF(VLOOKUP(_xlfn.CONCAT(K$6,$C93),BurnRate!$G$3:$P$1102,10,FALSE)="NR","NR",IF(K93="NR","NR",K93/(VLOOKUP(_xlfn.CONCAT(K$6,$C93),BurnRate!$G$3:$P$1102,10,FALSE)/90)))</f>
        <v>NR</v>
      </c>
      <c r="M93" s="169" t="str">
        <f>IF(SUM(VLOOKUP($C93,DATA_Depts[[#All],[COVID-19 Item List]:[SCL]],MATCH(M$6,DATA_Depts[[#Headers],[COVID-19 Item List]:[SCL]],0),FALSE)=0),IF(VLOOKUP(_xlfn.CONCAT(M$6,$C93),BurnRate!$G$3:$P$1102,10,FALSE)="NR","NR",0),VLOOKUP($C93,DATA_Depts[[#All],[COVID-19 Item List]:[SCL]],MATCH(M$6,DATA_Depts[[#Headers],[COVID-19 Item List]:[SCL]],0),FALSE))</f>
        <v>NR</v>
      </c>
      <c r="N93" s="148" t="str">
        <f>IF(VLOOKUP(_xlfn.CONCAT(M$6,$C93),BurnRate!$G$3:$P$1102,10,FALSE)="NR","NR",IF(M93="NR","NR",M93/(VLOOKUP(_xlfn.CONCAT(M$6,$C93),BurnRate!$G$3:$P$1102,10,FALSE)/90)))</f>
        <v>NR</v>
      </c>
      <c r="O93" s="169" t="str">
        <f>IF(SUM(VLOOKUP($C93,DATA_Depts[[#All],[COVID-19 Item List]:[SCL]],MATCH(O$6,DATA_Depts[[#Headers],[COVID-19 Item List]:[SCL]],0),FALSE)=0),IF(VLOOKUP(_xlfn.CONCAT(O$6,$C93),BurnRate!$G$3:$P$1102,10,FALSE)="NR","NR",0),VLOOKUP($C93,DATA_Depts[[#All],[COVID-19 Item List]:[SCL]],MATCH(O$6,DATA_Depts[[#Headers],[COVID-19 Item List]:[SCL]],0),FALSE))</f>
        <v>NR</v>
      </c>
      <c r="P93" s="148" t="str">
        <f>IF(VLOOKUP(_xlfn.CONCAT(O$6,$C93),BurnRate!$G$3:$P$1102,10,FALSE)="NR","NR",IF(O93="NR","NR",O93/(VLOOKUP(_xlfn.CONCAT(O$6,$C93),BurnRate!$G$3:$P$1102,10,FALSE)/90)))</f>
        <v>NR</v>
      </c>
      <c r="Q93" s="169" t="str">
        <f>IF(SUM(VLOOKUP($C93,DATA_Depts[[#All],[COVID-19 Item List]:[SCL]],MATCH(Q$6,DATA_Depts[[#Headers],[COVID-19 Item List]:[SCL]],0),FALSE)=0),IF(VLOOKUP(_xlfn.CONCAT(Q$6,$C93),BurnRate!$G$3:$P$1102,10,FALSE)="NR","NR",0),VLOOKUP($C93,DATA_Depts[[#All],[COVID-19 Item List]:[SCL]],MATCH(Q$6,DATA_Depts[[#Headers],[COVID-19 Item List]:[SCL]],0),FALSE))</f>
        <v>NR</v>
      </c>
      <c r="R93" s="148" t="str">
        <f>IF(VLOOKUP(_xlfn.CONCAT(Q$6,$C93),BurnRate!$G$3:$P$1102,10,FALSE)="NR","NR",IF(Q93="NR","NR",Q93/(VLOOKUP(_xlfn.CONCAT(Q$6,$C93),BurnRate!$G$3:$P$1102,10,FALSE)/90)))</f>
        <v>NR</v>
      </c>
      <c r="S93" s="169" t="str">
        <f>IF(SUM(VLOOKUP($C93,DATA_Depts[[#All],[COVID-19 Item List]:[SCL]],MATCH(S$6,DATA_Depts[[#Headers],[COVID-19 Item List]:[SCL]],0),FALSE)=0),IF(VLOOKUP(_xlfn.CONCAT(S$6,$C93),BurnRate!$G$3:$P$1102,10,FALSE)="NR","NR",0),VLOOKUP($C93,DATA_Depts[[#All],[COVID-19 Item List]:[SCL]],MATCH(S$6,DATA_Depts[[#Headers],[COVID-19 Item List]:[SCL]],0),FALSE))</f>
        <v>NR</v>
      </c>
      <c r="T93" s="148" t="str">
        <f>IF(VLOOKUP(_xlfn.CONCAT(S$6,$C93),BurnRate!$G$3:$P$1102,10,FALSE)="NR","NR",IF(S93="NR","NR",S93/(VLOOKUP(_xlfn.CONCAT(S$6,$C93),BurnRate!$G$3:$P$1102,10,FALSE)/90)))</f>
        <v>NR</v>
      </c>
      <c r="U93" s="169" t="str">
        <f>IF(SUM(VLOOKUP($C93,DATA_Depts[[#All],[COVID-19 Item List]:[SCL]],MATCH(U$6,DATA_Depts[[#Headers],[COVID-19 Item List]:[SCL]],0),FALSE)=0),IF(VLOOKUP(_xlfn.CONCAT(U$6,$C93),BurnRate!$G$3:$P$1102,10,FALSE)="NR","NR",0),VLOOKUP($C93,DATA_Depts[[#All],[COVID-19 Item List]:[SCL]],MATCH(U$6,DATA_Depts[[#Headers],[COVID-19 Item List]:[SCL]],0),FALSE))</f>
        <v>NR</v>
      </c>
      <c r="V93" s="148" t="str">
        <f>IF(VLOOKUP(_xlfn.CONCAT(U$6,$C93),BurnRate!$G$3:$P$1102,10,FALSE)="NR","NR",IF(U93="NR","NR",U93/(VLOOKUP(_xlfn.CONCAT(U$6,$C93),BurnRate!$G$3:$P$1102,10,FALSE)/90)))</f>
        <v>NR</v>
      </c>
      <c r="W93" s="169" t="str">
        <f>IF(SUM(VLOOKUP($C93,DATA_Depts[[#All],[COVID-19 Item List]:[SCL]],MATCH(W$6,DATA_Depts[[#Headers],[COVID-19 Item List]:[SCL]],0),FALSE)=0),IF(VLOOKUP(_xlfn.CONCAT(W$6,$C93),BurnRate!$G$3:$P$1102,10,FALSE)="NR","NR",0),VLOOKUP($C93,DATA_Depts[[#All],[COVID-19 Item List]:[SCL]],MATCH(W$6,DATA_Depts[[#Headers],[COVID-19 Item List]:[SCL]],0),FALSE))</f>
        <v>NR</v>
      </c>
      <c r="X93" s="148" t="str">
        <f>IF(VLOOKUP(_xlfn.CONCAT(W$6,$C93),BurnRate!$G$3:$P$1102,10,FALSE)="NR","NR",IF(W93="NR","NR",W93/(VLOOKUP(_xlfn.CONCAT(W$6,$C93),BurnRate!$G$3:$P$1102,10,FALSE)/90)))</f>
        <v>NR</v>
      </c>
      <c r="Y93" s="169" t="str">
        <f>IF(SUM(VLOOKUP($C93,DATA_Depts[[#All],[COVID-19 Item List]:[SCL]],MATCH(Y$6,DATA_Depts[[#Headers],[COVID-19 Item List]:[SCL]],0),FALSE)=0),IF(VLOOKUP(_xlfn.CONCAT(Y$6,$C93),BurnRate!$G$3:$P$1102,10,FALSE)="NR","NR",0),VLOOKUP($C93,DATA_Depts[[#All],[COVID-19 Item List]:[SCL]],MATCH(Y$6,DATA_Depts[[#Headers],[COVID-19 Item List]:[SCL]],0),FALSE))</f>
        <v>NR</v>
      </c>
      <c r="Z93" s="148" t="str">
        <f>IF(VLOOKUP(_xlfn.CONCAT(Y$6,$C93),BurnRate!$G$3:$P$1102,10,FALSE)="NR","NR",IF(Y93="NR","NR",Y93/(VLOOKUP(_xlfn.CONCAT(Y$6,$C93),BurnRate!$G$3:$P$1102,10,FALSE)/90)))</f>
        <v>NR</v>
      </c>
    </row>
    <row r="94" spans="2:26" s="43" customFormat="1" ht="11" hidden="1">
      <c r="B94" s="46">
        <v>87</v>
      </c>
      <c r="C94" s="47" t="str">
        <f>_xlfn.SINGLE(VLOOKUP(B94,DisplayOrder[#All],2,FALSE))</f>
        <v>Reserved-87</v>
      </c>
      <c r="D94" s="116" t="str">
        <f>_xlfn.SINGLE(VLOOKUP(B94,DisplayOrder!A:C,3,FALSE))</f>
        <v>each</v>
      </c>
      <c r="E94" s="117" t="str">
        <f>IF(VLOOKUP(_xlfn.CONCAT(E$6,$C94),BurnRate!$G$3:$P$1102,10,FALSE)="NR",IF(SUMIF(FAS_Centralized!K:K,C94,FAS_Centralized!N:N)=0,"NR",SUMIF(FAS_Centralized!K:K,C94,FAS_Centralized!N:N)),SUMIF(FAS_Centralized!K:K,C94,FAS_Centralized!N:N))</f>
        <v>NR</v>
      </c>
      <c r="F94" s="148" t="str">
        <f>IF(VLOOKUP(_xlfn.CONCAT(E$6,$C94),BurnRate!$G$3:$P$1102,10,FALSE)="NR","NR",IF(E94="NR","NR",E94/(VLOOKUP(_xlfn.CONCAT(E$6,$C94),BurnRate!$G$3:$P$1102,10,FALSE)/90)))</f>
        <v>NR</v>
      </c>
      <c r="G94" s="169" t="str">
        <f>IF(SUM(VLOOKUP($C94,DATA_Depts[[#All],[COVID-19 Item List]:[SCL]],MATCH(G$6,DATA_Depts[[#Headers],[COVID-19 Item List]:[SCL]],0),FALSE)=0),IF(VLOOKUP(_xlfn.CONCAT(G$6,$C94),BurnRate!$G$3:$P$1102,10,FALSE)="NR","NR",0),VLOOKUP($C94,DATA_Depts[[#All],[COVID-19 Item List]:[SCL]],MATCH(G$6,DATA_Depts[[#Headers],[COVID-19 Item List]:[SCL]],0),FALSE))</f>
        <v>NR</v>
      </c>
      <c r="H94" s="148" t="str">
        <f>IF(VLOOKUP(_xlfn.CONCAT(G$6,$C94),BurnRate!$G$3:$P$1102,10,FALSE)="NR","NR",IF(G94="NR","NR",G94/(VLOOKUP(_xlfn.CONCAT(G$6,$C94),BurnRate!$G$3:$P$1102,10,FALSE)/90)))</f>
        <v>NR</v>
      </c>
      <c r="I94" s="169" t="str">
        <f>IF(SUM(VLOOKUP($C94,DATA_Depts[[#All],[COVID-19 Item List]:[SCL]],MATCH(I$6,DATA_Depts[[#Headers],[COVID-19 Item List]:[SCL]],0),FALSE)=0),IF(VLOOKUP(_xlfn.CONCAT(I$6,$C94),BurnRate!$G$3:$P$1102,10,FALSE)="NR","NR",0),VLOOKUP($C94,DATA_Depts[[#All],[COVID-19 Item List]:[SCL]],MATCH(I$6,DATA_Depts[[#Headers],[COVID-19 Item List]:[SCL]],0),FALSE))</f>
        <v>NR</v>
      </c>
      <c r="J94" s="148" t="str">
        <f>IF(VLOOKUP(_xlfn.CONCAT(I$6,$C94),BurnRate!$G$3:$P$1102,10,FALSE)="NR","NR",IF(I94="NR","NR",I94/(VLOOKUP(_xlfn.CONCAT(I$6,$C94),BurnRate!$G$3:$P$1102,10,FALSE)/90)))</f>
        <v>NR</v>
      </c>
      <c r="K94" s="169" t="str">
        <f>IF(SUM(VLOOKUP($C94,DATA_Depts[[#All],[COVID-19 Item List]:[SCL]],MATCH(K$6,DATA_Depts[[#Headers],[COVID-19 Item List]:[SCL]],0),FALSE)=0),IF(VLOOKUP(_xlfn.CONCAT(K$6,$C94),BurnRate!$G$3:$P$1102,10,FALSE)="NR","NR",0),VLOOKUP($C94,DATA_Depts[[#All],[COVID-19 Item List]:[SCL]],MATCH(K$6,DATA_Depts[[#Headers],[COVID-19 Item List]:[SCL]],0),FALSE))</f>
        <v>NR</v>
      </c>
      <c r="L94" s="148" t="str">
        <f>IF(VLOOKUP(_xlfn.CONCAT(K$6,$C94),BurnRate!$G$3:$P$1102,10,FALSE)="NR","NR",IF(K94="NR","NR",K94/(VLOOKUP(_xlfn.CONCAT(K$6,$C94),BurnRate!$G$3:$P$1102,10,FALSE)/90)))</f>
        <v>NR</v>
      </c>
      <c r="M94" s="169" t="str">
        <f>IF(SUM(VLOOKUP($C94,DATA_Depts[[#All],[COVID-19 Item List]:[SCL]],MATCH(M$6,DATA_Depts[[#Headers],[COVID-19 Item List]:[SCL]],0),FALSE)=0),IF(VLOOKUP(_xlfn.CONCAT(M$6,$C94),BurnRate!$G$3:$P$1102,10,FALSE)="NR","NR",0),VLOOKUP($C94,DATA_Depts[[#All],[COVID-19 Item List]:[SCL]],MATCH(M$6,DATA_Depts[[#Headers],[COVID-19 Item List]:[SCL]],0),FALSE))</f>
        <v>NR</v>
      </c>
      <c r="N94" s="148" t="str">
        <f>IF(VLOOKUP(_xlfn.CONCAT(M$6,$C94),BurnRate!$G$3:$P$1102,10,FALSE)="NR","NR",IF(M94="NR","NR",M94/(VLOOKUP(_xlfn.CONCAT(M$6,$C94),BurnRate!$G$3:$P$1102,10,FALSE)/90)))</f>
        <v>NR</v>
      </c>
      <c r="O94" s="169" t="str">
        <f>IF(SUM(VLOOKUP($C94,DATA_Depts[[#All],[COVID-19 Item List]:[SCL]],MATCH(O$6,DATA_Depts[[#Headers],[COVID-19 Item List]:[SCL]],0),FALSE)=0),IF(VLOOKUP(_xlfn.CONCAT(O$6,$C94),BurnRate!$G$3:$P$1102,10,FALSE)="NR","NR",0),VLOOKUP($C94,DATA_Depts[[#All],[COVID-19 Item List]:[SCL]],MATCH(O$6,DATA_Depts[[#Headers],[COVID-19 Item List]:[SCL]],0),FALSE))</f>
        <v>NR</v>
      </c>
      <c r="P94" s="148" t="str">
        <f>IF(VLOOKUP(_xlfn.CONCAT(O$6,$C94),BurnRate!$G$3:$P$1102,10,FALSE)="NR","NR",IF(O94="NR","NR",O94/(VLOOKUP(_xlfn.CONCAT(O$6,$C94),BurnRate!$G$3:$P$1102,10,FALSE)/90)))</f>
        <v>NR</v>
      </c>
      <c r="Q94" s="169" t="str">
        <f>IF(SUM(VLOOKUP($C94,DATA_Depts[[#All],[COVID-19 Item List]:[SCL]],MATCH(Q$6,DATA_Depts[[#Headers],[COVID-19 Item List]:[SCL]],0),FALSE)=0),IF(VLOOKUP(_xlfn.CONCAT(Q$6,$C94),BurnRate!$G$3:$P$1102,10,FALSE)="NR","NR",0),VLOOKUP($C94,DATA_Depts[[#All],[COVID-19 Item List]:[SCL]],MATCH(Q$6,DATA_Depts[[#Headers],[COVID-19 Item List]:[SCL]],0),FALSE))</f>
        <v>NR</v>
      </c>
      <c r="R94" s="148" t="str">
        <f>IF(VLOOKUP(_xlfn.CONCAT(Q$6,$C94),BurnRate!$G$3:$P$1102,10,FALSE)="NR","NR",IF(Q94="NR","NR",Q94/(VLOOKUP(_xlfn.CONCAT(Q$6,$C94),BurnRate!$G$3:$P$1102,10,FALSE)/90)))</f>
        <v>NR</v>
      </c>
      <c r="S94" s="169" t="str">
        <f>IF(SUM(VLOOKUP($C94,DATA_Depts[[#All],[COVID-19 Item List]:[SCL]],MATCH(S$6,DATA_Depts[[#Headers],[COVID-19 Item List]:[SCL]],0),FALSE)=0),IF(VLOOKUP(_xlfn.CONCAT(S$6,$C94),BurnRate!$G$3:$P$1102,10,FALSE)="NR","NR",0),VLOOKUP($C94,DATA_Depts[[#All],[COVID-19 Item List]:[SCL]],MATCH(S$6,DATA_Depts[[#Headers],[COVID-19 Item List]:[SCL]],0),FALSE))</f>
        <v>NR</v>
      </c>
      <c r="T94" s="148" t="str">
        <f>IF(VLOOKUP(_xlfn.CONCAT(S$6,$C94),BurnRate!$G$3:$P$1102,10,FALSE)="NR","NR",IF(S94="NR","NR",S94/(VLOOKUP(_xlfn.CONCAT(S$6,$C94),BurnRate!$G$3:$P$1102,10,FALSE)/90)))</f>
        <v>NR</v>
      </c>
      <c r="U94" s="169" t="str">
        <f>IF(SUM(VLOOKUP($C94,DATA_Depts[[#All],[COVID-19 Item List]:[SCL]],MATCH(U$6,DATA_Depts[[#Headers],[COVID-19 Item List]:[SCL]],0),FALSE)=0),IF(VLOOKUP(_xlfn.CONCAT(U$6,$C94),BurnRate!$G$3:$P$1102,10,FALSE)="NR","NR",0),VLOOKUP($C94,DATA_Depts[[#All],[COVID-19 Item List]:[SCL]],MATCH(U$6,DATA_Depts[[#Headers],[COVID-19 Item List]:[SCL]],0),FALSE))</f>
        <v>NR</v>
      </c>
      <c r="V94" s="148" t="str">
        <f>IF(VLOOKUP(_xlfn.CONCAT(U$6,$C94),BurnRate!$G$3:$P$1102,10,FALSE)="NR","NR",IF(U94="NR","NR",U94/(VLOOKUP(_xlfn.CONCAT(U$6,$C94),BurnRate!$G$3:$P$1102,10,FALSE)/90)))</f>
        <v>NR</v>
      </c>
      <c r="W94" s="169" t="str">
        <f>IF(SUM(VLOOKUP($C94,DATA_Depts[[#All],[COVID-19 Item List]:[SCL]],MATCH(W$6,DATA_Depts[[#Headers],[COVID-19 Item List]:[SCL]],0),FALSE)=0),IF(VLOOKUP(_xlfn.CONCAT(W$6,$C94),BurnRate!$G$3:$P$1102,10,FALSE)="NR","NR",0),VLOOKUP($C94,DATA_Depts[[#All],[COVID-19 Item List]:[SCL]],MATCH(W$6,DATA_Depts[[#Headers],[COVID-19 Item List]:[SCL]],0),FALSE))</f>
        <v>NR</v>
      </c>
      <c r="X94" s="148" t="str">
        <f>IF(VLOOKUP(_xlfn.CONCAT(W$6,$C94),BurnRate!$G$3:$P$1102,10,FALSE)="NR","NR",IF(W94="NR","NR",W94/(VLOOKUP(_xlfn.CONCAT(W$6,$C94),BurnRate!$G$3:$P$1102,10,FALSE)/90)))</f>
        <v>NR</v>
      </c>
      <c r="Y94" s="169" t="str">
        <f>IF(SUM(VLOOKUP($C94,DATA_Depts[[#All],[COVID-19 Item List]:[SCL]],MATCH(Y$6,DATA_Depts[[#Headers],[COVID-19 Item List]:[SCL]],0),FALSE)=0),IF(VLOOKUP(_xlfn.CONCAT(Y$6,$C94),BurnRate!$G$3:$P$1102,10,FALSE)="NR","NR",0),VLOOKUP($C94,DATA_Depts[[#All],[COVID-19 Item List]:[SCL]],MATCH(Y$6,DATA_Depts[[#Headers],[COVID-19 Item List]:[SCL]],0),FALSE))</f>
        <v>NR</v>
      </c>
      <c r="Z94" s="148" t="str">
        <f>IF(VLOOKUP(_xlfn.CONCAT(Y$6,$C94),BurnRate!$G$3:$P$1102,10,FALSE)="NR","NR",IF(Y94="NR","NR",Y94/(VLOOKUP(_xlfn.CONCAT(Y$6,$C94),BurnRate!$G$3:$P$1102,10,FALSE)/90)))</f>
        <v>NR</v>
      </c>
    </row>
    <row r="95" spans="2:26" s="43" customFormat="1" ht="11" hidden="1">
      <c r="B95" s="46">
        <v>88</v>
      </c>
      <c r="C95" s="47" t="str">
        <f>_xlfn.SINGLE(VLOOKUP(B95,DisplayOrder[#All],2,FALSE))</f>
        <v>Reserved-88</v>
      </c>
      <c r="D95" s="116" t="str">
        <f>_xlfn.SINGLE(VLOOKUP(B95,DisplayOrder!A:C,3,FALSE))</f>
        <v>each</v>
      </c>
      <c r="E95" s="117" t="str">
        <f>IF(VLOOKUP(_xlfn.CONCAT(E$6,$C95),BurnRate!$G$3:$P$1102,10,FALSE)="NR",IF(SUMIF(FAS_Centralized!K:K,C95,FAS_Centralized!N:N)=0,"NR",SUMIF(FAS_Centralized!K:K,C95,FAS_Centralized!N:N)),SUMIF(FAS_Centralized!K:K,C95,FAS_Centralized!N:N))</f>
        <v>NR</v>
      </c>
      <c r="F95" s="148" t="str">
        <f>IF(VLOOKUP(_xlfn.CONCAT(E$6,$C95),BurnRate!$G$3:$P$1102,10,FALSE)="NR","NR",IF(E95="NR","NR",E95/(VLOOKUP(_xlfn.CONCAT(E$6,$C95),BurnRate!$G$3:$P$1102,10,FALSE)/90)))</f>
        <v>NR</v>
      </c>
      <c r="G95" s="169" t="str">
        <f>IF(SUM(VLOOKUP($C95,DATA_Depts[[#All],[COVID-19 Item List]:[SCL]],MATCH(G$6,DATA_Depts[[#Headers],[COVID-19 Item List]:[SCL]],0),FALSE)=0),IF(VLOOKUP(_xlfn.CONCAT(G$6,$C95),BurnRate!$G$3:$P$1102,10,FALSE)="NR","NR",0),VLOOKUP($C95,DATA_Depts[[#All],[COVID-19 Item List]:[SCL]],MATCH(G$6,DATA_Depts[[#Headers],[COVID-19 Item List]:[SCL]],0),FALSE))</f>
        <v>NR</v>
      </c>
      <c r="H95" s="148" t="str">
        <f>IF(VLOOKUP(_xlfn.CONCAT(G$6,$C95),BurnRate!$G$3:$P$1102,10,FALSE)="NR","NR",IF(G95="NR","NR",G95/(VLOOKUP(_xlfn.CONCAT(G$6,$C95),BurnRate!$G$3:$P$1102,10,FALSE)/90)))</f>
        <v>NR</v>
      </c>
      <c r="I95" s="169" t="str">
        <f>IF(SUM(VLOOKUP($C95,DATA_Depts[[#All],[COVID-19 Item List]:[SCL]],MATCH(I$6,DATA_Depts[[#Headers],[COVID-19 Item List]:[SCL]],0),FALSE)=0),IF(VLOOKUP(_xlfn.CONCAT(I$6,$C95),BurnRate!$G$3:$P$1102,10,FALSE)="NR","NR",0),VLOOKUP($C95,DATA_Depts[[#All],[COVID-19 Item List]:[SCL]],MATCH(I$6,DATA_Depts[[#Headers],[COVID-19 Item List]:[SCL]],0),FALSE))</f>
        <v>NR</v>
      </c>
      <c r="J95" s="148" t="str">
        <f>IF(VLOOKUP(_xlfn.CONCAT(I$6,$C95),BurnRate!$G$3:$P$1102,10,FALSE)="NR","NR",IF(I95="NR","NR",I95/(VLOOKUP(_xlfn.CONCAT(I$6,$C95),BurnRate!$G$3:$P$1102,10,FALSE)/90)))</f>
        <v>NR</v>
      </c>
      <c r="K95" s="169" t="str">
        <f>IF(SUM(VLOOKUP($C95,DATA_Depts[[#All],[COVID-19 Item List]:[SCL]],MATCH(K$6,DATA_Depts[[#Headers],[COVID-19 Item List]:[SCL]],0),FALSE)=0),IF(VLOOKUP(_xlfn.CONCAT(K$6,$C95),BurnRate!$G$3:$P$1102,10,FALSE)="NR","NR",0),VLOOKUP($C95,DATA_Depts[[#All],[COVID-19 Item List]:[SCL]],MATCH(K$6,DATA_Depts[[#Headers],[COVID-19 Item List]:[SCL]],0),FALSE))</f>
        <v>NR</v>
      </c>
      <c r="L95" s="148" t="str">
        <f>IF(VLOOKUP(_xlfn.CONCAT(K$6,$C95),BurnRate!$G$3:$P$1102,10,FALSE)="NR","NR",IF(K95="NR","NR",K95/(VLOOKUP(_xlfn.CONCAT(K$6,$C95),BurnRate!$G$3:$P$1102,10,FALSE)/90)))</f>
        <v>NR</v>
      </c>
      <c r="M95" s="169" t="str">
        <f>IF(SUM(VLOOKUP($C95,DATA_Depts[[#All],[COVID-19 Item List]:[SCL]],MATCH(M$6,DATA_Depts[[#Headers],[COVID-19 Item List]:[SCL]],0),FALSE)=0),IF(VLOOKUP(_xlfn.CONCAT(M$6,$C95),BurnRate!$G$3:$P$1102,10,FALSE)="NR","NR",0),VLOOKUP($C95,DATA_Depts[[#All],[COVID-19 Item List]:[SCL]],MATCH(M$6,DATA_Depts[[#Headers],[COVID-19 Item List]:[SCL]],0),FALSE))</f>
        <v>NR</v>
      </c>
      <c r="N95" s="148" t="str">
        <f>IF(VLOOKUP(_xlfn.CONCAT(M$6,$C95),BurnRate!$G$3:$P$1102,10,FALSE)="NR","NR",IF(M95="NR","NR",M95/(VLOOKUP(_xlfn.CONCAT(M$6,$C95),BurnRate!$G$3:$P$1102,10,FALSE)/90)))</f>
        <v>NR</v>
      </c>
      <c r="O95" s="169" t="str">
        <f>IF(SUM(VLOOKUP($C95,DATA_Depts[[#All],[COVID-19 Item List]:[SCL]],MATCH(O$6,DATA_Depts[[#Headers],[COVID-19 Item List]:[SCL]],0),FALSE)=0),IF(VLOOKUP(_xlfn.CONCAT(O$6,$C95),BurnRate!$G$3:$P$1102,10,FALSE)="NR","NR",0),VLOOKUP($C95,DATA_Depts[[#All],[COVID-19 Item List]:[SCL]],MATCH(O$6,DATA_Depts[[#Headers],[COVID-19 Item List]:[SCL]],0),FALSE))</f>
        <v>NR</v>
      </c>
      <c r="P95" s="148" t="str">
        <f>IF(VLOOKUP(_xlfn.CONCAT(O$6,$C95),BurnRate!$G$3:$P$1102,10,FALSE)="NR","NR",IF(O95="NR","NR",O95/(VLOOKUP(_xlfn.CONCAT(O$6,$C95),BurnRate!$G$3:$P$1102,10,FALSE)/90)))</f>
        <v>NR</v>
      </c>
      <c r="Q95" s="169" t="str">
        <f>IF(SUM(VLOOKUP($C95,DATA_Depts[[#All],[COVID-19 Item List]:[SCL]],MATCH(Q$6,DATA_Depts[[#Headers],[COVID-19 Item List]:[SCL]],0),FALSE)=0),IF(VLOOKUP(_xlfn.CONCAT(Q$6,$C95),BurnRate!$G$3:$P$1102,10,FALSE)="NR","NR",0),VLOOKUP($C95,DATA_Depts[[#All],[COVID-19 Item List]:[SCL]],MATCH(Q$6,DATA_Depts[[#Headers],[COVID-19 Item List]:[SCL]],0),FALSE))</f>
        <v>NR</v>
      </c>
      <c r="R95" s="148" t="str">
        <f>IF(VLOOKUP(_xlfn.CONCAT(Q$6,$C95),BurnRate!$G$3:$P$1102,10,FALSE)="NR","NR",IF(Q95="NR","NR",Q95/(VLOOKUP(_xlfn.CONCAT(Q$6,$C95),BurnRate!$G$3:$P$1102,10,FALSE)/90)))</f>
        <v>NR</v>
      </c>
      <c r="S95" s="169" t="str">
        <f>IF(SUM(VLOOKUP($C95,DATA_Depts[[#All],[COVID-19 Item List]:[SCL]],MATCH(S$6,DATA_Depts[[#Headers],[COVID-19 Item List]:[SCL]],0),FALSE)=0),IF(VLOOKUP(_xlfn.CONCAT(S$6,$C95),BurnRate!$G$3:$P$1102,10,FALSE)="NR","NR",0),VLOOKUP($C95,DATA_Depts[[#All],[COVID-19 Item List]:[SCL]],MATCH(S$6,DATA_Depts[[#Headers],[COVID-19 Item List]:[SCL]],0),FALSE))</f>
        <v>NR</v>
      </c>
      <c r="T95" s="148" t="str">
        <f>IF(VLOOKUP(_xlfn.CONCAT(S$6,$C95),BurnRate!$G$3:$P$1102,10,FALSE)="NR","NR",IF(S95="NR","NR",S95/(VLOOKUP(_xlfn.CONCAT(S$6,$C95),BurnRate!$G$3:$P$1102,10,FALSE)/90)))</f>
        <v>NR</v>
      </c>
      <c r="U95" s="169" t="str">
        <f>IF(SUM(VLOOKUP($C95,DATA_Depts[[#All],[COVID-19 Item List]:[SCL]],MATCH(U$6,DATA_Depts[[#Headers],[COVID-19 Item List]:[SCL]],0),FALSE)=0),IF(VLOOKUP(_xlfn.CONCAT(U$6,$C95),BurnRate!$G$3:$P$1102,10,FALSE)="NR","NR",0),VLOOKUP($C95,DATA_Depts[[#All],[COVID-19 Item List]:[SCL]],MATCH(U$6,DATA_Depts[[#Headers],[COVID-19 Item List]:[SCL]],0),FALSE))</f>
        <v>NR</v>
      </c>
      <c r="V95" s="148" t="str">
        <f>IF(VLOOKUP(_xlfn.CONCAT(U$6,$C95),BurnRate!$G$3:$P$1102,10,FALSE)="NR","NR",IF(U95="NR","NR",U95/(VLOOKUP(_xlfn.CONCAT(U$6,$C95),BurnRate!$G$3:$P$1102,10,FALSE)/90)))</f>
        <v>NR</v>
      </c>
      <c r="W95" s="169" t="str">
        <f>IF(SUM(VLOOKUP($C95,DATA_Depts[[#All],[COVID-19 Item List]:[SCL]],MATCH(W$6,DATA_Depts[[#Headers],[COVID-19 Item List]:[SCL]],0),FALSE)=0),IF(VLOOKUP(_xlfn.CONCAT(W$6,$C95),BurnRate!$G$3:$P$1102,10,FALSE)="NR","NR",0),VLOOKUP($C95,DATA_Depts[[#All],[COVID-19 Item List]:[SCL]],MATCH(W$6,DATA_Depts[[#Headers],[COVID-19 Item List]:[SCL]],0),FALSE))</f>
        <v>NR</v>
      </c>
      <c r="X95" s="148" t="str">
        <f>IF(VLOOKUP(_xlfn.CONCAT(W$6,$C95),BurnRate!$G$3:$P$1102,10,FALSE)="NR","NR",IF(W95="NR","NR",W95/(VLOOKUP(_xlfn.CONCAT(W$6,$C95),BurnRate!$G$3:$P$1102,10,FALSE)/90)))</f>
        <v>NR</v>
      </c>
      <c r="Y95" s="169" t="str">
        <f>IF(SUM(VLOOKUP($C95,DATA_Depts[[#All],[COVID-19 Item List]:[SCL]],MATCH(Y$6,DATA_Depts[[#Headers],[COVID-19 Item List]:[SCL]],0),FALSE)=0),IF(VLOOKUP(_xlfn.CONCAT(Y$6,$C95),BurnRate!$G$3:$P$1102,10,FALSE)="NR","NR",0),VLOOKUP($C95,DATA_Depts[[#All],[COVID-19 Item List]:[SCL]],MATCH(Y$6,DATA_Depts[[#Headers],[COVID-19 Item List]:[SCL]],0),FALSE))</f>
        <v>NR</v>
      </c>
      <c r="Z95" s="148" t="str">
        <f>IF(VLOOKUP(_xlfn.CONCAT(Y$6,$C95),BurnRate!$G$3:$P$1102,10,FALSE)="NR","NR",IF(Y95="NR","NR",Y95/(VLOOKUP(_xlfn.CONCAT(Y$6,$C95),BurnRate!$G$3:$P$1102,10,FALSE)/90)))</f>
        <v>NR</v>
      </c>
    </row>
    <row r="96" spans="2:26" s="43" customFormat="1" ht="11" hidden="1">
      <c r="B96" s="46">
        <v>89</v>
      </c>
      <c r="C96" s="47" t="str">
        <f>_xlfn.SINGLE(VLOOKUP(B96,DisplayOrder[#All],2,FALSE))</f>
        <v>Reserved-89</v>
      </c>
      <c r="D96" s="116" t="str">
        <f>_xlfn.SINGLE(VLOOKUP(B96,DisplayOrder!A:C,3,FALSE))</f>
        <v>each</v>
      </c>
      <c r="E96" s="117" t="str">
        <f>IF(VLOOKUP(_xlfn.CONCAT(E$6,$C96),BurnRate!$G$3:$P$1102,10,FALSE)="NR",IF(SUMIF(FAS_Centralized!K:K,C96,FAS_Centralized!N:N)=0,"NR",SUMIF(FAS_Centralized!K:K,C96,FAS_Centralized!N:N)),SUMIF(FAS_Centralized!K:K,C96,FAS_Centralized!N:N))</f>
        <v>NR</v>
      </c>
      <c r="F96" s="148" t="str">
        <f>IF(VLOOKUP(_xlfn.CONCAT(E$6,$C96),BurnRate!$G$3:$P$1102,10,FALSE)="NR","NR",IF(E96="NR","NR",E96/(VLOOKUP(_xlfn.CONCAT(E$6,$C96),BurnRate!$G$3:$P$1102,10,FALSE)/90)))</f>
        <v>NR</v>
      </c>
      <c r="G96" s="169" t="str">
        <f>IF(SUM(VLOOKUP($C96,DATA_Depts[[#All],[COVID-19 Item List]:[SCL]],MATCH(G$6,DATA_Depts[[#Headers],[COVID-19 Item List]:[SCL]],0),FALSE)=0),IF(VLOOKUP(_xlfn.CONCAT(G$6,$C96),BurnRate!$G$3:$P$1102,10,FALSE)="NR","NR",0),VLOOKUP($C96,DATA_Depts[[#All],[COVID-19 Item List]:[SCL]],MATCH(G$6,DATA_Depts[[#Headers],[COVID-19 Item List]:[SCL]],0),FALSE))</f>
        <v>NR</v>
      </c>
      <c r="H96" s="148" t="str">
        <f>IF(VLOOKUP(_xlfn.CONCAT(G$6,$C96),BurnRate!$G$3:$P$1102,10,FALSE)="NR","NR",IF(G96="NR","NR",G96/(VLOOKUP(_xlfn.CONCAT(G$6,$C96),BurnRate!$G$3:$P$1102,10,FALSE)/90)))</f>
        <v>NR</v>
      </c>
      <c r="I96" s="169" t="str">
        <f>IF(SUM(VLOOKUP($C96,DATA_Depts[[#All],[COVID-19 Item List]:[SCL]],MATCH(I$6,DATA_Depts[[#Headers],[COVID-19 Item List]:[SCL]],0),FALSE)=0),IF(VLOOKUP(_xlfn.CONCAT(I$6,$C96),BurnRate!$G$3:$P$1102,10,FALSE)="NR","NR",0),VLOOKUP($C96,DATA_Depts[[#All],[COVID-19 Item List]:[SCL]],MATCH(I$6,DATA_Depts[[#Headers],[COVID-19 Item List]:[SCL]],0),FALSE))</f>
        <v>NR</v>
      </c>
      <c r="J96" s="148" t="str">
        <f>IF(VLOOKUP(_xlfn.CONCAT(I$6,$C96),BurnRate!$G$3:$P$1102,10,FALSE)="NR","NR",IF(I96="NR","NR",I96/(VLOOKUP(_xlfn.CONCAT(I$6,$C96),BurnRate!$G$3:$P$1102,10,FALSE)/90)))</f>
        <v>NR</v>
      </c>
      <c r="K96" s="169" t="str">
        <f>IF(SUM(VLOOKUP($C96,DATA_Depts[[#All],[COVID-19 Item List]:[SCL]],MATCH(K$6,DATA_Depts[[#Headers],[COVID-19 Item List]:[SCL]],0),FALSE)=0),IF(VLOOKUP(_xlfn.CONCAT(K$6,$C96),BurnRate!$G$3:$P$1102,10,FALSE)="NR","NR",0),VLOOKUP($C96,DATA_Depts[[#All],[COVID-19 Item List]:[SCL]],MATCH(K$6,DATA_Depts[[#Headers],[COVID-19 Item List]:[SCL]],0),FALSE))</f>
        <v>NR</v>
      </c>
      <c r="L96" s="148" t="str">
        <f>IF(VLOOKUP(_xlfn.CONCAT(K$6,$C96),BurnRate!$G$3:$P$1102,10,FALSE)="NR","NR",IF(K96="NR","NR",K96/(VLOOKUP(_xlfn.CONCAT(K$6,$C96),BurnRate!$G$3:$P$1102,10,FALSE)/90)))</f>
        <v>NR</v>
      </c>
      <c r="M96" s="169" t="str">
        <f>IF(SUM(VLOOKUP($C96,DATA_Depts[[#All],[COVID-19 Item List]:[SCL]],MATCH(M$6,DATA_Depts[[#Headers],[COVID-19 Item List]:[SCL]],0),FALSE)=0),IF(VLOOKUP(_xlfn.CONCAT(M$6,$C96),BurnRate!$G$3:$P$1102,10,FALSE)="NR","NR",0),VLOOKUP($C96,DATA_Depts[[#All],[COVID-19 Item List]:[SCL]],MATCH(M$6,DATA_Depts[[#Headers],[COVID-19 Item List]:[SCL]],0),FALSE))</f>
        <v>NR</v>
      </c>
      <c r="N96" s="148" t="str">
        <f>IF(VLOOKUP(_xlfn.CONCAT(M$6,$C96),BurnRate!$G$3:$P$1102,10,FALSE)="NR","NR",IF(M96="NR","NR",M96/(VLOOKUP(_xlfn.CONCAT(M$6,$C96),BurnRate!$G$3:$P$1102,10,FALSE)/90)))</f>
        <v>NR</v>
      </c>
      <c r="O96" s="169" t="str">
        <f>IF(SUM(VLOOKUP($C96,DATA_Depts[[#All],[COVID-19 Item List]:[SCL]],MATCH(O$6,DATA_Depts[[#Headers],[COVID-19 Item List]:[SCL]],0),FALSE)=0),IF(VLOOKUP(_xlfn.CONCAT(O$6,$C96),BurnRate!$G$3:$P$1102,10,FALSE)="NR","NR",0),VLOOKUP($C96,DATA_Depts[[#All],[COVID-19 Item List]:[SCL]],MATCH(O$6,DATA_Depts[[#Headers],[COVID-19 Item List]:[SCL]],0),FALSE))</f>
        <v>NR</v>
      </c>
      <c r="P96" s="148" t="str">
        <f>IF(VLOOKUP(_xlfn.CONCAT(O$6,$C96),BurnRate!$G$3:$P$1102,10,FALSE)="NR","NR",IF(O96="NR","NR",O96/(VLOOKUP(_xlfn.CONCAT(O$6,$C96),BurnRate!$G$3:$P$1102,10,FALSE)/90)))</f>
        <v>NR</v>
      </c>
      <c r="Q96" s="169" t="str">
        <f>IF(SUM(VLOOKUP($C96,DATA_Depts[[#All],[COVID-19 Item List]:[SCL]],MATCH(Q$6,DATA_Depts[[#Headers],[COVID-19 Item List]:[SCL]],0),FALSE)=0),IF(VLOOKUP(_xlfn.CONCAT(Q$6,$C96),BurnRate!$G$3:$P$1102,10,FALSE)="NR","NR",0),VLOOKUP($C96,DATA_Depts[[#All],[COVID-19 Item List]:[SCL]],MATCH(Q$6,DATA_Depts[[#Headers],[COVID-19 Item List]:[SCL]],0),FALSE))</f>
        <v>NR</v>
      </c>
      <c r="R96" s="148" t="str">
        <f>IF(VLOOKUP(_xlfn.CONCAT(Q$6,$C96),BurnRate!$G$3:$P$1102,10,FALSE)="NR","NR",IF(Q96="NR","NR",Q96/(VLOOKUP(_xlfn.CONCAT(Q$6,$C96),BurnRate!$G$3:$P$1102,10,FALSE)/90)))</f>
        <v>NR</v>
      </c>
      <c r="S96" s="169" t="str">
        <f>IF(SUM(VLOOKUP($C96,DATA_Depts[[#All],[COVID-19 Item List]:[SCL]],MATCH(S$6,DATA_Depts[[#Headers],[COVID-19 Item List]:[SCL]],0),FALSE)=0),IF(VLOOKUP(_xlfn.CONCAT(S$6,$C96),BurnRate!$G$3:$P$1102,10,FALSE)="NR","NR",0),VLOOKUP($C96,DATA_Depts[[#All],[COVID-19 Item List]:[SCL]],MATCH(S$6,DATA_Depts[[#Headers],[COVID-19 Item List]:[SCL]],0),FALSE))</f>
        <v>NR</v>
      </c>
      <c r="T96" s="148" t="str">
        <f>IF(VLOOKUP(_xlfn.CONCAT(S$6,$C96),BurnRate!$G$3:$P$1102,10,FALSE)="NR","NR",IF(S96="NR","NR",S96/(VLOOKUP(_xlfn.CONCAT(S$6,$C96),BurnRate!$G$3:$P$1102,10,FALSE)/90)))</f>
        <v>NR</v>
      </c>
      <c r="U96" s="169" t="str">
        <f>IF(SUM(VLOOKUP($C96,DATA_Depts[[#All],[COVID-19 Item List]:[SCL]],MATCH(U$6,DATA_Depts[[#Headers],[COVID-19 Item List]:[SCL]],0),FALSE)=0),IF(VLOOKUP(_xlfn.CONCAT(U$6,$C96),BurnRate!$G$3:$P$1102,10,FALSE)="NR","NR",0),VLOOKUP($C96,DATA_Depts[[#All],[COVID-19 Item List]:[SCL]],MATCH(U$6,DATA_Depts[[#Headers],[COVID-19 Item List]:[SCL]],0),FALSE))</f>
        <v>NR</v>
      </c>
      <c r="V96" s="148" t="str">
        <f>IF(VLOOKUP(_xlfn.CONCAT(U$6,$C96),BurnRate!$G$3:$P$1102,10,FALSE)="NR","NR",IF(U96="NR","NR",U96/(VLOOKUP(_xlfn.CONCAT(U$6,$C96),BurnRate!$G$3:$P$1102,10,FALSE)/90)))</f>
        <v>NR</v>
      </c>
      <c r="W96" s="169" t="str">
        <f>IF(SUM(VLOOKUP($C96,DATA_Depts[[#All],[COVID-19 Item List]:[SCL]],MATCH(W$6,DATA_Depts[[#Headers],[COVID-19 Item List]:[SCL]],0),FALSE)=0),IF(VLOOKUP(_xlfn.CONCAT(W$6,$C96),BurnRate!$G$3:$P$1102,10,FALSE)="NR","NR",0),VLOOKUP($C96,DATA_Depts[[#All],[COVID-19 Item List]:[SCL]],MATCH(W$6,DATA_Depts[[#Headers],[COVID-19 Item List]:[SCL]],0),FALSE))</f>
        <v>NR</v>
      </c>
      <c r="X96" s="148" t="str">
        <f>IF(VLOOKUP(_xlfn.CONCAT(W$6,$C96),BurnRate!$G$3:$P$1102,10,FALSE)="NR","NR",IF(W96="NR","NR",W96/(VLOOKUP(_xlfn.CONCAT(W$6,$C96),BurnRate!$G$3:$P$1102,10,FALSE)/90)))</f>
        <v>NR</v>
      </c>
      <c r="Y96" s="169" t="str">
        <f>IF(SUM(VLOOKUP($C96,DATA_Depts[[#All],[COVID-19 Item List]:[SCL]],MATCH(Y$6,DATA_Depts[[#Headers],[COVID-19 Item List]:[SCL]],0),FALSE)=0),IF(VLOOKUP(_xlfn.CONCAT(Y$6,$C96),BurnRate!$G$3:$P$1102,10,FALSE)="NR","NR",0),VLOOKUP($C96,DATA_Depts[[#All],[COVID-19 Item List]:[SCL]],MATCH(Y$6,DATA_Depts[[#Headers],[COVID-19 Item List]:[SCL]],0),FALSE))</f>
        <v>NR</v>
      </c>
      <c r="Z96" s="148" t="str">
        <f>IF(VLOOKUP(_xlfn.CONCAT(Y$6,$C96),BurnRate!$G$3:$P$1102,10,FALSE)="NR","NR",IF(Y96="NR","NR",Y96/(VLOOKUP(_xlfn.CONCAT(Y$6,$C96),BurnRate!$G$3:$P$1102,10,FALSE)/90)))</f>
        <v>NR</v>
      </c>
    </row>
    <row r="97" spans="1:27" s="43" customFormat="1" ht="11" hidden="1">
      <c r="B97" s="46">
        <v>90</v>
      </c>
      <c r="C97" s="47" t="str">
        <f>_xlfn.SINGLE(VLOOKUP(B97,DisplayOrder[#All],2,FALSE))</f>
        <v>Reserved-90</v>
      </c>
      <c r="D97" s="116" t="str">
        <f>_xlfn.SINGLE(VLOOKUP(B97,DisplayOrder!A:C,3,FALSE))</f>
        <v>each</v>
      </c>
      <c r="E97" s="117" t="str">
        <f>IF(VLOOKUP(_xlfn.CONCAT(E$6,$C97),BurnRate!$G$3:$P$1102,10,FALSE)="NR",IF(SUMIF(FAS_Centralized!K:K,C97,FAS_Centralized!N:N)=0,"NR",SUMIF(FAS_Centralized!K:K,C97,FAS_Centralized!N:N)),SUMIF(FAS_Centralized!K:K,C97,FAS_Centralized!N:N))</f>
        <v>NR</v>
      </c>
      <c r="F97" s="148" t="str">
        <f>IF(VLOOKUP(_xlfn.CONCAT(E$6,$C97),BurnRate!$G$3:$P$1102,10,FALSE)="NR","NR",IF(E97="NR","NR",E97/(VLOOKUP(_xlfn.CONCAT(E$6,$C97),BurnRate!$G$3:$P$1102,10,FALSE)/90)))</f>
        <v>NR</v>
      </c>
      <c r="G97" s="169" t="str">
        <f>IF(SUM(VLOOKUP($C97,DATA_Depts[[#All],[COVID-19 Item List]:[SCL]],MATCH(G$6,DATA_Depts[[#Headers],[COVID-19 Item List]:[SCL]],0),FALSE)=0),IF(VLOOKUP(_xlfn.CONCAT(G$6,$C97),BurnRate!$G$3:$P$1102,10,FALSE)="NR","NR",0),VLOOKUP($C97,DATA_Depts[[#All],[COVID-19 Item List]:[SCL]],MATCH(G$6,DATA_Depts[[#Headers],[COVID-19 Item List]:[SCL]],0),FALSE))</f>
        <v>NR</v>
      </c>
      <c r="H97" s="148" t="str">
        <f>IF(VLOOKUP(_xlfn.CONCAT(G$6,$C97),BurnRate!$G$3:$P$1102,10,FALSE)="NR","NR",IF(G97="NR","NR",G97/(VLOOKUP(_xlfn.CONCAT(G$6,$C97),BurnRate!$G$3:$P$1102,10,FALSE)/90)))</f>
        <v>NR</v>
      </c>
      <c r="I97" s="169" t="str">
        <f>IF(SUM(VLOOKUP($C97,DATA_Depts[[#All],[COVID-19 Item List]:[SCL]],MATCH(I$6,DATA_Depts[[#Headers],[COVID-19 Item List]:[SCL]],0),FALSE)=0),IF(VLOOKUP(_xlfn.CONCAT(I$6,$C97),BurnRate!$G$3:$P$1102,10,FALSE)="NR","NR",0),VLOOKUP($C97,DATA_Depts[[#All],[COVID-19 Item List]:[SCL]],MATCH(I$6,DATA_Depts[[#Headers],[COVID-19 Item List]:[SCL]],0),FALSE))</f>
        <v>NR</v>
      </c>
      <c r="J97" s="148" t="str">
        <f>IF(VLOOKUP(_xlfn.CONCAT(I$6,$C97),BurnRate!$G$3:$P$1102,10,FALSE)="NR","NR",IF(I97="NR","NR",I97/(VLOOKUP(_xlfn.CONCAT(I$6,$C97),BurnRate!$G$3:$P$1102,10,FALSE)/90)))</f>
        <v>NR</v>
      </c>
      <c r="K97" s="169" t="str">
        <f>IF(SUM(VLOOKUP($C97,DATA_Depts[[#All],[COVID-19 Item List]:[SCL]],MATCH(K$6,DATA_Depts[[#Headers],[COVID-19 Item List]:[SCL]],0),FALSE)=0),IF(VLOOKUP(_xlfn.CONCAT(K$6,$C97),BurnRate!$G$3:$P$1102,10,FALSE)="NR","NR",0),VLOOKUP($C97,DATA_Depts[[#All],[COVID-19 Item List]:[SCL]],MATCH(K$6,DATA_Depts[[#Headers],[COVID-19 Item List]:[SCL]],0),FALSE))</f>
        <v>NR</v>
      </c>
      <c r="L97" s="148" t="str">
        <f>IF(VLOOKUP(_xlfn.CONCAT(K$6,$C97),BurnRate!$G$3:$P$1102,10,FALSE)="NR","NR",IF(K97="NR","NR",K97/(VLOOKUP(_xlfn.CONCAT(K$6,$C97),BurnRate!$G$3:$P$1102,10,FALSE)/90)))</f>
        <v>NR</v>
      </c>
      <c r="M97" s="169" t="str">
        <f>IF(SUM(VLOOKUP($C97,DATA_Depts[[#All],[COVID-19 Item List]:[SCL]],MATCH(M$6,DATA_Depts[[#Headers],[COVID-19 Item List]:[SCL]],0),FALSE)=0),IF(VLOOKUP(_xlfn.CONCAT(M$6,$C97),BurnRate!$G$3:$P$1102,10,FALSE)="NR","NR",0),VLOOKUP($C97,DATA_Depts[[#All],[COVID-19 Item List]:[SCL]],MATCH(M$6,DATA_Depts[[#Headers],[COVID-19 Item List]:[SCL]],0),FALSE))</f>
        <v>NR</v>
      </c>
      <c r="N97" s="148" t="str">
        <f>IF(VLOOKUP(_xlfn.CONCAT(M$6,$C97),BurnRate!$G$3:$P$1102,10,FALSE)="NR","NR",IF(M97="NR","NR",M97/(VLOOKUP(_xlfn.CONCAT(M$6,$C97),BurnRate!$G$3:$P$1102,10,FALSE)/90)))</f>
        <v>NR</v>
      </c>
      <c r="O97" s="169" t="str">
        <f>IF(SUM(VLOOKUP($C97,DATA_Depts[[#All],[COVID-19 Item List]:[SCL]],MATCH(O$6,DATA_Depts[[#Headers],[COVID-19 Item List]:[SCL]],0),FALSE)=0),IF(VLOOKUP(_xlfn.CONCAT(O$6,$C97),BurnRate!$G$3:$P$1102,10,FALSE)="NR","NR",0),VLOOKUP($C97,DATA_Depts[[#All],[COVID-19 Item List]:[SCL]],MATCH(O$6,DATA_Depts[[#Headers],[COVID-19 Item List]:[SCL]],0),FALSE))</f>
        <v>NR</v>
      </c>
      <c r="P97" s="148" t="str">
        <f>IF(VLOOKUP(_xlfn.CONCAT(O$6,$C97),BurnRate!$G$3:$P$1102,10,FALSE)="NR","NR",IF(O97="NR","NR",O97/(VLOOKUP(_xlfn.CONCAT(O$6,$C97),BurnRate!$G$3:$P$1102,10,FALSE)/90)))</f>
        <v>NR</v>
      </c>
      <c r="Q97" s="169" t="str">
        <f>IF(SUM(VLOOKUP($C97,DATA_Depts[[#All],[COVID-19 Item List]:[SCL]],MATCH(Q$6,DATA_Depts[[#Headers],[COVID-19 Item List]:[SCL]],0),FALSE)=0),IF(VLOOKUP(_xlfn.CONCAT(Q$6,$C97),BurnRate!$G$3:$P$1102,10,FALSE)="NR","NR",0),VLOOKUP($C97,DATA_Depts[[#All],[COVID-19 Item List]:[SCL]],MATCH(Q$6,DATA_Depts[[#Headers],[COVID-19 Item List]:[SCL]],0),FALSE))</f>
        <v>NR</v>
      </c>
      <c r="R97" s="148" t="str">
        <f>IF(VLOOKUP(_xlfn.CONCAT(Q$6,$C97),BurnRate!$G$3:$P$1102,10,FALSE)="NR","NR",IF(Q97="NR","NR",Q97/(VLOOKUP(_xlfn.CONCAT(Q$6,$C97),BurnRate!$G$3:$P$1102,10,FALSE)/90)))</f>
        <v>NR</v>
      </c>
      <c r="S97" s="169" t="str">
        <f>IF(SUM(VLOOKUP($C97,DATA_Depts[[#All],[COVID-19 Item List]:[SCL]],MATCH(S$6,DATA_Depts[[#Headers],[COVID-19 Item List]:[SCL]],0),FALSE)=0),IF(VLOOKUP(_xlfn.CONCAT(S$6,$C97),BurnRate!$G$3:$P$1102,10,FALSE)="NR","NR",0),VLOOKUP($C97,DATA_Depts[[#All],[COVID-19 Item List]:[SCL]],MATCH(S$6,DATA_Depts[[#Headers],[COVID-19 Item List]:[SCL]],0),FALSE))</f>
        <v>NR</v>
      </c>
      <c r="T97" s="148" t="str">
        <f>IF(VLOOKUP(_xlfn.CONCAT(S$6,$C97),BurnRate!$G$3:$P$1102,10,FALSE)="NR","NR",IF(S97="NR","NR",S97/(VLOOKUP(_xlfn.CONCAT(S$6,$C97),BurnRate!$G$3:$P$1102,10,FALSE)/90)))</f>
        <v>NR</v>
      </c>
      <c r="U97" s="169" t="str">
        <f>IF(SUM(VLOOKUP($C97,DATA_Depts[[#All],[COVID-19 Item List]:[SCL]],MATCH(U$6,DATA_Depts[[#Headers],[COVID-19 Item List]:[SCL]],0),FALSE)=0),IF(VLOOKUP(_xlfn.CONCAT(U$6,$C97),BurnRate!$G$3:$P$1102,10,FALSE)="NR","NR",0),VLOOKUP($C97,DATA_Depts[[#All],[COVID-19 Item List]:[SCL]],MATCH(U$6,DATA_Depts[[#Headers],[COVID-19 Item List]:[SCL]],0),FALSE))</f>
        <v>NR</v>
      </c>
      <c r="V97" s="148" t="str">
        <f>IF(VLOOKUP(_xlfn.CONCAT(U$6,$C97),BurnRate!$G$3:$P$1102,10,FALSE)="NR","NR",IF(U97="NR","NR",U97/(VLOOKUP(_xlfn.CONCAT(U$6,$C97),BurnRate!$G$3:$P$1102,10,FALSE)/90)))</f>
        <v>NR</v>
      </c>
      <c r="W97" s="169" t="str">
        <f>IF(SUM(VLOOKUP($C97,DATA_Depts[[#All],[COVID-19 Item List]:[SCL]],MATCH(W$6,DATA_Depts[[#Headers],[COVID-19 Item List]:[SCL]],0),FALSE)=0),IF(VLOOKUP(_xlfn.CONCAT(W$6,$C97),BurnRate!$G$3:$P$1102,10,FALSE)="NR","NR",0),VLOOKUP($C97,DATA_Depts[[#All],[COVID-19 Item List]:[SCL]],MATCH(W$6,DATA_Depts[[#Headers],[COVID-19 Item List]:[SCL]],0),FALSE))</f>
        <v>NR</v>
      </c>
      <c r="X97" s="148" t="str">
        <f>IF(VLOOKUP(_xlfn.CONCAT(W$6,$C97),BurnRate!$G$3:$P$1102,10,FALSE)="NR","NR",IF(W97="NR","NR",W97/(VLOOKUP(_xlfn.CONCAT(W$6,$C97),BurnRate!$G$3:$P$1102,10,FALSE)/90)))</f>
        <v>NR</v>
      </c>
      <c r="Y97" s="169" t="str">
        <f>IF(SUM(VLOOKUP($C97,DATA_Depts[[#All],[COVID-19 Item List]:[SCL]],MATCH(Y$6,DATA_Depts[[#Headers],[COVID-19 Item List]:[SCL]],0),FALSE)=0),IF(VLOOKUP(_xlfn.CONCAT(Y$6,$C97),BurnRate!$G$3:$P$1102,10,FALSE)="NR","NR",0),VLOOKUP($C97,DATA_Depts[[#All],[COVID-19 Item List]:[SCL]],MATCH(Y$6,DATA_Depts[[#Headers],[COVID-19 Item List]:[SCL]],0),FALSE))</f>
        <v>NR</v>
      </c>
      <c r="Z97" s="148" t="str">
        <f>IF(VLOOKUP(_xlfn.CONCAT(Y$6,$C97),BurnRate!$G$3:$P$1102,10,FALSE)="NR","NR",IF(Y97="NR","NR",Y97/(VLOOKUP(_xlfn.CONCAT(Y$6,$C97),BurnRate!$G$3:$P$1102,10,FALSE)/90)))</f>
        <v>NR</v>
      </c>
    </row>
    <row r="98" spans="1:27" s="43" customFormat="1" ht="11" hidden="1">
      <c r="B98" s="46">
        <v>91</v>
      </c>
      <c r="C98" s="47" t="str">
        <f>_xlfn.SINGLE(VLOOKUP(B98,DisplayOrder[#All],2,FALSE))</f>
        <v>Reserved-91</v>
      </c>
      <c r="D98" s="116" t="str">
        <f>_xlfn.SINGLE(VLOOKUP(B98,DisplayOrder!A:C,3,FALSE))</f>
        <v>each</v>
      </c>
      <c r="E98" s="117" t="str">
        <f>IF(VLOOKUP(_xlfn.CONCAT(E$6,$C98),BurnRate!$G$3:$P$1102,10,FALSE)="NR",IF(SUMIF(FAS_Centralized!K:K,C98,FAS_Centralized!N:N)=0,"NR",SUMIF(FAS_Centralized!K:K,C98,FAS_Centralized!N:N)),SUMIF(FAS_Centralized!K:K,C98,FAS_Centralized!N:N))</f>
        <v>NR</v>
      </c>
      <c r="F98" s="148" t="str">
        <f>IF(VLOOKUP(_xlfn.CONCAT(E$6,$C98),BurnRate!$G$3:$P$1102,10,FALSE)="NR","NR",IF(E98="NR","NR",E98/(VLOOKUP(_xlfn.CONCAT(E$6,$C98),BurnRate!$G$3:$P$1102,10,FALSE)/90)))</f>
        <v>NR</v>
      </c>
      <c r="G98" s="169" t="str">
        <f>IF(SUM(VLOOKUP($C98,DATA_Depts[[#All],[COVID-19 Item List]:[SCL]],MATCH(G$6,DATA_Depts[[#Headers],[COVID-19 Item List]:[SCL]],0),FALSE)=0),IF(VLOOKUP(_xlfn.CONCAT(G$6,$C98),BurnRate!$G$3:$P$1102,10,FALSE)="NR","NR",0),VLOOKUP($C98,DATA_Depts[[#All],[COVID-19 Item List]:[SCL]],MATCH(G$6,DATA_Depts[[#Headers],[COVID-19 Item List]:[SCL]],0),FALSE))</f>
        <v>NR</v>
      </c>
      <c r="H98" s="148" t="str">
        <f>IF(VLOOKUP(_xlfn.CONCAT(G$6,$C98),BurnRate!$G$3:$P$1102,10,FALSE)="NR","NR",IF(G98="NR","NR",G98/(VLOOKUP(_xlfn.CONCAT(G$6,$C98),BurnRate!$G$3:$P$1102,10,FALSE)/90)))</f>
        <v>NR</v>
      </c>
      <c r="I98" s="169" t="str">
        <f>IF(SUM(VLOOKUP($C98,DATA_Depts[[#All],[COVID-19 Item List]:[SCL]],MATCH(I$6,DATA_Depts[[#Headers],[COVID-19 Item List]:[SCL]],0),FALSE)=0),IF(VLOOKUP(_xlfn.CONCAT(I$6,$C98),BurnRate!$G$3:$P$1102,10,FALSE)="NR","NR",0),VLOOKUP($C98,DATA_Depts[[#All],[COVID-19 Item List]:[SCL]],MATCH(I$6,DATA_Depts[[#Headers],[COVID-19 Item List]:[SCL]],0),FALSE))</f>
        <v>NR</v>
      </c>
      <c r="J98" s="148" t="str">
        <f>IF(VLOOKUP(_xlfn.CONCAT(I$6,$C98),BurnRate!$G$3:$P$1102,10,FALSE)="NR","NR",IF(I98="NR","NR",I98/(VLOOKUP(_xlfn.CONCAT(I$6,$C98),BurnRate!$G$3:$P$1102,10,FALSE)/90)))</f>
        <v>NR</v>
      </c>
      <c r="K98" s="169" t="str">
        <f>IF(SUM(VLOOKUP($C98,DATA_Depts[[#All],[COVID-19 Item List]:[SCL]],MATCH(K$6,DATA_Depts[[#Headers],[COVID-19 Item List]:[SCL]],0),FALSE)=0),IF(VLOOKUP(_xlfn.CONCAT(K$6,$C98),BurnRate!$G$3:$P$1102,10,FALSE)="NR","NR",0),VLOOKUP($C98,DATA_Depts[[#All],[COVID-19 Item List]:[SCL]],MATCH(K$6,DATA_Depts[[#Headers],[COVID-19 Item List]:[SCL]],0),FALSE))</f>
        <v>NR</v>
      </c>
      <c r="L98" s="148" t="str">
        <f>IF(VLOOKUP(_xlfn.CONCAT(K$6,$C98),BurnRate!$G$3:$P$1102,10,FALSE)="NR","NR",IF(K98="NR","NR",K98/(VLOOKUP(_xlfn.CONCAT(K$6,$C98),BurnRate!$G$3:$P$1102,10,FALSE)/90)))</f>
        <v>NR</v>
      </c>
      <c r="M98" s="169" t="str">
        <f>IF(SUM(VLOOKUP($C98,DATA_Depts[[#All],[COVID-19 Item List]:[SCL]],MATCH(M$6,DATA_Depts[[#Headers],[COVID-19 Item List]:[SCL]],0),FALSE)=0),IF(VLOOKUP(_xlfn.CONCAT(M$6,$C98),BurnRate!$G$3:$P$1102,10,FALSE)="NR","NR",0),VLOOKUP($C98,DATA_Depts[[#All],[COVID-19 Item List]:[SCL]],MATCH(M$6,DATA_Depts[[#Headers],[COVID-19 Item List]:[SCL]],0),FALSE))</f>
        <v>NR</v>
      </c>
      <c r="N98" s="148" t="str">
        <f>IF(VLOOKUP(_xlfn.CONCAT(M$6,$C98),BurnRate!$G$3:$P$1102,10,FALSE)="NR","NR",IF(M98="NR","NR",M98/(VLOOKUP(_xlfn.CONCAT(M$6,$C98),BurnRate!$G$3:$P$1102,10,FALSE)/90)))</f>
        <v>NR</v>
      </c>
      <c r="O98" s="169" t="str">
        <f>IF(SUM(VLOOKUP($C98,DATA_Depts[[#All],[COVID-19 Item List]:[SCL]],MATCH(O$6,DATA_Depts[[#Headers],[COVID-19 Item List]:[SCL]],0),FALSE)=0),IF(VLOOKUP(_xlfn.CONCAT(O$6,$C98),BurnRate!$G$3:$P$1102,10,FALSE)="NR","NR",0),VLOOKUP($C98,DATA_Depts[[#All],[COVID-19 Item List]:[SCL]],MATCH(O$6,DATA_Depts[[#Headers],[COVID-19 Item List]:[SCL]],0),FALSE))</f>
        <v>NR</v>
      </c>
      <c r="P98" s="148" t="str">
        <f>IF(VLOOKUP(_xlfn.CONCAT(O$6,$C98),BurnRate!$G$3:$P$1102,10,FALSE)="NR","NR",IF(O98="NR","NR",O98/(VLOOKUP(_xlfn.CONCAT(O$6,$C98),BurnRate!$G$3:$P$1102,10,FALSE)/90)))</f>
        <v>NR</v>
      </c>
      <c r="Q98" s="169" t="str">
        <f>IF(SUM(VLOOKUP($C98,DATA_Depts[[#All],[COVID-19 Item List]:[SCL]],MATCH(Q$6,DATA_Depts[[#Headers],[COVID-19 Item List]:[SCL]],0),FALSE)=0),IF(VLOOKUP(_xlfn.CONCAT(Q$6,$C98),BurnRate!$G$3:$P$1102,10,FALSE)="NR","NR",0),VLOOKUP($C98,DATA_Depts[[#All],[COVID-19 Item List]:[SCL]],MATCH(Q$6,DATA_Depts[[#Headers],[COVID-19 Item List]:[SCL]],0),FALSE))</f>
        <v>NR</v>
      </c>
      <c r="R98" s="148" t="str">
        <f>IF(VLOOKUP(_xlfn.CONCAT(Q$6,$C98),BurnRate!$G$3:$P$1102,10,FALSE)="NR","NR",IF(Q98="NR","NR",Q98/(VLOOKUP(_xlfn.CONCAT(Q$6,$C98),BurnRate!$G$3:$P$1102,10,FALSE)/90)))</f>
        <v>NR</v>
      </c>
      <c r="S98" s="169" t="str">
        <f>IF(SUM(VLOOKUP($C98,DATA_Depts[[#All],[COVID-19 Item List]:[SCL]],MATCH(S$6,DATA_Depts[[#Headers],[COVID-19 Item List]:[SCL]],0),FALSE)=0),IF(VLOOKUP(_xlfn.CONCAT(S$6,$C98),BurnRate!$G$3:$P$1102,10,FALSE)="NR","NR",0),VLOOKUP($C98,DATA_Depts[[#All],[COVID-19 Item List]:[SCL]],MATCH(S$6,DATA_Depts[[#Headers],[COVID-19 Item List]:[SCL]],0),FALSE))</f>
        <v>NR</v>
      </c>
      <c r="T98" s="148" t="str">
        <f>IF(VLOOKUP(_xlfn.CONCAT(S$6,$C98),BurnRate!$G$3:$P$1102,10,FALSE)="NR","NR",IF(S98="NR","NR",S98/(VLOOKUP(_xlfn.CONCAT(S$6,$C98),BurnRate!$G$3:$P$1102,10,FALSE)/90)))</f>
        <v>NR</v>
      </c>
      <c r="U98" s="169" t="str">
        <f>IF(SUM(VLOOKUP($C98,DATA_Depts[[#All],[COVID-19 Item List]:[SCL]],MATCH(U$6,DATA_Depts[[#Headers],[COVID-19 Item List]:[SCL]],0),FALSE)=0),IF(VLOOKUP(_xlfn.CONCAT(U$6,$C98),BurnRate!$G$3:$P$1102,10,FALSE)="NR","NR",0),VLOOKUP($C98,DATA_Depts[[#All],[COVID-19 Item List]:[SCL]],MATCH(U$6,DATA_Depts[[#Headers],[COVID-19 Item List]:[SCL]],0),FALSE))</f>
        <v>NR</v>
      </c>
      <c r="V98" s="148" t="str">
        <f>IF(VLOOKUP(_xlfn.CONCAT(U$6,$C98),BurnRate!$G$3:$P$1102,10,FALSE)="NR","NR",IF(U98="NR","NR",U98/(VLOOKUP(_xlfn.CONCAT(U$6,$C98),BurnRate!$G$3:$P$1102,10,FALSE)/90)))</f>
        <v>NR</v>
      </c>
      <c r="W98" s="169" t="str">
        <f>IF(SUM(VLOOKUP($C98,DATA_Depts[[#All],[COVID-19 Item List]:[SCL]],MATCH(W$6,DATA_Depts[[#Headers],[COVID-19 Item List]:[SCL]],0),FALSE)=0),IF(VLOOKUP(_xlfn.CONCAT(W$6,$C98),BurnRate!$G$3:$P$1102,10,FALSE)="NR","NR",0),VLOOKUP($C98,DATA_Depts[[#All],[COVID-19 Item List]:[SCL]],MATCH(W$6,DATA_Depts[[#Headers],[COVID-19 Item List]:[SCL]],0),FALSE))</f>
        <v>NR</v>
      </c>
      <c r="X98" s="148" t="str">
        <f>IF(VLOOKUP(_xlfn.CONCAT(W$6,$C98),BurnRate!$G$3:$P$1102,10,FALSE)="NR","NR",IF(W98="NR","NR",W98/(VLOOKUP(_xlfn.CONCAT(W$6,$C98),BurnRate!$G$3:$P$1102,10,FALSE)/90)))</f>
        <v>NR</v>
      </c>
      <c r="Y98" s="169" t="str">
        <f>IF(SUM(VLOOKUP($C98,DATA_Depts[[#All],[COVID-19 Item List]:[SCL]],MATCH(Y$6,DATA_Depts[[#Headers],[COVID-19 Item List]:[SCL]],0),FALSE)=0),IF(VLOOKUP(_xlfn.CONCAT(Y$6,$C98),BurnRate!$G$3:$P$1102,10,FALSE)="NR","NR",0),VLOOKUP($C98,DATA_Depts[[#All],[COVID-19 Item List]:[SCL]],MATCH(Y$6,DATA_Depts[[#Headers],[COVID-19 Item List]:[SCL]],0),FALSE))</f>
        <v>NR</v>
      </c>
      <c r="Z98" s="148" t="str">
        <f>IF(VLOOKUP(_xlfn.CONCAT(Y$6,$C98),BurnRate!$G$3:$P$1102,10,FALSE)="NR","NR",IF(Y98="NR","NR",Y98/(VLOOKUP(_xlfn.CONCAT(Y$6,$C98),BurnRate!$G$3:$P$1102,10,FALSE)/90)))</f>
        <v>NR</v>
      </c>
    </row>
    <row r="99" spans="1:27" s="43" customFormat="1" ht="11" hidden="1">
      <c r="B99" s="46">
        <v>92</v>
      </c>
      <c r="C99" s="47" t="str">
        <f>_xlfn.SINGLE(VLOOKUP(B99,DisplayOrder[#All],2,FALSE))</f>
        <v>Reserved-92</v>
      </c>
      <c r="D99" s="116" t="str">
        <f>_xlfn.SINGLE(VLOOKUP(B99,DisplayOrder!A:C,3,FALSE))</f>
        <v>each</v>
      </c>
      <c r="E99" s="117" t="str">
        <f>IF(VLOOKUP(_xlfn.CONCAT(E$6,$C99),BurnRate!$G$3:$P$1102,10,FALSE)="NR",IF(SUMIF(FAS_Centralized!K:K,C99,FAS_Centralized!N:N)=0,"NR",SUMIF(FAS_Centralized!K:K,C99,FAS_Centralized!N:N)),SUMIF(FAS_Centralized!K:K,C99,FAS_Centralized!N:N))</f>
        <v>NR</v>
      </c>
      <c r="F99" s="148" t="str">
        <f>IF(VLOOKUP(_xlfn.CONCAT(E$6,$C99),BurnRate!$G$3:$P$1102,10,FALSE)="NR","NR",IF(E99="NR","NR",E99/(VLOOKUP(_xlfn.CONCAT(E$6,$C99),BurnRate!$G$3:$P$1102,10,FALSE)/90)))</f>
        <v>NR</v>
      </c>
      <c r="G99" s="169" t="str">
        <f>IF(SUM(VLOOKUP($C99,DATA_Depts[[#All],[COVID-19 Item List]:[SCL]],MATCH(G$6,DATA_Depts[[#Headers],[COVID-19 Item List]:[SCL]],0),FALSE)=0),IF(VLOOKUP(_xlfn.CONCAT(G$6,$C99),BurnRate!$G$3:$P$1102,10,FALSE)="NR","NR",0),VLOOKUP($C99,DATA_Depts[[#All],[COVID-19 Item List]:[SCL]],MATCH(G$6,DATA_Depts[[#Headers],[COVID-19 Item List]:[SCL]],0),FALSE))</f>
        <v>NR</v>
      </c>
      <c r="H99" s="148" t="str">
        <f>IF(VLOOKUP(_xlfn.CONCAT(G$6,$C99),BurnRate!$G$3:$P$1102,10,FALSE)="NR","NR",IF(G99="NR","NR",G99/(VLOOKUP(_xlfn.CONCAT(G$6,$C99),BurnRate!$G$3:$P$1102,10,FALSE)/90)))</f>
        <v>NR</v>
      </c>
      <c r="I99" s="169" t="str">
        <f>IF(SUM(VLOOKUP($C99,DATA_Depts[[#All],[COVID-19 Item List]:[SCL]],MATCH(I$6,DATA_Depts[[#Headers],[COVID-19 Item List]:[SCL]],0),FALSE)=0),IF(VLOOKUP(_xlfn.CONCAT(I$6,$C99),BurnRate!$G$3:$P$1102,10,FALSE)="NR","NR",0),VLOOKUP($C99,DATA_Depts[[#All],[COVID-19 Item List]:[SCL]],MATCH(I$6,DATA_Depts[[#Headers],[COVID-19 Item List]:[SCL]],0),FALSE))</f>
        <v>NR</v>
      </c>
      <c r="J99" s="148" t="str">
        <f>IF(VLOOKUP(_xlfn.CONCAT(I$6,$C99),BurnRate!$G$3:$P$1102,10,FALSE)="NR","NR",IF(I99="NR","NR",I99/(VLOOKUP(_xlfn.CONCAT(I$6,$C99),BurnRate!$G$3:$P$1102,10,FALSE)/90)))</f>
        <v>NR</v>
      </c>
      <c r="K99" s="169" t="str">
        <f>IF(SUM(VLOOKUP($C99,DATA_Depts[[#All],[COVID-19 Item List]:[SCL]],MATCH(K$6,DATA_Depts[[#Headers],[COVID-19 Item List]:[SCL]],0),FALSE)=0),IF(VLOOKUP(_xlfn.CONCAT(K$6,$C99),BurnRate!$G$3:$P$1102,10,FALSE)="NR","NR",0),VLOOKUP($C99,DATA_Depts[[#All],[COVID-19 Item List]:[SCL]],MATCH(K$6,DATA_Depts[[#Headers],[COVID-19 Item List]:[SCL]],0),FALSE))</f>
        <v>NR</v>
      </c>
      <c r="L99" s="148" t="str">
        <f>IF(VLOOKUP(_xlfn.CONCAT(K$6,$C99),BurnRate!$G$3:$P$1102,10,FALSE)="NR","NR",IF(K99="NR","NR",K99/(VLOOKUP(_xlfn.CONCAT(K$6,$C99),BurnRate!$G$3:$P$1102,10,FALSE)/90)))</f>
        <v>NR</v>
      </c>
      <c r="M99" s="169" t="str">
        <f>IF(SUM(VLOOKUP($C99,DATA_Depts[[#All],[COVID-19 Item List]:[SCL]],MATCH(M$6,DATA_Depts[[#Headers],[COVID-19 Item List]:[SCL]],0),FALSE)=0),IF(VLOOKUP(_xlfn.CONCAT(M$6,$C99),BurnRate!$G$3:$P$1102,10,FALSE)="NR","NR",0),VLOOKUP($C99,DATA_Depts[[#All],[COVID-19 Item List]:[SCL]],MATCH(M$6,DATA_Depts[[#Headers],[COVID-19 Item List]:[SCL]],0),FALSE))</f>
        <v>NR</v>
      </c>
      <c r="N99" s="148" t="str">
        <f>IF(VLOOKUP(_xlfn.CONCAT(M$6,$C99),BurnRate!$G$3:$P$1102,10,FALSE)="NR","NR",IF(M99="NR","NR",M99/(VLOOKUP(_xlfn.CONCAT(M$6,$C99),BurnRate!$G$3:$P$1102,10,FALSE)/90)))</f>
        <v>NR</v>
      </c>
      <c r="O99" s="169" t="str">
        <f>IF(SUM(VLOOKUP($C99,DATA_Depts[[#All],[COVID-19 Item List]:[SCL]],MATCH(O$6,DATA_Depts[[#Headers],[COVID-19 Item List]:[SCL]],0),FALSE)=0),IF(VLOOKUP(_xlfn.CONCAT(O$6,$C99),BurnRate!$G$3:$P$1102,10,FALSE)="NR","NR",0),VLOOKUP($C99,DATA_Depts[[#All],[COVID-19 Item List]:[SCL]],MATCH(O$6,DATA_Depts[[#Headers],[COVID-19 Item List]:[SCL]],0),FALSE))</f>
        <v>NR</v>
      </c>
      <c r="P99" s="148" t="str">
        <f>IF(VLOOKUP(_xlfn.CONCAT(O$6,$C99),BurnRate!$G$3:$P$1102,10,FALSE)="NR","NR",IF(O99="NR","NR",O99/(VLOOKUP(_xlfn.CONCAT(O$6,$C99),BurnRate!$G$3:$P$1102,10,FALSE)/90)))</f>
        <v>NR</v>
      </c>
      <c r="Q99" s="169" t="str">
        <f>IF(SUM(VLOOKUP($C99,DATA_Depts[[#All],[COVID-19 Item List]:[SCL]],MATCH(Q$6,DATA_Depts[[#Headers],[COVID-19 Item List]:[SCL]],0),FALSE)=0),IF(VLOOKUP(_xlfn.CONCAT(Q$6,$C99),BurnRate!$G$3:$P$1102,10,FALSE)="NR","NR",0),VLOOKUP($C99,DATA_Depts[[#All],[COVID-19 Item List]:[SCL]],MATCH(Q$6,DATA_Depts[[#Headers],[COVID-19 Item List]:[SCL]],0),FALSE))</f>
        <v>NR</v>
      </c>
      <c r="R99" s="148" t="str">
        <f>IF(VLOOKUP(_xlfn.CONCAT(Q$6,$C99),BurnRate!$G$3:$P$1102,10,FALSE)="NR","NR",IF(Q99="NR","NR",Q99/(VLOOKUP(_xlfn.CONCAT(Q$6,$C99),BurnRate!$G$3:$P$1102,10,FALSE)/90)))</f>
        <v>NR</v>
      </c>
      <c r="S99" s="169" t="str">
        <f>IF(SUM(VLOOKUP($C99,DATA_Depts[[#All],[COVID-19 Item List]:[SCL]],MATCH(S$6,DATA_Depts[[#Headers],[COVID-19 Item List]:[SCL]],0),FALSE)=0),IF(VLOOKUP(_xlfn.CONCAT(S$6,$C99),BurnRate!$G$3:$P$1102,10,FALSE)="NR","NR",0),VLOOKUP($C99,DATA_Depts[[#All],[COVID-19 Item List]:[SCL]],MATCH(S$6,DATA_Depts[[#Headers],[COVID-19 Item List]:[SCL]],0),FALSE))</f>
        <v>NR</v>
      </c>
      <c r="T99" s="148" t="str">
        <f>IF(VLOOKUP(_xlfn.CONCAT(S$6,$C99),BurnRate!$G$3:$P$1102,10,FALSE)="NR","NR",IF(S99="NR","NR",S99/(VLOOKUP(_xlfn.CONCAT(S$6,$C99),BurnRate!$G$3:$P$1102,10,FALSE)/90)))</f>
        <v>NR</v>
      </c>
      <c r="U99" s="169" t="str">
        <f>IF(SUM(VLOOKUP($C99,DATA_Depts[[#All],[COVID-19 Item List]:[SCL]],MATCH(U$6,DATA_Depts[[#Headers],[COVID-19 Item List]:[SCL]],0),FALSE)=0),IF(VLOOKUP(_xlfn.CONCAT(U$6,$C99),BurnRate!$G$3:$P$1102,10,FALSE)="NR","NR",0),VLOOKUP($C99,DATA_Depts[[#All],[COVID-19 Item List]:[SCL]],MATCH(U$6,DATA_Depts[[#Headers],[COVID-19 Item List]:[SCL]],0),FALSE))</f>
        <v>NR</v>
      </c>
      <c r="V99" s="148" t="str">
        <f>IF(VLOOKUP(_xlfn.CONCAT(U$6,$C99),BurnRate!$G$3:$P$1102,10,FALSE)="NR","NR",IF(U99="NR","NR",U99/(VLOOKUP(_xlfn.CONCAT(U$6,$C99),BurnRate!$G$3:$P$1102,10,FALSE)/90)))</f>
        <v>NR</v>
      </c>
      <c r="W99" s="169" t="str">
        <f>IF(SUM(VLOOKUP($C99,DATA_Depts[[#All],[COVID-19 Item List]:[SCL]],MATCH(W$6,DATA_Depts[[#Headers],[COVID-19 Item List]:[SCL]],0),FALSE)=0),IF(VLOOKUP(_xlfn.CONCAT(W$6,$C99),BurnRate!$G$3:$P$1102,10,FALSE)="NR","NR",0),VLOOKUP($C99,DATA_Depts[[#All],[COVID-19 Item List]:[SCL]],MATCH(W$6,DATA_Depts[[#Headers],[COVID-19 Item List]:[SCL]],0),FALSE))</f>
        <v>NR</v>
      </c>
      <c r="X99" s="148" t="str">
        <f>IF(VLOOKUP(_xlfn.CONCAT(W$6,$C99),BurnRate!$G$3:$P$1102,10,FALSE)="NR","NR",IF(W99="NR","NR",W99/(VLOOKUP(_xlfn.CONCAT(W$6,$C99),BurnRate!$G$3:$P$1102,10,FALSE)/90)))</f>
        <v>NR</v>
      </c>
      <c r="Y99" s="169" t="str">
        <f>IF(SUM(VLOOKUP($C99,DATA_Depts[[#All],[COVID-19 Item List]:[SCL]],MATCH(Y$6,DATA_Depts[[#Headers],[COVID-19 Item List]:[SCL]],0),FALSE)=0),IF(VLOOKUP(_xlfn.CONCAT(Y$6,$C99),BurnRate!$G$3:$P$1102,10,FALSE)="NR","NR",0),VLOOKUP($C99,DATA_Depts[[#All],[COVID-19 Item List]:[SCL]],MATCH(Y$6,DATA_Depts[[#Headers],[COVID-19 Item List]:[SCL]],0),FALSE))</f>
        <v>NR</v>
      </c>
      <c r="Z99" s="148" t="str">
        <f>IF(VLOOKUP(_xlfn.CONCAT(Y$6,$C99),BurnRate!$G$3:$P$1102,10,FALSE)="NR","NR",IF(Y99="NR","NR",Y99/(VLOOKUP(_xlfn.CONCAT(Y$6,$C99),BurnRate!$G$3:$P$1102,10,FALSE)/90)))</f>
        <v>NR</v>
      </c>
    </row>
    <row r="100" spans="1:27" s="43" customFormat="1" ht="11" hidden="1">
      <c r="B100" s="46">
        <v>93</v>
      </c>
      <c r="C100" s="47" t="str">
        <f>_xlfn.SINGLE(VLOOKUP(B100,DisplayOrder[#All],2,FALSE))</f>
        <v>Reserved-93</v>
      </c>
      <c r="D100" s="116" t="str">
        <f>_xlfn.SINGLE(VLOOKUP(B100,DisplayOrder!A:C,3,FALSE))</f>
        <v>each</v>
      </c>
      <c r="E100" s="117" t="str">
        <f>IF(VLOOKUP(_xlfn.CONCAT(E$6,$C100),BurnRate!$G$3:$P$1102,10,FALSE)="NR",IF(SUMIF(FAS_Centralized!K:K,C100,FAS_Centralized!N:N)=0,"NR",SUMIF(FAS_Centralized!K:K,C100,FAS_Centralized!N:N)),SUMIF(FAS_Centralized!K:K,C100,FAS_Centralized!N:N))</f>
        <v>NR</v>
      </c>
      <c r="F100" s="148" t="str">
        <f>IF(VLOOKUP(_xlfn.CONCAT(E$6,$C100),BurnRate!$G$3:$P$1102,10,FALSE)="NR","NR",IF(E100="NR","NR",E100/(VLOOKUP(_xlfn.CONCAT(E$6,$C100),BurnRate!$G$3:$P$1102,10,FALSE)/90)))</f>
        <v>NR</v>
      </c>
      <c r="G100" s="169" t="str">
        <f>IF(SUM(VLOOKUP($C100,DATA_Depts[[#All],[COVID-19 Item List]:[SCL]],MATCH(G$6,DATA_Depts[[#Headers],[COVID-19 Item List]:[SCL]],0),FALSE)=0),IF(VLOOKUP(_xlfn.CONCAT(G$6,$C100),BurnRate!$G$3:$P$1102,10,FALSE)="NR","NR",0),VLOOKUP($C100,DATA_Depts[[#All],[COVID-19 Item List]:[SCL]],MATCH(G$6,DATA_Depts[[#Headers],[COVID-19 Item List]:[SCL]],0),FALSE))</f>
        <v>NR</v>
      </c>
      <c r="H100" s="148" t="str">
        <f>IF(VLOOKUP(_xlfn.CONCAT(G$6,$C100),BurnRate!$G$3:$P$1102,10,FALSE)="NR","NR",IF(G100="NR","NR",G100/(VLOOKUP(_xlfn.CONCAT(G$6,$C100),BurnRate!$G$3:$P$1102,10,FALSE)/90)))</f>
        <v>NR</v>
      </c>
      <c r="I100" s="169" t="str">
        <f>IF(SUM(VLOOKUP($C100,DATA_Depts[[#All],[COVID-19 Item List]:[SCL]],MATCH(I$6,DATA_Depts[[#Headers],[COVID-19 Item List]:[SCL]],0),FALSE)=0),IF(VLOOKUP(_xlfn.CONCAT(I$6,$C100),BurnRate!$G$3:$P$1102,10,FALSE)="NR","NR",0),VLOOKUP($C100,DATA_Depts[[#All],[COVID-19 Item List]:[SCL]],MATCH(I$6,DATA_Depts[[#Headers],[COVID-19 Item List]:[SCL]],0),FALSE))</f>
        <v>NR</v>
      </c>
      <c r="J100" s="148" t="str">
        <f>IF(VLOOKUP(_xlfn.CONCAT(I$6,$C100),BurnRate!$G$3:$P$1102,10,FALSE)="NR","NR",IF(I100="NR","NR",I100/(VLOOKUP(_xlfn.CONCAT(I$6,$C100),BurnRate!$G$3:$P$1102,10,FALSE)/90)))</f>
        <v>NR</v>
      </c>
      <c r="K100" s="169" t="str">
        <f>IF(SUM(VLOOKUP($C100,DATA_Depts[[#All],[COVID-19 Item List]:[SCL]],MATCH(K$6,DATA_Depts[[#Headers],[COVID-19 Item List]:[SCL]],0),FALSE)=0),IF(VLOOKUP(_xlfn.CONCAT(K$6,$C100),BurnRate!$G$3:$P$1102,10,FALSE)="NR","NR",0),VLOOKUP($C100,DATA_Depts[[#All],[COVID-19 Item List]:[SCL]],MATCH(K$6,DATA_Depts[[#Headers],[COVID-19 Item List]:[SCL]],0),FALSE))</f>
        <v>NR</v>
      </c>
      <c r="L100" s="148" t="str">
        <f>IF(VLOOKUP(_xlfn.CONCAT(K$6,$C100),BurnRate!$G$3:$P$1102,10,FALSE)="NR","NR",IF(K100="NR","NR",K100/(VLOOKUP(_xlfn.CONCAT(K$6,$C100),BurnRate!$G$3:$P$1102,10,FALSE)/90)))</f>
        <v>NR</v>
      </c>
      <c r="M100" s="169" t="str">
        <f>IF(SUM(VLOOKUP($C100,DATA_Depts[[#All],[COVID-19 Item List]:[SCL]],MATCH(M$6,DATA_Depts[[#Headers],[COVID-19 Item List]:[SCL]],0),FALSE)=0),IF(VLOOKUP(_xlfn.CONCAT(M$6,$C100),BurnRate!$G$3:$P$1102,10,FALSE)="NR","NR",0),VLOOKUP($C100,DATA_Depts[[#All],[COVID-19 Item List]:[SCL]],MATCH(M$6,DATA_Depts[[#Headers],[COVID-19 Item List]:[SCL]],0),FALSE))</f>
        <v>NR</v>
      </c>
      <c r="N100" s="148" t="str">
        <f>IF(VLOOKUP(_xlfn.CONCAT(M$6,$C100),BurnRate!$G$3:$P$1102,10,FALSE)="NR","NR",IF(M100="NR","NR",M100/(VLOOKUP(_xlfn.CONCAT(M$6,$C100),BurnRate!$G$3:$P$1102,10,FALSE)/90)))</f>
        <v>NR</v>
      </c>
      <c r="O100" s="169" t="str">
        <f>IF(SUM(VLOOKUP($C100,DATA_Depts[[#All],[COVID-19 Item List]:[SCL]],MATCH(O$6,DATA_Depts[[#Headers],[COVID-19 Item List]:[SCL]],0),FALSE)=0),IF(VLOOKUP(_xlfn.CONCAT(O$6,$C100),BurnRate!$G$3:$P$1102,10,FALSE)="NR","NR",0),VLOOKUP($C100,DATA_Depts[[#All],[COVID-19 Item List]:[SCL]],MATCH(O$6,DATA_Depts[[#Headers],[COVID-19 Item List]:[SCL]],0),FALSE))</f>
        <v>NR</v>
      </c>
      <c r="P100" s="148" t="str">
        <f>IF(VLOOKUP(_xlfn.CONCAT(O$6,$C100),BurnRate!$G$3:$P$1102,10,FALSE)="NR","NR",IF(O100="NR","NR",O100/(VLOOKUP(_xlfn.CONCAT(O$6,$C100),BurnRate!$G$3:$P$1102,10,FALSE)/90)))</f>
        <v>NR</v>
      </c>
      <c r="Q100" s="169" t="str">
        <f>IF(SUM(VLOOKUP($C100,DATA_Depts[[#All],[COVID-19 Item List]:[SCL]],MATCH(Q$6,DATA_Depts[[#Headers],[COVID-19 Item List]:[SCL]],0),FALSE)=0),IF(VLOOKUP(_xlfn.CONCAT(Q$6,$C100),BurnRate!$G$3:$P$1102,10,FALSE)="NR","NR",0),VLOOKUP($C100,DATA_Depts[[#All],[COVID-19 Item List]:[SCL]],MATCH(Q$6,DATA_Depts[[#Headers],[COVID-19 Item List]:[SCL]],0),FALSE))</f>
        <v>NR</v>
      </c>
      <c r="R100" s="148" t="str">
        <f>IF(VLOOKUP(_xlfn.CONCAT(Q$6,$C100),BurnRate!$G$3:$P$1102,10,FALSE)="NR","NR",IF(Q100="NR","NR",Q100/(VLOOKUP(_xlfn.CONCAT(Q$6,$C100),BurnRate!$G$3:$P$1102,10,FALSE)/90)))</f>
        <v>NR</v>
      </c>
      <c r="S100" s="169" t="str">
        <f>IF(SUM(VLOOKUP($C100,DATA_Depts[[#All],[COVID-19 Item List]:[SCL]],MATCH(S$6,DATA_Depts[[#Headers],[COVID-19 Item List]:[SCL]],0),FALSE)=0),IF(VLOOKUP(_xlfn.CONCAT(S$6,$C100),BurnRate!$G$3:$P$1102,10,FALSE)="NR","NR",0),VLOOKUP($C100,DATA_Depts[[#All],[COVID-19 Item List]:[SCL]],MATCH(S$6,DATA_Depts[[#Headers],[COVID-19 Item List]:[SCL]],0),FALSE))</f>
        <v>NR</v>
      </c>
      <c r="T100" s="148" t="str">
        <f>IF(VLOOKUP(_xlfn.CONCAT(S$6,$C100),BurnRate!$G$3:$P$1102,10,FALSE)="NR","NR",IF(S100="NR","NR",S100/(VLOOKUP(_xlfn.CONCAT(S$6,$C100),BurnRate!$G$3:$P$1102,10,FALSE)/90)))</f>
        <v>NR</v>
      </c>
      <c r="U100" s="169" t="str">
        <f>IF(SUM(VLOOKUP($C100,DATA_Depts[[#All],[COVID-19 Item List]:[SCL]],MATCH(U$6,DATA_Depts[[#Headers],[COVID-19 Item List]:[SCL]],0),FALSE)=0),IF(VLOOKUP(_xlfn.CONCAT(U$6,$C100),BurnRate!$G$3:$P$1102,10,FALSE)="NR","NR",0),VLOOKUP($C100,DATA_Depts[[#All],[COVID-19 Item List]:[SCL]],MATCH(U$6,DATA_Depts[[#Headers],[COVID-19 Item List]:[SCL]],0),FALSE))</f>
        <v>NR</v>
      </c>
      <c r="V100" s="148" t="str">
        <f>IF(VLOOKUP(_xlfn.CONCAT(U$6,$C100),BurnRate!$G$3:$P$1102,10,FALSE)="NR","NR",IF(U100="NR","NR",U100/(VLOOKUP(_xlfn.CONCAT(U$6,$C100),BurnRate!$G$3:$P$1102,10,FALSE)/90)))</f>
        <v>NR</v>
      </c>
      <c r="W100" s="169" t="str">
        <f>IF(SUM(VLOOKUP($C100,DATA_Depts[[#All],[COVID-19 Item List]:[SCL]],MATCH(W$6,DATA_Depts[[#Headers],[COVID-19 Item List]:[SCL]],0),FALSE)=0),IF(VLOOKUP(_xlfn.CONCAT(W$6,$C100),BurnRate!$G$3:$P$1102,10,FALSE)="NR","NR",0),VLOOKUP($C100,DATA_Depts[[#All],[COVID-19 Item List]:[SCL]],MATCH(W$6,DATA_Depts[[#Headers],[COVID-19 Item List]:[SCL]],0),FALSE))</f>
        <v>NR</v>
      </c>
      <c r="X100" s="148" t="str">
        <f>IF(VLOOKUP(_xlfn.CONCAT(W$6,$C100),BurnRate!$G$3:$P$1102,10,FALSE)="NR","NR",IF(W100="NR","NR",W100/(VLOOKUP(_xlfn.CONCAT(W$6,$C100),BurnRate!$G$3:$P$1102,10,FALSE)/90)))</f>
        <v>NR</v>
      </c>
      <c r="Y100" s="169" t="str">
        <f>IF(SUM(VLOOKUP($C100,DATA_Depts[[#All],[COVID-19 Item List]:[SCL]],MATCH(Y$6,DATA_Depts[[#Headers],[COVID-19 Item List]:[SCL]],0),FALSE)=0),IF(VLOOKUP(_xlfn.CONCAT(Y$6,$C100),BurnRate!$G$3:$P$1102,10,FALSE)="NR","NR",0),VLOOKUP($C100,DATA_Depts[[#All],[COVID-19 Item List]:[SCL]],MATCH(Y$6,DATA_Depts[[#Headers],[COVID-19 Item List]:[SCL]],0),FALSE))</f>
        <v>NR</v>
      </c>
      <c r="Z100" s="148" t="str">
        <f>IF(VLOOKUP(_xlfn.CONCAT(Y$6,$C100),BurnRate!$G$3:$P$1102,10,FALSE)="NR","NR",IF(Y100="NR","NR",Y100/(VLOOKUP(_xlfn.CONCAT(Y$6,$C100),BurnRate!$G$3:$P$1102,10,FALSE)/90)))</f>
        <v>NR</v>
      </c>
    </row>
    <row r="101" spans="1:27" s="43" customFormat="1" ht="11" hidden="1">
      <c r="B101" s="46">
        <v>94</v>
      </c>
      <c r="C101" s="47" t="str">
        <f>_xlfn.SINGLE(VLOOKUP(B101,DisplayOrder[#All],2,FALSE))</f>
        <v>Reserved-94</v>
      </c>
      <c r="D101" s="116" t="str">
        <f>_xlfn.SINGLE(VLOOKUP(B101,DisplayOrder!A:C,3,FALSE))</f>
        <v>each</v>
      </c>
      <c r="E101" s="117" t="str">
        <f>IF(VLOOKUP(_xlfn.CONCAT(E$6,$C101),BurnRate!$G$3:$P$1102,10,FALSE)="NR",IF(SUMIF(FAS_Centralized!K:K,C101,FAS_Centralized!N:N)=0,"NR",SUMIF(FAS_Centralized!K:K,C101,FAS_Centralized!N:N)),SUMIF(FAS_Centralized!K:K,C101,FAS_Centralized!N:N))</f>
        <v>NR</v>
      </c>
      <c r="F101" s="148" t="str">
        <f>IF(VLOOKUP(_xlfn.CONCAT(E$6,$C101),BurnRate!$G$3:$P$1102,10,FALSE)="NR","NR",IF(E101="NR","NR",E101/(VLOOKUP(_xlfn.CONCAT(E$6,$C101),BurnRate!$G$3:$P$1102,10,FALSE)/90)))</f>
        <v>NR</v>
      </c>
      <c r="G101" s="169" t="str">
        <f>IF(SUM(VLOOKUP($C101,DATA_Depts[[#All],[COVID-19 Item List]:[SCL]],MATCH(G$6,DATA_Depts[[#Headers],[COVID-19 Item List]:[SCL]],0),FALSE)=0),IF(VLOOKUP(_xlfn.CONCAT(G$6,$C101),BurnRate!$G$3:$P$1102,10,FALSE)="NR","NR",0),VLOOKUP($C101,DATA_Depts[[#All],[COVID-19 Item List]:[SCL]],MATCH(G$6,DATA_Depts[[#Headers],[COVID-19 Item List]:[SCL]],0),FALSE))</f>
        <v>NR</v>
      </c>
      <c r="H101" s="148" t="str">
        <f>IF(VLOOKUP(_xlfn.CONCAT(G$6,$C101),BurnRate!$G$3:$P$1102,10,FALSE)="NR","NR",IF(G101="NR","NR",G101/(VLOOKUP(_xlfn.CONCAT(G$6,$C101),BurnRate!$G$3:$P$1102,10,FALSE)/90)))</f>
        <v>NR</v>
      </c>
      <c r="I101" s="169" t="str">
        <f>IF(SUM(VLOOKUP($C101,DATA_Depts[[#All],[COVID-19 Item List]:[SCL]],MATCH(I$6,DATA_Depts[[#Headers],[COVID-19 Item List]:[SCL]],0),FALSE)=0),IF(VLOOKUP(_xlfn.CONCAT(I$6,$C101),BurnRate!$G$3:$P$1102,10,FALSE)="NR","NR",0),VLOOKUP($C101,DATA_Depts[[#All],[COVID-19 Item List]:[SCL]],MATCH(I$6,DATA_Depts[[#Headers],[COVID-19 Item List]:[SCL]],0),FALSE))</f>
        <v>NR</v>
      </c>
      <c r="J101" s="148" t="str">
        <f>IF(VLOOKUP(_xlfn.CONCAT(I$6,$C101),BurnRate!$G$3:$P$1102,10,FALSE)="NR","NR",IF(I101="NR","NR",I101/(VLOOKUP(_xlfn.CONCAT(I$6,$C101),BurnRate!$G$3:$P$1102,10,FALSE)/90)))</f>
        <v>NR</v>
      </c>
      <c r="K101" s="169" t="str">
        <f>IF(SUM(VLOOKUP($C101,DATA_Depts[[#All],[COVID-19 Item List]:[SCL]],MATCH(K$6,DATA_Depts[[#Headers],[COVID-19 Item List]:[SCL]],0),FALSE)=0),IF(VLOOKUP(_xlfn.CONCAT(K$6,$C101),BurnRate!$G$3:$P$1102,10,FALSE)="NR","NR",0),VLOOKUP($C101,DATA_Depts[[#All],[COVID-19 Item List]:[SCL]],MATCH(K$6,DATA_Depts[[#Headers],[COVID-19 Item List]:[SCL]],0),FALSE))</f>
        <v>NR</v>
      </c>
      <c r="L101" s="148" t="str">
        <f>IF(VLOOKUP(_xlfn.CONCAT(K$6,$C101),BurnRate!$G$3:$P$1102,10,FALSE)="NR","NR",IF(K101="NR","NR",K101/(VLOOKUP(_xlfn.CONCAT(K$6,$C101),BurnRate!$G$3:$P$1102,10,FALSE)/90)))</f>
        <v>NR</v>
      </c>
      <c r="M101" s="169" t="str">
        <f>IF(SUM(VLOOKUP($C101,DATA_Depts[[#All],[COVID-19 Item List]:[SCL]],MATCH(M$6,DATA_Depts[[#Headers],[COVID-19 Item List]:[SCL]],0),FALSE)=0),IF(VLOOKUP(_xlfn.CONCAT(M$6,$C101),BurnRate!$G$3:$P$1102,10,FALSE)="NR","NR",0),VLOOKUP($C101,DATA_Depts[[#All],[COVID-19 Item List]:[SCL]],MATCH(M$6,DATA_Depts[[#Headers],[COVID-19 Item List]:[SCL]],0),FALSE))</f>
        <v>NR</v>
      </c>
      <c r="N101" s="148" t="str">
        <f>IF(VLOOKUP(_xlfn.CONCAT(M$6,$C101),BurnRate!$G$3:$P$1102,10,FALSE)="NR","NR",IF(M101="NR","NR",M101/(VLOOKUP(_xlfn.CONCAT(M$6,$C101),BurnRate!$G$3:$P$1102,10,FALSE)/90)))</f>
        <v>NR</v>
      </c>
      <c r="O101" s="169" t="str">
        <f>IF(SUM(VLOOKUP($C101,DATA_Depts[[#All],[COVID-19 Item List]:[SCL]],MATCH(O$6,DATA_Depts[[#Headers],[COVID-19 Item List]:[SCL]],0),FALSE)=0),IF(VLOOKUP(_xlfn.CONCAT(O$6,$C101),BurnRate!$G$3:$P$1102,10,FALSE)="NR","NR",0),VLOOKUP($C101,DATA_Depts[[#All],[COVID-19 Item List]:[SCL]],MATCH(O$6,DATA_Depts[[#Headers],[COVID-19 Item List]:[SCL]],0),FALSE))</f>
        <v>NR</v>
      </c>
      <c r="P101" s="148" t="str">
        <f>IF(VLOOKUP(_xlfn.CONCAT(O$6,$C101),BurnRate!$G$3:$P$1102,10,FALSE)="NR","NR",IF(O101="NR","NR",O101/(VLOOKUP(_xlfn.CONCAT(O$6,$C101),BurnRate!$G$3:$P$1102,10,FALSE)/90)))</f>
        <v>NR</v>
      </c>
      <c r="Q101" s="169" t="str">
        <f>IF(SUM(VLOOKUP($C101,DATA_Depts[[#All],[COVID-19 Item List]:[SCL]],MATCH(Q$6,DATA_Depts[[#Headers],[COVID-19 Item List]:[SCL]],0),FALSE)=0),IF(VLOOKUP(_xlfn.CONCAT(Q$6,$C101),BurnRate!$G$3:$P$1102,10,FALSE)="NR","NR",0),VLOOKUP($C101,DATA_Depts[[#All],[COVID-19 Item List]:[SCL]],MATCH(Q$6,DATA_Depts[[#Headers],[COVID-19 Item List]:[SCL]],0),FALSE))</f>
        <v>NR</v>
      </c>
      <c r="R101" s="148" t="str">
        <f>IF(VLOOKUP(_xlfn.CONCAT(Q$6,$C101),BurnRate!$G$3:$P$1102,10,FALSE)="NR","NR",IF(Q101="NR","NR",Q101/(VLOOKUP(_xlfn.CONCAT(Q$6,$C101),BurnRate!$G$3:$P$1102,10,FALSE)/90)))</f>
        <v>NR</v>
      </c>
      <c r="S101" s="169" t="str">
        <f>IF(SUM(VLOOKUP($C101,DATA_Depts[[#All],[COVID-19 Item List]:[SCL]],MATCH(S$6,DATA_Depts[[#Headers],[COVID-19 Item List]:[SCL]],0),FALSE)=0),IF(VLOOKUP(_xlfn.CONCAT(S$6,$C101),BurnRate!$G$3:$P$1102,10,FALSE)="NR","NR",0),VLOOKUP($C101,DATA_Depts[[#All],[COVID-19 Item List]:[SCL]],MATCH(S$6,DATA_Depts[[#Headers],[COVID-19 Item List]:[SCL]],0),FALSE))</f>
        <v>NR</v>
      </c>
      <c r="T101" s="148" t="str">
        <f>IF(VLOOKUP(_xlfn.CONCAT(S$6,$C101),BurnRate!$G$3:$P$1102,10,FALSE)="NR","NR",IF(S101="NR","NR",S101/(VLOOKUP(_xlfn.CONCAT(S$6,$C101),BurnRate!$G$3:$P$1102,10,FALSE)/90)))</f>
        <v>NR</v>
      </c>
      <c r="U101" s="169" t="str">
        <f>IF(SUM(VLOOKUP($C101,DATA_Depts[[#All],[COVID-19 Item List]:[SCL]],MATCH(U$6,DATA_Depts[[#Headers],[COVID-19 Item List]:[SCL]],0),FALSE)=0),IF(VLOOKUP(_xlfn.CONCAT(U$6,$C101),BurnRate!$G$3:$P$1102,10,FALSE)="NR","NR",0),VLOOKUP($C101,DATA_Depts[[#All],[COVID-19 Item List]:[SCL]],MATCH(U$6,DATA_Depts[[#Headers],[COVID-19 Item List]:[SCL]],0),FALSE))</f>
        <v>NR</v>
      </c>
      <c r="V101" s="148" t="str">
        <f>IF(VLOOKUP(_xlfn.CONCAT(U$6,$C101),BurnRate!$G$3:$P$1102,10,FALSE)="NR","NR",IF(U101="NR","NR",U101/(VLOOKUP(_xlfn.CONCAT(U$6,$C101),BurnRate!$G$3:$P$1102,10,FALSE)/90)))</f>
        <v>NR</v>
      </c>
      <c r="W101" s="169" t="str">
        <f>IF(SUM(VLOOKUP($C101,DATA_Depts[[#All],[COVID-19 Item List]:[SCL]],MATCH(W$6,DATA_Depts[[#Headers],[COVID-19 Item List]:[SCL]],0),FALSE)=0),IF(VLOOKUP(_xlfn.CONCAT(W$6,$C101),BurnRate!$G$3:$P$1102,10,FALSE)="NR","NR",0),VLOOKUP($C101,DATA_Depts[[#All],[COVID-19 Item List]:[SCL]],MATCH(W$6,DATA_Depts[[#Headers],[COVID-19 Item List]:[SCL]],0),FALSE))</f>
        <v>NR</v>
      </c>
      <c r="X101" s="148" t="str">
        <f>IF(VLOOKUP(_xlfn.CONCAT(W$6,$C101),BurnRate!$G$3:$P$1102,10,FALSE)="NR","NR",IF(W101="NR","NR",W101/(VLOOKUP(_xlfn.CONCAT(W$6,$C101),BurnRate!$G$3:$P$1102,10,FALSE)/90)))</f>
        <v>NR</v>
      </c>
      <c r="Y101" s="169" t="str">
        <f>IF(SUM(VLOOKUP($C101,DATA_Depts[[#All],[COVID-19 Item List]:[SCL]],MATCH(Y$6,DATA_Depts[[#Headers],[COVID-19 Item List]:[SCL]],0),FALSE)=0),IF(VLOOKUP(_xlfn.CONCAT(Y$6,$C101),BurnRate!$G$3:$P$1102,10,FALSE)="NR","NR",0),VLOOKUP($C101,DATA_Depts[[#All],[COVID-19 Item List]:[SCL]],MATCH(Y$6,DATA_Depts[[#Headers],[COVID-19 Item List]:[SCL]],0),FALSE))</f>
        <v>NR</v>
      </c>
      <c r="Z101" s="148" t="str">
        <f>IF(VLOOKUP(_xlfn.CONCAT(Y$6,$C101),BurnRate!$G$3:$P$1102,10,FALSE)="NR","NR",IF(Y101="NR","NR",Y101/(VLOOKUP(_xlfn.CONCAT(Y$6,$C101),BurnRate!$G$3:$P$1102,10,FALSE)/90)))</f>
        <v>NR</v>
      </c>
    </row>
    <row r="102" spans="1:27" s="43" customFormat="1" ht="11" hidden="1">
      <c r="B102" s="46">
        <v>95</v>
      </c>
      <c r="C102" s="47" t="str">
        <f>_xlfn.SINGLE(VLOOKUP(B102,DisplayOrder[#All],2,FALSE))</f>
        <v>Reserved-95</v>
      </c>
      <c r="D102" s="116" t="str">
        <f>_xlfn.SINGLE(VLOOKUP(B102,DisplayOrder!A:C,3,FALSE))</f>
        <v>each</v>
      </c>
      <c r="E102" s="117" t="str">
        <f>IF(VLOOKUP(_xlfn.CONCAT(E$6,$C102),BurnRate!$G$3:$P$1102,10,FALSE)="NR",IF(SUMIF(FAS_Centralized!K:K,C102,FAS_Centralized!N:N)=0,"NR",SUMIF(FAS_Centralized!K:K,C102,FAS_Centralized!N:N)),SUMIF(FAS_Centralized!K:K,C102,FAS_Centralized!N:N))</f>
        <v>NR</v>
      </c>
      <c r="F102" s="148" t="str">
        <f>IF(VLOOKUP(_xlfn.CONCAT(E$6,$C102),BurnRate!$G$3:$P$1102,10,FALSE)="NR","NR",IF(E102="NR","NR",E102/(VLOOKUP(_xlfn.CONCAT(E$6,$C102),BurnRate!$G$3:$P$1102,10,FALSE)/90)))</f>
        <v>NR</v>
      </c>
      <c r="G102" s="169" t="str">
        <f>IF(SUM(VLOOKUP($C102,DATA_Depts[[#All],[COVID-19 Item List]:[SCL]],MATCH(G$6,DATA_Depts[[#Headers],[COVID-19 Item List]:[SCL]],0),FALSE)=0),IF(VLOOKUP(_xlfn.CONCAT(G$6,$C102),BurnRate!$G$3:$P$1102,10,FALSE)="NR","NR",0),VLOOKUP($C102,DATA_Depts[[#All],[COVID-19 Item List]:[SCL]],MATCH(G$6,DATA_Depts[[#Headers],[COVID-19 Item List]:[SCL]],0),FALSE))</f>
        <v>NR</v>
      </c>
      <c r="H102" s="148" t="str">
        <f>IF(VLOOKUP(_xlfn.CONCAT(G$6,$C102),BurnRate!$G$3:$P$1102,10,FALSE)="NR","NR",IF(G102="NR","NR",G102/(VLOOKUP(_xlfn.CONCAT(G$6,$C102),BurnRate!$G$3:$P$1102,10,FALSE)/90)))</f>
        <v>NR</v>
      </c>
      <c r="I102" s="169" t="str">
        <f>IF(SUM(VLOOKUP($C102,DATA_Depts[[#All],[COVID-19 Item List]:[SCL]],MATCH(I$6,DATA_Depts[[#Headers],[COVID-19 Item List]:[SCL]],0),FALSE)=0),IF(VLOOKUP(_xlfn.CONCAT(I$6,$C102),BurnRate!$G$3:$P$1102,10,FALSE)="NR","NR",0),VLOOKUP($C102,DATA_Depts[[#All],[COVID-19 Item List]:[SCL]],MATCH(I$6,DATA_Depts[[#Headers],[COVID-19 Item List]:[SCL]],0),FALSE))</f>
        <v>NR</v>
      </c>
      <c r="J102" s="148" t="str">
        <f>IF(VLOOKUP(_xlfn.CONCAT(I$6,$C102),BurnRate!$G$3:$P$1102,10,FALSE)="NR","NR",IF(I102="NR","NR",I102/(VLOOKUP(_xlfn.CONCAT(I$6,$C102),BurnRate!$G$3:$P$1102,10,FALSE)/90)))</f>
        <v>NR</v>
      </c>
      <c r="K102" s="169" t="str">
        <f>IF(SUM(VLOOKUP($C102,DATA_Depts[[#All],[COVID-19 Item List]:[SCL]],MATCH(K$6,DATA_Depts[[#Headers],[COVID-19 Item List]:[SCL]],0),FALSE)=0),IF(VLOOKUP(_xlfn.CONCAT(K$6,$C102),BurnRate!$G$3:$P$1102,10,FALSE)="NR","NR",0),VLOOKUP($C102,DATA_Depts[[#All],[COVID-19 Item List]:[SCL]],MATCH(K$6,DATA_Depts[[#Headers],[COVID-19 Item List]:[SCL]],0),FALSE))</f>
        <v>NR</v>
      </c>
      <c r="L102" s="148" t="str">
        <f>IF(VLOOKUP(_xlfn.CONCAT(K$6,$C102),BurnRate!$G$3:$P$1102,10,FALSE)="NR","NR",IF(K102="NR","NR",K102/(VLOOKUP(_xlfn.CONCAT(K$6,$C102),BurnRate!$G$3:$P$1102,10,FALSE)/90)))</f>
        <v>NR</v>
      </c>
      <c r="M102" s="169" t="str">
        <f>IF(SUM(VLOOKUP($C102,DATA_Depts[[#All],[COVID-19 Item List]:[SCL]],MATCH(M$6,DATA_Depts[[#Headers],[COVID-19 Item List]:[SCL]],0),FALSE)=0),IF(VLOOKUP(_xlfn.CONCAT(M$6,$C102),BurnRate!$G$3:$P$1102,10,FALSE)="NR","NR",0),VLOOKUP($C102,DATA_Depts[[#All],[COVID-19 Item List]:[SCL]],MATCH(M$6,DATA_Depts[[#Headers],[COVID-19 Item List]:[SCL]],0),FALSE))</f>
        <v>NR</v>
      </c>
      <c r="N102" s="148" t="str">
        <f>IF(VLOOKUP(_xlfn.CONCAT(M$6,$C102),BurnRate!$G$3:$P$1102,10,FALSE)="NR","NR",IF(M102="NR","NR",M102/(VLOOKUP(_xlfn.CONCAT(M$6,$C102),BurnRate!$G$3:$P$1102,10,FALSE)/90)))</f>
        <v>NR</v>
      </c>
      <c r="O102" s="169" t="str">
        <f>IF(SUM(VLOOKUP($C102,DATA_Depts[[#All],[COVID-19 Item List]:[SCL]],MATCH(O$6,DATA_Depts[[#Headers],[COVID-19 Item List]:[SCL]],0),FALSE)=0),IF(VLOOKUP(_xlfn.CONCAT(O$6,$C102),BurnRate!$G$3:$P$1102,10,FALSE)="NR","NR",0),VLOOKUP($C102,DATA_Depts[[#All],[COVID-19 Item List]:[SCL]],MATCH(O$6,DATA_Depts[[#Headers],[COVID-19 Item List]:[SCL]],0),FALSE))</f>
        <v>NR</v>
      </c>
      <c r="P102" s="148" t="str">
        <f>IF(VLOOKUP(_xlfn.CONCAT(O$6,$C102),BurnRate!$G$3:$P$1102,10,FALSE)="NR","NR",IF(O102="NR","NR",O102/(VLOOKUP(_xlfn.CONCAT(O$6,$C102),BurnRate!$G$3:$P$1102,10,FALSE)/90)))</f>
        <v>NR</v>
      </c>
      <c r="Q102" s="169" t="str">
        <f>IF(SUM(VLOOKUP($C102,DATA_Depts[[#All],[COVID-19 Item List]:[SCL]],MATCH(Q$6,DATA_Depts[[#Headers],[COVID-19 Item List]:[SCL]],0),FALSE)=0),IF(VLOOKUP(_xlfn.CONCAT(Q$6,$C102),BurnRate!$G$3:$P$1102,10,FALSE)="NR","NR",0),VLOOKUP($C102,DATA_Depts[[#All],[COVID-19 Item List]:[SCL]],MATCH(Q$6,DATA_Depts[[#Headers],[COVID-19 Item List]:[SCL]],0),FALSE))</f>
        <v>NR</v>
      </c>
      <c r="R102" s="148" t="str">
        <f>IF(VLOOKUP(_xlfn.CONCAT(Q$6,$C102),BurnRate!$G$3:$P$1102,10,FALSE)="NR","NR",IF(Q102="NR","NR",Q102/(VLOOKUP(_xlfn.CONCAT(Q$6,$C102),BurnRate!$G$3:$P$1102,10,FALSE)/90)))</f>
        <v>NR</v>
      </c>
      <c r="S102" s="169" t="str">
        <f>IF(SUM(VLOOKUP($C102,DATA_Depts[[#All],[COVID-19 Item List]:[SCL]],MATCH(S$6,DATA_Depts[[#Headers],[COVID-19 Item List]:[SCL]],0),FALSE)=0),IF(VLOOKUP(_xlfn.CONCAT(S$6,$C102),BurnRate!$G$3:$P$1102,10,FALSE)="NR","NR",0),VLOOKUP($C102,DATA_Depts[[#All],[COVID-19 Item List]:[SCL]],MATCH(S$6,DATA_Depts[[#Headers],[COVID-19 Item List]:[SCL]],0),FALSE))</f>
        <v>NR</v>
      </c>
      <c r="T102" s="148" t="str">
        <f>IF(VLOOKUP(_xlfn.CONCAT(S$6,$C102),BurnRate!$G$3:$P$1102,10,FALSE)="NR","NR",IF(S102="NR","NR",S102/(VLOOKUP(_xlfn.CONCAT(S$6,$C102),BurnRate!$G$3:$P$1102,10,FALSE)/90)))</f>
        <v>NR</v>
      </c>
      <c r="U102" s="169" t="str">
        <f>IF(SUM(VLOOKUP($C102,DATA_Depts[[#All],[COVID-19 Item List]:[SCL]],MATCH(U$6,DATA_Depts[[#Headers],[COVID-19 Item List]:[SCL]],0),FALSE)=0),IF(VLOOKUP(_xlfn.CONCAT(U$6,$C102),BurnRate!$G$3:$P$1102,10,FALSE)="NR","NR",0),VLOOKUP($C102,DATA_Depts[[#All],[COVID-19 Item List]:[SCL]],MATCH(U$6,DATA_Depts[[#Headers],[COVID-19 Item List]:[SCL]],0),FALSE))</f>
        <v>NR</v>
      </c>
      <c r="V102" s="148" t="str">
        <f>IF(VLOOKUP(_xlfn.CONCAT(U$6,$C102),BurnRate!$G$3:$P$1102,10,FALSE)="NR","NR",IF(U102="NR","NR",U102/(VLOOKUP(_xlfn.CONCAT(U$6,$C102),BurnRate!$G$3:$P$1102,10,FALSE)/90)))</f>
        <v>NR</v>
      </c>
      <c r="W102" s="169" t="str">
        <f>IF(SUM(VLOOKUP($C102,DATA_Depts[[#All],[COVID-19 Item List]:[SCL]],MATCH(W$6,DATA_Depts[[#Headers],[COVID-19 Item List]:[SCL]],0),FALSE)=0),IF(VLOOKUP(_xlfn.CONCAT(W$6,$C102),BurnRate!$G$3:$P$1102,10,FALSE)="NR","NR",0),VLOOKUP($C102,DATA_Depts[[#All],[COVID-19 Item List]:[SCL]],MATCH(W$6,DATA_Depts[[#Headers],[COVID-19 Item List]:[SCL]],0),FALSE))</f>
        <v>NR</v>
      </c>
      <c r="X102" s="148" t="str">
        <f>IF(VLOOKUP(_xlfn.CONCAT(W$6,$C102),BurnRate!$G$3:$P$1102,10,FALSE)="NR","NR",IF(W102="NR","NR",W102/(VLOOKUP(_xlfn.CONCAT(W$6,$C102),BurnRate!$G$3:$P$1102,10,FALSE)/90)))</f>
        <v>NR</v>
      </c>
      <c r="Y102" s="169" t="str">
        <f>IF(SUM(VLOOKUP($C102,DATA_Depts[[#All],[COVID-19 Item List]:[SCL]],MATCH(Y$6,DATA_Depts[[#Headers],[COVID-19 Item List]:[SCL]],0),FALSE)=0),IF(VLOOKUP(_xlfn.CONCAT(Y$6,$C102),BurnRate!$G$3:$P$1102,10,FALSE)="NR","NR",0),VLOOKUP($C102,DATA_Depts[[#All],[COVID-19 Item List]:[SCL]],MATCH(Y$6,DATA_Depts[[#Headers],[COVID-19 Item List]:[SCL]],0),FALSE))</f>
        <v>NR</v>
      </c>
      <c r="Z102" s="148" t="str">
        <f>IF(VLOOKUP(_xlfn.CONCAT(Y$6,$C102),BurnRate!$G$3:$P$1102,10,FALSE)="NR","NR",IF(Y102="NR","NR",Y102/(VLOOKUP(_xlfn.CONCAT(Y$6,$C102),BurnRate!$G$3:$P$1102,10,FALSE)/90)))</f>
        <v>NR</v>
      </c>
    </row>
    <row r="103" spans="1:27" s="43" customFormat="1" ht="11" hidden="1">
      <c r="B103" s="46">
        <v>96</v>
      </c>
      <c r="C103" s="47" t="str">
        <f>_xlfn.SINGLE(VLOOKUP(B103,DisplayOrder[#All],2,FALSE))</f>
        <v>Reserved-96</v>
      </c>
      <c r="D103" s="116" t="str">
        <f>_xlfn.SINGLE(VLOOKUP(B103,DisplayOrder!A:C,3,FALSE))</f>
        <v>each</v>
      </c>
      <c r="E103" s="117" t="str">
        <f>IF(VLOOKUP(_xlfn.CONCAT(E$6,$C103),BurnRate!$G$3:$P$1102,10,FALSE)="NR",IF(SUMIF(FAS_Centralized!K:K,C103,FAS_Centralized!N:N)=0,"NR",SUMIF(FAS_Centralized!K:K,C103,FAS_Centralized!N:N)),SUMIF(FAS_Centralized!K:K,C103,FAS_Centralized!N:N))</f>
        <v>NR</v>
      </c>
      <c r="F103" s="148" t="str">
        <f>IF(VLOOKUP(_xlfn.CONCAT(E$6,$C103),BurnRate!$G$3:$P$1102,10,FALSE)="NR","NR",IF(E103="NR","NR",E103/(VLOOKUP(_xlfn.CONCAT(E$6,$C103),BurnRate!$G$3:$P$1102,10,FALSE)/90)))</f>
        <v>NR</v>
      </c>
      <c r="G103" s="169" t="str">
        <f>IF(SUM(VLOOKUP($C103,DATA_Depts[[#All],[COVID-19 Item List]:[SCL]],MATCH(G$6,DATA_Depts[[#Headers],[COVID-19 Item List]:[SCL]],0),FALSE)=0),IF(VLOOKUP(_xlfn.CONCAT(G$6,$C103),BurnRate!$G$3:$P$1102,10,FALSE)="NR","NR",0),VLOOKUP($C103,DATA_Depts[[#All],[COVID-19 Item List]:[SCL]],MATCH(G$6,DATA_Depts[[#Headers],[COVID-19 Item List]:[SCL]],0),FALSE))</f>
        <v>NR</v>
      </c>
      <c r="H103" s="148" t="str">
        <f>IF(VLOOKUP(_xlfn.CONCAT(G$6,$C103),BurnRate!$G$3:$P$1102,10,FALSE)="NR","NR",IF(G103="NR","NR",G103/(VLOOKUP(_xlfn.CONCAT(G$6,$C103),BurnRate!$G$3:$P$1102,10,FALSE)/90)))</f>
        <v>NR</v>
      </c>
      <c r="I103" s="169" t="str">
        <f>IF(SUM(VLOOKUP($C103,DATA_Depts[[#All],[COVID-19 Item List]:[SCL]],MATCH(I$6,DATA_Depts[[#Headers],[COVID-19 Item List]:[SCL]],0),FALSE)=0),IF(VLOOKUP(_xlfn.CONCAT(I$6,$C103),BurnRate!$G$3:$P$1102,10,FALSE)="NR","NR",0),VLOOKUP($C103,DATA_Depts[[#All],[COVID-19 Item List]:[SCL]],MATCH(I$6,DATA_Depts[[#Headers],[COVID-19 Item List]:[SCL]],0),FALSE))</f>
        <v>NR</v>
      </c>
      <c r="J103" s="148" t="str">
        <f>IF(VLOOKUP(_xlfn.CONCAT(I$6,$C103),BurnRate!$G$3:$P$1102,10,FALSE)="NR","NR",IF(I103="NR","NR",I103/(VLOOKUP(_xlfn.CONCAT(I$6,$C103),BurnRate!$G$3:$P$1102,10,FALSE)/90)))</f>
        <v>NR</v>
      </c>
      <c r="K103" s="169" t="str">
        <f>IF(SUM(VLOOKUP($C103,DATA_Depts[[#All],[COVID-19 Item List]:[SCL]],MATCH(K$6,DATA_Depts[[#Headers],[COVID-19 Item List]:[SCL]],0),FALSE)=0),IF(VLOOKUP(_xlfn.CONCAT(K$6,$C103),BurnRate!$G$3:$P$1102,10,FALSE)="NR","NR",0),VLOOKUP($C103,DATA_Depts[[#All],[COVID-19 Item List]:[SCL]],MATCH(K$6,DATA_Depts[[#Headers],[COVID-19 Item List]:[SCL]],0),FALSE))</f>
        <v>NR</v>
      </c>
      <c r="L103" s="148" t="str">
        <f>IF(VLOOKUP(_xlfn.CONCAT(K$6,$C103),BurnRate!$G$3:$P$1102,10,FALSE)="NR","NR",IF(K103="NR","NR",K103/(VLOOKUP(_xlfn.CONCAT(K$6,$C103),BurnRate!$G$3:$P$1102,10,FALSE)/90)))</f>
        <v>NR</v>
      </c>
      <c r="M103" s="169" t="str">
        <f>IF(SUM(VLOOKUP($C103,DATA_Depts[[#All],[COVID-19 Item List]:[SCL]],MATCH(M$6,DATA_Depts[[#Headers],[COVID-19 Item List]:[SCL]],0),FALSE)=0),IF(VLOOKUP(_xlfn.CONCAT(M$6,$C103),BurnRate!$G$3:$P$1102,10,FALSE)="NR","NR",0),VLOOKUP($C103,DATA_Depts[[#All],[COVID-19 Item List]:[SCL]],MATCH(M$6,DATA_Depts[[#Headers],[COVID-19 Item List]:[SCL]],0),FALSE))</f>
        <v>NR</v>
      </c>
      <c r="N103" s="148" t="str">
        <f>IF(VLOOKUP(_xlfn.CONCAT(M$6,$C103),BurnRate!$G$3:$P$1102,10,FALSE)="NR","NR",IF(M103="NR","NR",M103/(VLOOKUP(_xlfn.CONCAT(M$6,$C103),BurnRate!$G$3:$P$1102,10,FALSE)/90)))</f>
        <v>NR</v>
      </c>
      <c r="O103" s="169" t="str">
        <f>IF(SUM(VLOOKUP($C103,DATA_Depts[[#All],[COVID-19 Item List]:[SCL]],MATCH(O$6,DATA_Depts[[#Headers],[COVID-19 Item List]:[SCL]],0),FALSE)=0),IF(VLOOKUP(_xlfn.CONCAT(O$6,$C103),BurnRate!$G$3:$P$1102,10,FALSE)="NR","NR",0),VLOOKUP($C103,DATA_Depts[[#All],[COVID-19 Item List]:[SCL]],MATCH(O$6,DATA_Depts[[#Headers],[COVID-19 Item List]:[SCL]],0),FALSE))</f>
        <v>NR</v>
      </c>
      <c r="P103" s="148" t="str">
        <f>IF(VLOOKUP(_xlfn.CONCAT(O$6,$C103),BurnRate!$G$3:$P$1102,10,FALSE)="NR","NR",IF(O103="NR","NR",O103/(VLOOKUP(_xlfn.CONCAT(O$6,$C103),BurnRate!$G$3:$P$1102,10,FALSE)/90)))</f>
        <v>NR</v>
      </c>
      <c r="Q103" s="169" t="str">
        <f>IF(SUM(VLOOKUP($C103,DATA_Depts[[#All],[COVID-19 Item List]:[SCL]],MATCH(Q$6,DATA_Depts[[#Headers],[COVID-19 Item List]:[SCL]],0),FALSE)=0),IF(VLOOKUP(_xlfn.CONCAT(Q$6,$C103),BurnRate!$G$3:$P$1102,10,FALSE)="NR","NR",0),VLOOKUP($C103,DATA_Depts[[#All],[COVID-19 Item List]:[SCL]],MATCH(Q$6,DATA_Depts[[#Headers],[COVID-19 Item List]:[SCL]],0),FALSE))</f>
        <v>NR</v>
      </c>
      <c r="R103" s="148" t="str">
        <f>IF(VLOOKUP(_xlfn.CONCAT(Q$6,$C103),BurnRate!$G$3:$P$1102,10,FALSE)="NR","NR",IF(Q103="NR","NR",Q103/(VLOOKUP(_xlfn.CONCAT(Q$6,$C103),BurnRate!$G$3:$P$1102,10,FALSE)/90)))</f>
        <v>NR</v>
      </c>
      <c r="S103" s="169" t="str">
        <f>IF(SUM(VLOOKUP($C103,DATA_Depts[[#All],[COVID-19 Item List]:[SCL]],MATCH(S$6,DATA_Depts[[#Headers],[COVID-19 Item List]:[SCL]],0),FALSE)=0),IF(VLOOKUP(_xlfn.CONCAT(S$6,$C103),BurnRate!$G$3:$P$1102,10,FALSE)="NR","NR",0),VLOOKUP($C103,DATA_Depts[[#All],[COVID-19 Item List]:[SCL]],MATCH(S$6,DATA_Depts[[#Headers],[COVID-19 Item List]:[SCL]],0),FALSE))</f>
        <v>NR</v>
      </c>
      <c r="T103" s="148" t="str">
        <f>IF(VLOOKUP(_xlfn.CONCAT(S$6,$C103),BurnRate!$G$3:$P$1102,10,FALSE)="NR","NR",IF(S103="NR","NR",S103/(VLOOKUP(_xlfn.CONCAT(S$6,$C103),BurnRate!$G$3:$P$1102,10,FALSE)/90)))</f>
        <v>NR</v>
      </c>
      <c r="U103" s="169" t="str">
        <f>IF(SUM(VLOOKUP($C103,DATA_Depts[[#All],[COVID-19 Item List]:[SCL]],MATCH(U$6,DATA_Depts[[#Headers],[COVID-19 Item List]:[SCL]],0),FALSE)=0),IF(VLOOKUP(_xlfn.CONCAT(U$6,$C103),BurnRate!$G$3:$P$1102,10,FALSE)="NR","NR",0),VLOOKUP($C103,DATA_Depts[[#All],[COVID-19 Item List]:[SCL]],MATCH(U$6,DATA_Depts[[#Headers],[COVID-19 Item List]:[SCL]],0),FALSE))</f>
        <v>NR</v>
      </c>
      <c r="V103" s="148" t="str">
        <f>IF(VLOOKUP(_xlfn.CONCAT(U$6,$C103),BurnRate!$G$3:$P$1102,10,FALSE)="NR","NR",IF(U103="NR","NR",U103/(VLOOKUP(_xlfn.CONCAT(U$6,$C103),BurnRate!$G$3:$P$1102,10,FALSE)/90)))</f>
        <v>NR</v>
      </c>
      <c r="W103" s="169" t="str">
        <f>IF(SUM(VLOOKUP($C103,DATA_Depts[[#All],[COVID-19 Item List]:[SCL]],MATCH(W$6,DATA_Depts[[#Headers],[COVID-19 Item List]:[SCL]],0),FALSE)=0),IF(VLOOKUP(_xlfn.CONCAT(W$6,$C103),BurnRate!$G$3:$P$1102,10,FALSE)="NR","NR",0),VLOOKUP($C103,DATA_Depts[[#All],[COVID-19 Item List]:[SCL]],MATCH(W$6,DATA_Depts[[#Headers],[COVID-19 Item List]:[SCL]],0),FALSE))</f>
        <v>NR</v>
      </c>
      <c r="X103" s="148" t="str">
        <f>IF(VLOOKUP(_xlfn.CONCAT(W$6,$C103),BurnRate!$G$3:$P$1102,10,FALSE)="NR","NR",IF(W103="NR","NR",W103/(VLOOKUP(_xlfn.CONCAT(W$6,$C103),BurnRate!$G$3:$P$1102,10,FALSE)/90)))</f>
        <v>NR</v>
      </c>
      <c r="Y103" s="169" t="str">
        <f>IF(SUM(VLOOKUP($C103,DATA_Depts[[#All],[COVID-19 Item List]:[SCL]],MATCH(Y$6,DATA_Depts[[#Headers],[COVID-19 Item List]:[SCL]],0),FALSE)=0),IF(VLOOKUP(_xlfn.CONCAT(Y$6,$C103),BurnRate!$G$3:$P$1102,10,FALSE)="NR","NR",0),VLOOKUP($C103,DATA_Depts[[#All],[COVID-19 Item List]:[SCL]],MATCH(Y$6,DATA_Depts[[#Headers],[COVID-19 Item List]:[SCL]],0),FALSE))</f>
        <v>NR</v>
      </c>
      <c r="Z103" s="148" t="str">
        <f>IF(VLOOKUP(_xlfn.CONCAT(Y$6,$C103),BurnRate!$G$3:$P$1102,10,FALSE)="NR","NR",IF(Y103="NR","NR",Y103/(VLOOKUP(_xlfn.CONCAT(Y$6,$C103),BurnRate!$G$3:$P$1102,10,FALSE)/90)))</f>
        <v>NR</v>
      </c>
    </row>
    <row r="104" spans="1:27" s="43" customFormat="1" ht="11" hidden="1">
      <c r="B104" s="46">
        <v>97</v>
      </c>
      <c r="C104" s="47" t="str">
        <f>_xlfn.SINGLE(VLOOKUP(B104,DisplayOrder[#All],2,FALSE))</f>
        <v>Reserved-97</v>
      </c>
      <c r="D104" s="116" t="str">
        <f>_xlfn.SINGLE(VLOOKUP(B104,DisplayOrder!A:C,3,FALSE))</f>
        <v>each</v>
      </c>
      <c r="E104" s="117" t="str">
        <f>IF(VLOOKUP(_xlfn.CONCAT(E$6,$C104),BurnRate!$G$3:$P$1102,10,FALSE)="NR",IF(SUMIF(FAS_Centralized!K:K,C104,FAS_Centralized!N:N)=0,"NR",SUMIF(FAS_Centralized!K:K,C104,FAS_Centralized!N:N)),SUMIF(FAS_Centralized!K:K,C104,FAS_Centralized!N:N))</f>
        <v>NR</v>
      </c>
      <c r="F104" s="148" t="str">
        <f>IF(VLOOKUP(_xlfn.CONCAT(E$6,$C104),BurnRate!$G$3:$P$1102,10,FALSE)="NR","NR",IF(E104="NR","NR",E104/(VLOOKUP(_xlfn.CONCAT(E$6,$C104),BurnRate!$G$3:$P$1102,10,FALSE)/90)))</f>
        <v>NR</v>
      </c>
      <c r="G104" s="169" t="str">
        <f>IF(SUM(VLOOKUP($C104,DATA_Depts[[#All],[COVID-19 Item List]:[SCL]],MATCH(G$6,DATA_Depts[[#Headers],[COVID-19 Item List]:[SCL]],0),FALSE)=0),IF(VLOOKUP(_xlfn.CONCAT(G$6,$C104),BurnRate!$G$3:$P$1102,10,FALSE)="NR","NR",0),VLOOKUP($C104,DATA_Depts[[#All],[COVID-19 Item List]:[SCL]],MATCH(G$6,DATA_Depts[[#Headers],[COVID-19 Item List]:[SCL]],0),FALSE))</f>
        <v>NR</v>
      </c>
      <c r="H104" s="148" t="str">
        <f>IF(VLOOKUP(_xlfn.CONCAT(G$6,$C104),BurnRate!$G$3:$P$1102,10,FALSE)="NR","NR",IF(G104="NR","NR",G104/(VLOOKUP(_xlfn.CONCAT(G$6,$C104),BurnRate!$G$3:$P$1102,10,FALSE)/90)))</f>
        <v>NR</v>
      </c>
      <c r="I104" s="169" t="str">
        <f>IF(SUM(VLOOKUP($C104,DATA_Depts[[#All],[COVID-19 Item List]:[SCL]],MATCH(I$6,DATA_Depts[[#Headers],[COVID-19 Item List]:[SCL]],0),FALSE)=0),IF(VLOOKUP(_xlfn.CONCAT(I$6,$C104),BurnRate!$G$3:$P$1102,10,FALSE)="NR","NR",0),VLOOKUP($C104,DATA_Depts[[#All],[COVID-19 Item List]:[SCL]],MATCH(I$6,DATA_Depts[[#Headers],[COVID-19 Item List]:[SCL]],0),FALSE))</f>
        <v>NR</v>
      </c>
      <c r="J104" s="148" t="str">
        <f>IF(VLOOKUP(_xlfn.CONCAT(I$6,$C104),BurnRate!$G$3:$P$1102,10,FALSE)="NR","NR",IF(I104="NR","NR",I104/(VLOOKUP(_xlfn.CONCAT(I$6,$C104),BurnRate!$G$3:$P$1102,10,FALSE)/90)))</f>
        <v>NR</v>
      </c>
      <c r="K104" s="169" t="str">
        <f>IF(SUM(VLOOKUP($C104,DATA_Depts[[#All],[COVID-19 Item List]:[SCL]],MATCH(K$6,DATA_Depts[[#Headers],[COVID-19 Item List]:[SCL]],0),FALSE)=0),IF(VLOOKUP(_xlfn.CONCAT(K$6,$C104),BurnRate!$G$3:$P$1102,10,FALSE)="NR","NR",0),VLOOKUP($C104,DATA_Depts[[#All],[COVID-19 Item List]:[SCL]],MATCH(K$6,DATA_Depts[[#Headers],[COVID-19 Item List]:[SCL]],0),FALSE))</f>
        <v>NR</v>
      </c>
      <c r="L104" s="148" t="str">
        <f>IF(VLOOKUP(_xlfn.CONCAT(K$6,$C104),BurnRate!$G$3:$P$1102,10,FALSE)="NR","NR",IF(K104="NR","NR",K104/(VLOOKUP(_xlfn.CONCAT(K$6,$C104),BurnRate!$G$3:$P$1102,10,FALSE)/90)))</f>
        <v>NR</v>
      </c>
      <c r="M104" s="169" t="str">
        <f>IF(SUM(VLOOKUP($C104,DATA_Depts[[#All],[COVID-19 Item List]:[SCL]],MATCH(M$6,DATA_Depts[[#Headers],[COVID-19 Item List]:[SCL]],0),FALSE)=0),IF(VLOOKUP(_xlfn.CONCAT(M$6,$C104),BurnRate!$G$3:$P$1102,10,FALSE)="NR","NR",0),VLOOKUP($C104,DATA_Depts[[#All],[COVID-19 Item List]:[SCL]],MATCH(M$6,DATA_Depts[[#Headers],[COVID-19 Item List]:[SCL]],0),FALSE))</f>
        <v>NR</v>
      </c>
      <c r="N104" s="148" t="str">
        <f>IF(VLOOKUP(_xlfn.CONCAT(M$6,$C104),BurnRate!$G$3:$P$1102,10,FALSE)="NR","NR",IF(M104="NR","NR",M104/(VLOOKUP(_xlfn.CONCAT(M$6,$C104),BurnRate!$G$3:$P$1102,10,FALSE)/90)))</f>
        <v>NR</v>
      </c>
      <c r="O104" s="169" t="str">
        <f>IF(SUM(VLOOKUP($C104,DATA_Depts[[#All],[COVID-19 Item List]:[SCL]],MATCH(O$6,DATA_Depts[[#Headers],[COVID-19 Item List]:[SCL]],0),FALSE)=0),IF(VLOOKUP(_xlfn.CONCAT(O$6,$C104),BurnRate!$G$3:$P$1102,10,FALSE)="NR","NR",0),VLOOKUP($C104,DATA_Depts[[#All],[COVID-19 Item List]:[SCL]],MATCH(O$6,DATA_Depts[[#Headers],[COVID-19 Item List]:[SCL]],0),FALSE))</f>
        <v>NR</v>
      </c>
      <c r="P104" s="148" t="str">
        <f>IF(VLOOKUP(_xlfn.CONCAT(O$6,$C104),BurnRate!$G$3:$P$1102,10,FALSE)="NR","NR",IF(O104="NR","NR",O104/(VLOOKUP(_xlfn.CONCAT(O$6,$C104),BurnRate!$G$3:$P$1102,10,FALSE)/90)))</f>
        <v>NR</v>
      </c>
      <c r="Q104" s="169" t="str">
        <f>IF(SUM(VLOOKUP($C104,DATA_Depts[[#All],[COVID-19 Item List]:[SCL]],MATCH(Q$6,DATA_Depts[[#Headers],[COVID-19 Item List]:[SCL]],0),FALSE)=0),IF(VLOOKUP(_xlfn.CONCAT(Q$6,$C104),BurnRate!$G$3:$P$1102,10,FALSE)="NR","NR",0),VLOOKUP($C104,DATA_Depts[[#All],[COVID-19 Item List]:[SCL]],MATCH(Q$6,DATA_Depts[[#Headers],[COVID-19 Item List]:[SCL]],0),FALSE))</f>
        <v>NR</v>
      </c>
      <c r="R104" s="148" t="str">
        <f>IF(VLOOKUP(_xlfn.CONCAT(Q$6,$C104),BurnRate!$G$3:$P$1102,10,FALSE)="NR","NR",IF(Q104="NR","NR",Q104/(VLOOKUP(_xlfn.CONCAT(Q$6,$C104),BurnRate!$G$3:$P$1102,10,FALSE)/90)))</f>
        <v>NR</v>
      </c>
      <c r="S104" s="169" t="str">
        <f>IF(SUM(VLOOKUP($C104,DATA_Depts[[#All],[COVID-19 Item List]:[SCL]],MATCH(S$6,DATA_Depts[[#Headers],[COVID-19 Item List]:[SCL]],0),FALSE)=0),IF(VLOOKUP(_xlfn.CONCAT(S$6,$C104),BurnRate!$G$3:$P$1102,10,FALSE)="NR","NR",0),VLOOKUP($C104,DATA_Depts[[#All],[COVID-19 Item List]:[SCL]],MATCH(S$6,DATA_Depts[[#Headers],[COVID-19 Item List]:[SCL]],0),FALSE))</f>
        <v>NR</v>
      </c>
      <c r="T104" s="148" t="str">
        <f>IF(VLOOKUP(_xlfn.CONCAT(S$6,$C104),BurnRate!$G$3:$P$1102,10,FALSE)="NR","NR",IF(S104="NR","NR",S104/(VLOOKUP(_xlfn.CONCAT(S$6,$C104),BurnRate!$G$3:$P$1102,10,FALSE)/90)))</f>
        <v>NR</v>
      </c>
      <c r="U104" s="169" t="str">
        <f>IF(SUM(VLOOKUP($C104,DATA_Depts[[#All],[COVID-19 Item List]:[SCL]],MATCH(U$6,DATA_Depts[[#Headers],[COVID-19 Item List]:[SCL]],0),FALSE)=0),IF(VLOOKUP(_xlfn.CONCAT(U$6,$C104),BurnRate!$G$3:$P$1102,10,FALSE)="NR","NR",0),VLOOKUP($C104,DATA_Depts[[#All],[COVID-19 Item List]:[SCL]],MATCH(U$6,DATA_Depts[[#Headers],[COVID-19 Item List]:[SCL]],0),FALSE))</f>
        <v>NR</v>
      </c>
      <c r="V104" s="148" t="str">
        <f>IF(VLOOKUP(_xlfn.CONCAT(U$6,$C104),BurnRate!$G$3:$P$1102,10,FALSE)="NR","NR",IF(U104="NR","NR",U104/(VLOOKUP(_xlfn.CONCAT(U$6,$C104),BurnRate!$G$3:$P$1102,10,FALSE)/90)))</f>
        <v>NR</v>
      </c>
      <c r="W104" s="169" t="str">
        <f>IF(SUM(VLOOKUP($C104,DATA_Depts[[#All],[COVID-19 Item List]:[SCL]],MATCH(W$6,DATA_Depts[[#Headers],[COVID-19 Item List]:[SCL]],0),FALSE)=0),IF(VLOOKUP(_xlfn.CONCAT(W$6,$C104),BurnRate!$G$3:$P$1102,10,FALSE)="NR","NR",0),VLOOKUP($C104,DATA_Depts[[#All],[COVID-19 Item List]:[SCL]],MATCH(W$6,DATA_Depts[[#Headers],[COVID-19 Item List]:[SCL]],0),FALSE))</f>
        <v>NR</v>
      </c>
      <c r="X104" s="148" t="str">
        <f>IF(VLOOKUP(_xlfn.CONCAT(W$6,$C104),BurnRate!$G$3:$P$1102,10,FALSE)="NR","NR",IF(W104="NR","NR",W104/(VLOOKUP(_xlfn.CONCAT(W$6,$C104),BurnRate!$G$3:$P$1102,10,FALSE)/90)))</f>
        <v>NR</v>
      </c>
      <c r="Y104" s="169" t="str">
        <f>IF(SUM(VLOOKUP($C104,DATA_Depts[[#All],[COVID-19 Item List]:[SCL]],MATCH(Y$6,DATA_Depts[[#Headers],[COVID-19 Item List]:[SCL]],0),FALSE)=0),IF(VLOOKUP(_xlfn.CONCAT(Y$6,$C104),BurnRate!$G$3:$P$1102,10,FALSE)="NR","NR",0),VLOOKUP($C104,DATA_Depts[[#All],[COVID-19 Item List]:[SCL]],MATCH(Y$6,DATA_Depts[[#Headers],[COVID-19 Item List]:[SCL]],0),FALSE))</f>
        <v>NR</v>
      </c>
      <c r="Z104" s="148" t="str">
        <f>IF(VLOOKUP(_xlfn.CONCAT(Y$6,$C104),BurnRate!$G$3:$P$1102,10,FALSE)="NR","NR",IF(Y104="NR","NR",Y104/(VLOOKUP(_xlfn.CONCAT(Y$6,$C104),BurnRate!$G$3:$P$1102,10,FALSE)/90)))</f>
        <v>NR</v>
      </c>
    </row>
    <row r="105" spans="1:27" s="43" customFormat="1" ht="11" hidden="1">
      <c r="B105" s="46">
        <v>98</v>
      </c>
      <c r="C105" s="47" t="str">
        <f>_xlfn.SINGLE(VLOOKUP(B105,DisplayOrder[#All],2,FALSE))</f>
        <v>Reserved-98</v>
      </c>
      <c r="D105" s="116" t="str">
        <f>_xlfn.SINGLE(VLOOKUP(B105,DisplayOrder!A:C,3,FALSE))</f>
        <v>each</v>
      </c>
      <c r="E105" s="117" t="str">
        <f>IF(VLOOKUP(_xlfn.CONCAT(E$6,$C105),BurnRate!$G$3:$P$1102,10,FALSE)="NR",IF(SUMIF(FAS_Centralized!K:K,C105,FAS_Centralized!N:N)=0,"NR",SUMIF(FAS_Centralized!K:K,C105,FAS_Centralized!N:N)),SUMIF(FAS_Centralized!K:K,C105,FAS_Centralized!N:N))</f>
        <v>NR</v>
      </c>
      <c r="F105" s="148" t="str">
        <f>IF(VLOOKUP(_xlfn.CONCAT(E$6,$C105),BurnRate!$G$3:$P$1102,10,FALSE)="NR","NR",IF(E105="NR","NR",E105/(VLOOKUP(_xlfn.CONCAT(E$6,$C105),BurnRate!$G$3:$P$1102,10,FALSE)/90)))</f>
        <v>NR</v>
      </c>
      <c r="G105" s="169" t="str">
        <f>IF(SUM(VLOOKUP($C105,DATA_Depts[[#All],[COVID-19 Item List]:[SCL]],MATCH(G$6,DATA_Depts[[#Headers],[COVID-19 Item List]:[SCL]],0),FALSE)=0),IF(VLOOKUP(_xlfn.CONCAT(G$6,$C105),BurnRate!$G$3:$P$1102,10,FALSE)="NR","NR",0),VLOOKUP($C105,DATA_Depts[[#All],[COVID-19 Item List]:[SCL]],MATCH(G$6,DATA_Depts[[#Headers],[COVID-19 Item List]:[SCL]],0),FALSE))</f>
        <v>NR</v>
      </c>
      <c r="H105" s="148" t="str">
        <f>IF(VLOOKUP(_xlfn.CONCAT(G$6,$C105),BurnRate!$G$3:$P$1102,10,FALSE)="NR","NR",IF(G105="NR","NR",G105/(VLOOKUP(_xlfn.CONCAT(G$6,$C105),BurnRate!$G$3:$P$1102,10,FALSE)/90)))</f>
        <v>NR</v>
      </c>
      <c r="I105" s="169" t="str">
        <f>IF(SUM(VLOOKUP($C105,DATA_Depts[[#All],[COVID-19 Item List]:[SCL]],MATCH(I$6,DATA_Depts[[#Headers],[COVID-19 Item List]:[SCL]],0),FALSE)=0),IF(VLOOKUP(_xlfn.CONCAT(I$6,$C105),BurnRate!$G$3:$P$1102,10,FALSE)="NR","NR",0),VLOOKUP($C105,DATA_Depts[[#All],[COVID-19 Item List]:[SCL]],MATCH(I$6,DATA_Depts[[#Headers],[COVID-19 Item List]:[SCL]],0),FALSE))</f>
        <v>NR</v>
      </c>
      <c r="J105" s="148" t="str">
        <f>IF(VLOOKUP(_xlfn.CONCAT(I$6,$C105),BurnRate!$G$3:$P$1102,10,FALSE)="NR","NR",IF(I105="NR","NR",I105/(VLOOKUP(_xlfn.CONCAT(I$6,$C105),BurnRate!$G$3:$P$1102,10,FALSE)/90)))</f>
        <v>NR</v>
      </c>
      <c r="K105" s="169" t="str">
        <f>IF(SUM(VLOOKUP($C105,DATA_Depts[[#All],[COVID-19 Item List]:[SCL]],MATCH(K$6,DATA_Depts[[#Headers],[COVID-19 Item List]:[SCL]],0),FALSE)=0),IF(VLOOKUP(_xlfn.CONCAT(K$6,$C105),BurnRate!$G$3:$P$1102,10,FALSE)="NR","NR",0),VLOOKUP($C105,DATA_Depts[[#All],[COVID-19 Item List]:[SCL]],MATCH(K$6,DATA_Depts[[#Headers],[COVID-19 Item List]:[SCL]],0),FALSE))</f>
        <v>NR</v>
      </c>
      <c r="L105" s="148" t="str">
        <f>IF(VLOOKUP(_xlfn.CONCAT(K$6,$C105),BurnRate!$G$3:$P$1102,10,FALSE)="NR","NR",IF(K105="NR","NR",K105/(VLOOKUP(_xlfn.CONCAT(K$6,$C105),BurnRate!$G$3:$P$1102,10,FALSE)/90)))</f>
        <v>NR</v>
      </c>
      <c r="M105" s="169" t="str">
        <f>IF(SUM(VLOOKUP($C105,DATA_Depts[[#All],[COVID-19 Item List]:[SCL]],MATCH(M$6,DATA_Depts[[#Headers],[COVID-19 Item List]:[SCL]],0),FALSE)=0),IF(VLOOKUP(_xlfn.CONCAT(M$6,$C105),BurnRate!$G$3:$P$1102,10,FALSE)="NR","NR",0),VLOOKUP($C105,DATA_Depts[[#All],[COVID-19 Item List]:[SCL]],MATCH(M$6,DATA_Depts[[#Headers],[COVID-19 Item List]:[SCL]],0),FALSE))</f>
        <v>NR</v>
      </c>
      <c r="N105" s="148" t="str">
        <f>IF(VLOOKUP(_xlfn.CONCAT(M$6,$C105),BurnRate!$G$3:$P$1102,10,FALSE)="NR","NR",IF(M105="NR","NR",M105/(VLOOKUP(_xlfn.CONCAT(M$6,$C105),BurnRate!$G$3:$P$1102,10,FALSE)/90)))</f>
        <v>NR</v>
      </c>
      <c r="O105" s="169" t="str">
        <f>IF(SUM(VLOOKUP($C105,DATA_Depts[[#All],[COVID-19 Item List]:[SCL]],MATCH(O$6,DATA_Depts[[#Headers],[COVID-19 Item List]:[SCL]],0),FALSE)=0),IF(VLOOKUP(_xlfn.CONCAT(O$6,$C105),BurnRate!$G$3:$P$1102,10,FALSE)="NR","NR",0),VLOOKUP($C105,DATA_Depts[[#All],[COVID-19 Item List]:[SCL]],MATCH(O$6,DATA_Depts[[#Headers],[COVID-19 Item List]:[SCL]],0),FALSE))</f>
        <v>NR</v>
      </c>
      <c r="P105" s="148" t="str">
        <f>IF(VLOOKUP(_xlfn.CONCAT(O$6,$C105),BurnRate!$G$3:$P$1102,10,FALSE)="NR","NR",IF(O105="NR","NR",O105/(VLOOKUP(_xlfn.CONCAT(O$6,$C105),BurnRate!$G$3:$P$1102,10,FALSE)/90)))</f>
        <v>NR</v>
      </c>
      <c r="Q105" s="169" t="str">
        <f>IF(SUM(VLOOKUP($C105,DATA_Depts[[#All],[COVID-19 Item List]:[SCL]],MATCH(Q$6,DATA_Depts[[#Headers],[COVID-19 Item List]:[SCL]],0),FALSE)=0),IF(VLOOKUP(_xlfn.CONCAT(Q$6,$C105),BurnRate!$G$3:$P$1102,10,FALSE)="NR","NR",0),VLOOKUP($C105,DATA_Depts[[#All],[COVID-19 Item List]:[SCL]],MATCH(Q$6,DATA_Depts[[#Headers],[COVID-19 Item List]:[SCL]],0),FALSE))</f>
        <v>NR</v>
      </c>
      <c r="R105" s="148" t="str">
        <f>IF(VLOOKUP(_xlfn.CONCAT(Q$6,$C105),BurnRate!$G$3:$P$1102,10,FALSE)="NR","NR",IF(Q105="NR","NR",Q105/(VLOOKUP(_xlfn.CONCAT(Q$6,$C105),BurnRate!$G$3:$P$1102,10,FALSE)/90)))</f>
        <v>NR</v>
      </c>
      <c r="S105" s="169" t="str">
        <f>IF(SUM(VLOOKUP($C105,DATA_Depts[[#All],[COVID-19 Item List]:[SCL]],MATCH(S$6,DATA_Depts[[#Headers],[COVID-19 Item List]:[SCL]],0),FALSE)=0),IF(VLOOKUP(_xlfn.CONCAT(S$6,$C105),BurnRate!$G$3:$P$1102,10,FALSE)="NR","NR",0),VLOOKUP($C105,DATA_Depts[[#All],[COVID-19 Item List]:[SCL]],MATCH(S$6,DATA_Depts[[#Headers],[COVID-19 Item List]:[SCL]],0),FALSE))</f>
        <v>NR</v>
      </c>
      <c r="T105" s="148" t="str">
        <f>IF(VLOOKUP(_xlfn.CONCAT(S$6,$C105),BurnRate!$G$3:$P$1102,10,FALSE)="NR","NR",IF(S105="NR","NR",S105/(VLOOKUP(_xlfn.CONCAT(S$6,$C105),BurnRate!$G$3:$P$1102,10,FALSE)/90)))</f>
        <v>NR</v>
      </c>
      <c r="U105" s="169" t="str">
        <f>IF(SUM(VLOOKUP($C105,DATA_Depts[[#All],[COVID-19 Item List]:[SCL]],MATCH(U$6,DATA_Depts[[#Headers],[COVID-19 Item List]:[SCL]],0),FALSE)=0),IF(VLOOKUP(_xlfn.CONCAT(U$6,$C105),BurnRate!$G$3:$P$1102,10,FALSE)="NR","NR",0),VLOOKUP($C105,DATA_Depts[[#All],[COVID-19 Item List]:[SCL]],MATCH(U$6,DATA_Depts[[#Headers],[COVID-19 Item List]:[SCL]],0),FALSE))</f>
        <v>NR</v>
      </c>
      <c r="V105" s="148" t="str">
        <f>IF(VLOOKUP(_xlfn.CONCAT(U$6,$C105),BurnRate!$G$3:$P$1102,10,FALSE)="NR","NR",IF(U105="NR","NR",U105/(VLOOKUP(_xlfn.CONCAT(U$6,$C105),BurnRate!$G$3:$P$1102,10,FALSE)/90)))</f>
        <v>NR</v>
      </c>
      <c r="W105" s="169" t="str">
        <f>IF(SUM(VLOOKUP($C105,DATA_Depts[[#All],[COVID-19 Item List]:[SCL]],MATCH(W$6,DATA_Depts[[#Headers],[COVID-19 Item List]:[SCL]],0),FALSE)=0),IF(VLOOKUP(_xlfn.CONCAT(W$6,$C105),BurnRate!$G$3:$P$1102,10,FALSE)="NR","NR",0),VLOOKUP($C105,DATA_Depts[[#All],[COVID-19 Item List]:[SCL]],MATCH(W$6,DATA_Depts[[#Headers],[COVID-19 Item List]:[SCL]],0),FALSE))</f>
        <v>NR</v>
      </c>
      <c r="X105" s="148" t="str">
        <f>IF(VLOOKUP(_xlfn.CONCAT(W$6,$C105),BurnRate!$G$3:$P$1102,10,FALSE)="NR","NR",IF(W105="NR","NR",W105/(VLOOKUP(_xlfn.CONCAT(W$6,$C105),BurnRate!$G$3:$P$1102,10,FALSE)/90)))</f>
        <v>NR</v>
      </c>
      <c r="Y105" s="169" t="str">
        <f>IF(SUM(VLOOKUP($C105,DATA_Depts[[#All],[COVID-19 Item List]:[SCL]],MATCH(Y$6,DATA_Depts[[#Headers],[COVID-19 Item List]:[SCL]],0),FALSE)=0),IF(VLOOKUP(_xlfn.CONCAT(Y$6,$C105),BurnRate!$G$3:$P$1102,10,FALSE)="NR","NR",0),VLOOKUP($C105,DATA_Depts[[#All],[COVID-19 Item List]:[SCL]],MATCH(Y$6,DATA_Depts[[#Headers],[COVID-19 Item List]:[SCL]],0),FALSE))</f>
        <v>NR</v>
      </c>
      <c r="Z105" s="148" t="str">
        <f>IF(VLOOKUP(_xlfn.CONCAT(Y$6,$C105),BurnRate!$G$3:$P$1102,10,FALSE)="NR","NR",IF(Y105="NR","NR",Y105/(VLOOKUP(_xlfn.CONCAT(Y$6,$C105),BurnRate!$G$3:$P$1102,10,FALSE)/90)))</f>
        <v>NR</v>
      </c>
    </row>
    <row r="106" spans="1:27" s="43" customFormat="1" ht="11" hidden="1">
      <c r="B106" s="46">
        <v>99</v>
      </c>
      <c r="C106" s="47" t="str">
        <f>_xlfn.SINGLE(VLOOKUP(B106,DisplayOrder[#All],2,FALSE))</f>
        <v>Reserved-99</v>
      </c>
      <c r="D106" s="116" t="str">
        <f>_xlfn.SINGLE(VLOOKUP(B106,DisplayOrder!A:C,3,FALSE))</f>
        <v>each</v>
      </c>
      <c r="E106" s="117" t="str">
        <f>IF(VLOOKUP(_xlfn.CONCAT(E$6,$C106),BurnRate!$G$3:$P$1102,10,FALSE)="NR",IF(SUMIF(FAS_Centralized!K:K,C106,FAS_Centralized!N:N)=0,"NR",SUMIF(FAS_Centralized!K:K,C106,FAS_Centralized!N:N)),SUMIF(FAS_Centralized!K:K,C106,FAS_Centralized!N:N))</f>
        <v>NR</v>
      </c>
      <c r="F106" s="148" t="str">
        <f>IF(VLOOKUP(_xlfn.CONCAT(E$6,$C106),BurnRate!$G$3:$P$1102,10,FALSE)="NR","NR",IF(E106="NR","NR",E106/(VLOOKUP(_xlfn.CONCAT(E$6,$C106),BurnRate!$G$3:$P$1102,10,FALSE)/90)))</f>
        <v>NR</v>
      </c>
      <c r="G106" s="169" t="str">
        <f>IF(SUM(VLOOKUP($C106,DATA_Depts[[#All],[COVID-19 Item List]:[SCL]],MATCH(G$6,DATA_Depts[[#Headers],[COVID-19 Item List]:[SCL]],0),FALSE)=0),IF(VLOOKUP(_xlfn.CONCAT(G$6,$C106),BurnRate!$G$3:$P$1102,10,FALSE)="NR","NR",0),VLOOKUP($C106,DATA_Depts[[#All],[COVID-19 Item List]:[SCL]],MATCH(G$6,DATA_Depts[[#Headers],[COVID-19 Item List]:[SCL]],0),FALSE))</f>
        <v>NR</v>
      </c>
      <c r="H106" s="148" t="str">
        <f>IF(VLOOKUP(_xlfn.CONCAT(G$6,$C106),BurnRate!$G$3:$P$1102,10,FALSE)="NR","NR",IF(G106="NR","NR",G106/(VLOOKUP(_xlfn.CONCAT(G$6,$C106),BurnRate!$G$3:$P$1102,10,FALSE)/90)))</f>
        <v>NR</v>
      </c>
      <c r="I106" s="169" t="str">
        <f>IF(SUM(VLOOKUP($C106,DATA_Depts[[#All],[COVID-19 Item List]:[SCL]],MATCH(I$6,DATA_Depts[[#Headers],[COVID-19 Item List]:[SCL]],0),FALSE)=0),IF(VLOOKUP(_xlfn.CONCAT(I$6,$C106),BurnRate!$G$3:$P$1102,10,FALSE)="NR","NR",0),VLOOKUP($C106,DATA_Depts[[#All],[COVID-19 Item List]:[SCL]],MATCH(I$6,DATA_Depts[[#Headers],[COVID-19 Item List]:[SCL]],0),FALSE))</f>
        <v>NR</v>
      </c>
      <c r="J106" s="148" t="str">
        <f>IF(VLOOKUP(_xlfn.CONCAT(I$6,$C106),BurnRate!$G$3:$P$1102,10,FALSE)="NR","NR",IF(I106="NR","NR",I106/(VLOOKUP(_xlfn.CONCAT(I$6,$C106),BurnRate!$G$3:$P$1102,10,FALSE)/90)))</f>
        <v>NR</v>
      </c>
      <c r="K106" s="169" t="str">
        <f>IF(SUM(VLOOKUP($C106,DATA_Depts[[#All],[COVID-19 Item List]:[SCL]],MATCH(K$6,DATA_Depts[[#Headers],[COVID-19 Item List]:[SCL]],0),FALSE)=0),IF(VLOOKUP(_xlfn.CONCAT(K$6,$C106),BurnRate!$G$3:$P$1102,10,FALSE)="NR","NR",0),VLOOKUP($C106,DATA_Depts[[#All],[COVID-19 Item List]:[SCL]],MATCH(K$6,DATA_Depts[[#Headers],[COVID-19 Item List]:[SCL]],0),FALSE))</f>
        <v>NR</v>
      </c>
      <c r="L106" s="148" t="str">
        <f>IF(VLOOKUP(_xlfn.CONCAT(K$6,$C106),BurnRate!$G$3:$P$1102,10,FALSE)="NR","NR",IF(K106="NR","NR",K106/(VLOOKUP(_xlfn.CONCAT(K$6,$C106),BurnRate!$G$3:$P$1102,10,FALSE)/90)))</f>
        <v>NR</v>
      </c>
      <c r="M106" s="169" t="str">
        <f>IF(SUM(VLOOKUP($C106,DATA_Depts[[#All],[COVID-19 Item List]:[SCL]],MATCH(M$6,DATA_Depts[[#Headers],[COVID-19 Item List]:[SCL]],0),FALSE)=0),IF(VLOOKUP(_xlfn.CONCAT(M$6,$C106),BurnRate!$G$3:$P$1102,10,FALSE)="NR","NR",0),VLOOKUP($C106,DATA_Depts[[#All],[COVID-19 Item List]:[SCL]],MATCH(M$6,DATA_Depts[[#Headers],[COVID-19 Item List]:[SCL]],0),FALSE))</f>
        <v>NR</v>
      </c>
      <c r="N106" s="148" t="str">
        <f>IF(VLOOKUP(_xlfn.CONCAT(M$6,$C106),BurnRate!$G$3:$P$1102,10,FALSE)="NR","NR",IF(M106="NR","NR",M106/(VLOOKUP(_xlfn.CONCAT(M$6,$C106),BurnRate!$G$3:$P$1102,10,FALSE)/90)))</f>
        <v>NR</v>
      </c>
      <c r="O106" s="169" t="str">
        <f>IF(SUM(VLOOKUP($C106,DATA_Depts[[#All],[COVID-19 Item List]:[SCL]],MATCH(O$6,DATA_Depts[[#Headers],[COVID-19 Item List]:[SCL]],0),FALSE)=0),IF(VLOOKUP(_xlfn.CONCAT(O$6,$C106),BurnRate!$G$3:$P$1102,10,FALSE)="NR","NR",0),VLOOKUP($C106,DATA_Depts[[#All],[COVID-19 Item List]:[SCL]],MATCH(O$6,DATA_Depts[[#Headers],[COVID-19 Item List]:[SCL]],0),FALSE))</f>
        <v>NR</v>
      </c>
      <c r="P106" s="148" t="str">
        <f>IF(VLOOKUP(_xlfn.CONCAT(O$6,$C106),BurnRate!$G$3:$P$1102,10,FALSE)="NR","NR",IF(O106="NR","NR",O106/(VLOOKUP(_xlfn.CONCAT(O$6,$C106),BurnRate!$G$3:$P$1102,10,FALSE)/90)))</f>
        <v>NR</v>
      </c>
      <c r="Q106" s="169" t="str">
        <f>IF(SUM(VLOOKUP($C106,DATA_Depts[[#All],[COVID-19 Item List]:[SCL]],MATCH(Q$6,DATA_Depts[[#Headers],[COVID-19 Item List]:[SCL]],0),FALSE)=0),IF(VLOOKUP(_xlfn.CONCAT(Q$6,$C106),BurnRate!$G$3:$P$1102,10,FALSE)="NR","NR",0),VLOOKUP($C106,DATA_Depts[[#All],[COVID-19 Item List]:[SCL]],MATCH(Q$6,DATA_Depts[[#Headers],[COVID-19 Item List]:[SCL]],0),FALSE))</f>
        <v>NR</v>
      </c>
      <c r="R106" s="148" t="str">
        <f>IF(VLOOKUP(_xlfn.CONCAT(Q$6,$C106),BurnRate!$G$3:$P$1102,10,FALSE)="NR","NR",IF(Q106="NR","NR",Q106/(VLOOKUP(_xlfn.CONCAT(Q$6,$C106),BurnRate!$G$3:$P$1102,10,FALSE)/90)))</f>
        <v>NR</v>
      </c>
      <c r="S106" s="169" t="str">
        <f>IF(SUM(VLOOKUP($C106,DATA_Depts[[#All],[COVID-19 Item List]:[SCL]],MATCH(S$6,DATA_Depts[[#Headers],[COVID-19 Item List]:[SCL]],0),FALSE)=0),IF(VLOOKUP(_xlfn.CONCAT(S$6,$C106),BurnRate!$G$3:$P$1102,10,FALSE)="NR","NR",0),VLOOKUP($C106,DATA_Depts[[#All],[COVID-19 Item List]:[SCL]],MATCH(S$6,DATA_Depts[[#Headers],[COVID-19 Item List]:[SCL]],0),FALSE))</f>
        <v>NR</v>
      </c>
      <c r="T106" s="148" t="str">
        <f>IF(VLOOKUP(_xlfn.CONCAT(S$6,$C106),BurnRate!$G$3:$P$1102,10,FALSE)="NR","NR",IF(S106="NR","NR",S106/(VLOOKUP(_xlfn.CONCAT(S$6,$C106),BurnRate!$G$3:$P$1102,10,FALSE)/90)))</f>
        <v>NR</v>
      </c>
      <c r="U106" s="169" t="str">
        <f>IF(SUM(VLOOKUP($C106,DATA_Depts[[#All],[COVID-19 Item List]:[SCL]],MATCH(U$6,DATA_Depts[[#Headers],[COVID-19 Item List]:[SCL]],0),FALSE)=0),IF(VLOOKUP(_xlfn.CONCAT(U$6,$C106),BurnRate!$G$3:$P$1102,10,FALSE)="NR","NR",0),VLOOKUP($C106,DATA_Depts[[#All],[COVID-19 Item List]:[SCL]],MATCH(U$6,DATA_Depts[[#Headers],[COVID-19 Item List]:[SCL]],0),FALSE))</f>
        <v>NR</v>
      </c>
      <c r="V106" s="148" t="str">
        <f>IF(VLOOKUP(_xlfn.CONCAT(U$6,$C106),BurnRate!$G$3:$P$1102,10,FALSE)="NR","NR",IF(U106="NR","NR",U106/(VLOOKUP(_xlfn.CONCAT(U$6,$C106),BurnRate!$G$3:$P$1102,10,FALSE)/90)))</f>
        <v>NR</v>
      </c>
      <c r="W106" s="169" t="str">
        <f>IF(SUM(VLOOKUP($C106,DATA_Depts[[#All],[COVID-19 Item List]:[SCL]],MATCH(W$6,DATA_Depts[[#Headers],[COVID-19 Item List]:[SCL]],0),FALSE)=0),IF(VLOOKUP(_xlfn.CONCAT(W$6,$C106),BurnRate!$G$3:$P$1102,10,FALSE)="NR","NR",0),VLOOKUP($C106,DATA_Depts[[#All],[COVID-19 Item List]:[SCL]],MATCH(W$6,DATA_Depts[[#Headers],[COVID-19 Item List]:[SCL]],0),FALSE))</f>
        <v>NR</v>
      </c>
      <c r="X106" s="148" t="str">
        <f>IF(VLOOKUP(_xlfn.CONCAT(W$6,$C106),BurnRate!$G$3:$P$1102,10,FALSE)="NR","NR",IF(W106="NR","NR",W106/(VLOOKUP(_xlfn.CONCAT(W$6,$C106),BurnRate!$G$3:$P$1102,10,FALSE)/90)))</f>
        <v>NR</v>
      </c>
      <c r="Y106" s="169" t="str">
        <f>IF(SUM(VLOOKUP($C106,DATA_Depts[[#All],[COVID-19 Item List]:[SCL]],MATCH(Y$6,DATA_Depts[[#Headers],[COVID-19 Item List]:[SCL]],0),FALSE)=0),IF(VLOOKUP(_xlfn.CONCAT(Y$6,$C106),BurnRate!$G$3:$P$1102,10,FALSE)="NR","NR",0),VLOOKUP($C106,DATA_Depts[[#All],[COVID-19 Item List]:[SCL]],MATCH(Y$6,DATA_Depts[[#Headers],[COVID-19 Item List]:[SCL]],0),FALSE))</f>
        <v>NR</v>
      </c>
      <c r="Z106" s="148" t="str">
        <f>IF(VLOOKUP(_xlfn.CONCAT(Y$6,$C106),BurnRate!$G$3:$P$1102,10,FALSE)="NR","NR",IF(Y106="NR","NR",Y106/(VLOOKUP(_xlfn.CONCAT(Y$6,$C106),BurnRate!$G$3:$P$1102,10,FALSE)/90)))</f>
        <v>NR</v>
      </c>
    </row>
    <row r="107" spans="1:27" s="43" customFormat="1" ht="11" hidden="1">
      <c r="B107" s="46">
        <v>100</v>
      </c>
      <c r="C107" s="47" t="str">
        <f>_xlfn.SINGLE(VLOOKUP(B107,DisplayOrder[#All],2,FALSE))</f>
        <v>Reserved-100</v>
      </c>
      <c r="D107" s="116" t="str">
        <f>_xlfn.SINGLE(VLOOKUP(B107,DisplayOrder!A:C,3,FALSE))</f>
        <v>each</v>
      </c>
      <c r="E107" s="117" t="str">
        <f>IF(VLOOKUP(_xlfn.CONCAT(E$6,$C107),BurnRate!$G$3:$P$1102,10,FALSE)="NR",IF(SUMIF(FAS_Centralized!K:K,C107,FAS_Centralized!N:N)=0,"NR",SUMIF(FAS_Centralized!K:K,C107,FAS_Centralized!N:N)),SUMIF(FAS_Centralized!K:K,C107,FAS_Centralized!N:N))</f>
        <v>NR</v>
      </c>
      <c r="F107" s="148" t="str">
        <f>IF(VLOOKUP(_xlfn.CONCAT(E$6,$C107),BurnRate!$G$3:$P$1102,10,FALSE)="NR","NR",IF(E107="NR","NR",E107/(VLOOKUP(_xlfn.CONCAT(E$6,$C107),BurnRate!$G$3:$P$1102,10,FALSE)/90)))</f>
        <v>NR</v>
      </c>
      <c r="G107" s="169" t="str">
        <f>IF(SUM(VLOOKUP($C107,DATA_Depts[[#All],[COVID-19 Item List]:[SCL]],MATCH(G$6,DATA_Depts[[#Headers],[COVID-19 Item List]:[SCL]],0),FALSE)=0),IF(VLOOKUP(_xlfn.CONCAT(G$6,$C107),BurnRate!$G$3:$P$1102,10,FALSE)="NR","NR",0),VLOOKUP($C107,DATA_Depts[[#All],[COVID-19 Item List]:[SCL]],MATCH(G$6,DATA_Depts[[#Headers],[COVID-19 Item List]:[SCL]],0),FALSE))</f>
        <v>NR</v>
      </c>
      <c r="H107" s="148" t="str">
        <f>IF(VLOOKUP(_xlfn.CONCAT(G$6,$C107),BurnRate!$G$3:$P$1102,10,FALSE)="NR","NR",IF(G107="NR","NR",G107/(VLOOKUP(_xlfn.CONCAT(G$6,$C107),BurnRate!$G$3:$P$1102,10,FALSE)/90)))</f>
        <v>NR</v>
      </c>
      <c r="I107" s="169" t="str">
        <f>IF(SUM(VLOOKUP($C107,DATA_Depts[[#All],[COVID-19 Item List]:[SCL]],MATCH(I$6,DATA_Depts[[#Headers],[COVID-19 Item List]:[SCL]],0),FALSE)=0),IF(VLOOKUP(_xlfn.CONCAT(I$6,$C107),BurnRate!$G$3:$P$1102,10,FALSE)="NR","NR",0),VLOOKUP($C107,DATA_Depts[[#All],[COVID-19 Item List]:[SCL]],MATCH(I$6,DATA_Depts[[#Headers],[COVID-19 Item List]:[SCL]],0),FALSE))</f>
        <v>NR</v>
      </c>
      <c r="J107" s="148" t="str">
        <f>IF(VLOOKUP(_xlfn.CONCAT(I$6,$C107),BurnRate!$G$3:$P$1102,10,FALSE)="NR","NR",IF(I107="NR","NR",I107/(VLOOKUP(_xlfn.CONCAT(I$6,$C107),BurnRate!$G$3:$P$1102,10,FALSE)/90)))</f>
        <v>NR</v>
      </c>
      <c r="K107" s="169" t="str">
        <f>IF(SUM(VLOOKUP($C107,DATA_Depts[[#All],[COVID-19 Item List]:[SCL]],MATCH(K$6,DATA_Depts[[#Headers],[COVID-19 Item List]:[SCL]],0),FALSE)=0),IF(VLOOKUP(_xlfn.CONCAT(K$6,$C107),BurnRate!$G$3:$P$1102,10,FALSE)="NR","NR",0),VLOOKUP($C107,DATA_Depts[[#All],[COVID-19 Item List]:[SCL]],MATCH(K$6,DATA_Depts[[#Headers],[COVID-19 Item List]:[SCL]],0),FALSE))</f>
        <v>NR</v>
      </c>
      <c r="L107" s="148" t="str">
        <f>IF(VLOOKUP(_xlfn.CONCAT(K$6,$C107),BurnRate!$G$3:$P$1102,10,FALSE)="NR","NR",IF(K107="NR","NR",K107/(VLOOKUP(_xlfn.CONCAT(K$6,$C107),BurnRate!$G$3:$P$1102,10,FALSE)/90)))</f>
        <v>NR</v>
      </c>
      <c r="M107" s="169" t="str">
        <f>IF(SUM(VLOOKUP($C107,DATA_Depts[[#All],[COVID-19 Item List]:[SCL]],MATCH(M$6,DATA_Depts[[#Headers],[COVID-19 Item List]:[SCL]],0),FALSE)=0),IF(VLOOKUP(_xlfn.CONCAT(M$6,$C107),BurnRate!$G$3:$P$1102,10,FALSE)="NR","NR",0),VLOOKUP($C107,DATA_Depts[[#All],[COVID-19 Item List]:[SCL]],MATCH(M$6,DATA_Depts[[#Headers],[COVID-19 Item List]:[SCL]],0),FALSE))</f>
        <v>NR</v>
      </c>
      <c r="N107" s="148" t="str">
        <f>IF(VLOOKUP(_xlfn.CONCAT(M$6,$C107),BurnRate!$G$3:$P$1102,10,FALSE)="NR","NR",IF(M107="NR","NR",M107/(VLOOKUP(_xlfn.CONCAT(M$6,$C107),BurnRate!$G$3:$P$1102,10,FALSE)/90)))</f>
        <v>NR</v>
      </c>
      <c r="O107" s="169" t="str">
        <f>IF(SUM(VLOOKUP($C107,DATA_Depts[[#All],[COVID-19 Item List]:[SCL]],MATCH(O$6,DATA_Depts[[#Headers],[COVID-19 Item List]:[SCL]],0),FALSE)=0),IF(VLOOKUP(_xlfn.CONCAT(O$6,$C107),BurnRate!$G$3:$P$1102,10,FALSE)="NR","NR",0),VLOOKUP($C107,DATA_Depts[[#All],[COVID-19 Item List]:[SCL]],MATCH(O$6,DATA_Depts[[#Headers],[COVID-19 Item List]:[SCL]],0),FALSE))</f>
        <v>NR</v>
      </c>
      <c r="P107" s="148" t="str">
        <f>IF(VLOOKUP(_xlfn.CONCAT(O$6,$C107),BurnRate!$G$3:$P$1102,10,FALSE)="NR","NR",IF(O107="NR","NR",O107/(VLOOKUP(_xlfn.CONCAT(O$6,$C107),BurnRate!$G$3:$P$1102,10,FALSE)/90)))</f>
        <v>NR</v>
      </c>
      <c r="Q107" s="169" t="str">
        <f>IF(SUM(VLOOKUP($C107,DATA_Depts[[#All],[COVID-19 Item List]:[SCL]],MATCH(Q$6,DATA_Depts[[#Headers],[COVID-19 Item List]:[SCL]],0),FALSE)=0),IF(VLOOKUP(_xlfn.CONCAT(Q$6,$C107),BurnRate!$G$3:$P$1102,10,FALSE)="NR","NR",0),VLOOKUP($C107,DATA_Depts[[#All],[COVID-19 Item List]:[SCL]],MATCH(Q$6,DATA_Depts[[#Headers],[COVID-19 Item List]:[SCL]],0),FALSE))</f>
        <v>NR</v>
      </c>
      <c r="R107" s="148" t="str">
        <f>IF(VLOOKUP(_xlfn.CONCAT(Q$6,$C107),BurnRate!$G$3:$P$1102,10,FALSE)="NR","NR",IF(Q107="NR","NR",Q107/(VLOOKUP(_xlfn.CONCAT(Q$6,$C107),BurnRate!$G$3:$P$1102,10,FALSE)/90)))</f>
        <v>NR</v>
      </c>
      <c r="S107" s="169" t="str">
        <f>IF(SUM(VLOOKUP($C107,DATA_Depts[[#All],[COVID-19 Item List]:[SCL]],MATCH(S$6,DATA_Depts[[#Headers],[COVID-19 Item List]:[SCL]],0),FALSE)=0),IF(VLOOKUP(_xlfn.CONCAT(S$6,$C107),BurnRate!$G$3:$P$1102,10,FALSE)="NR","NR",0),VLOOKUP($C107,DATA_Depts[[#All],[COVID-19 Item List]:[SCL]],MATCH(S$6,DATA_Depts[[#Headers],[COVID-19 Item List]:[SCL]],0),FALSE))</f>
        <v>NR</v>
      </c>
      <c r="T107" s="148" t="str">
        <f>IF(VLOOKUP(_xlfn.CONCAT(S$6,$C107),BurnRate!$G$3:$P$1102,10,FALSE)="NR","NR",IF(S107="NR","NR",S107/(VLOOKUP(_xlfn.CONCAT(S$6,$C107),BurnRate!$G$3:$P$1102,10,FALSE)/90)))</f>
        <v>NR</v>
      </c>
      <c r="U107" s="169" t="str">
        <f>IF(SUM(VLOOKUP($C107,DATA_Depts[[#All],[COVID-19 Item List]:[SCL]],MATCH(U$6,DATA_Depts[[#Headers],[COVID-19 Item List]:[SCL]],0),FALSE)=0),IF(VLOOKUP(_xlfn.CONCAT(U$6,$C107),BurnRate!$G$3:$P$1102,10,FALSE)="NR","NR",0),VLOOKUP($C107,DATA_Depts[[#All],[COVID-19 Item List]:[SCL]],MATCH(U$6,DATA_Depts[[#Headers],[COVID-19 Item List]:[SCL]],0),FALSE))</f>
        <v>NR</v>
      </c>
      <c r="V107" s="148" t="str">
        <f>IF(VLOOKUP(_xlfn.CONCAT(U$6,$C107),BurnRate!$G$3:$P$1102,10,FALSE)="NR","NR",IF(U107="NR","NR",U107/(VLOOKUP(_xlfn.CONCAT(U$6,$C107),BurnRate!$G$3:$P$1102,10,FALSE)/90)))</f>
        <v>NR</v>
      </c>
      <c r="W107" s="169" t="str">
        <f>IF(SUM(VLOOKUP($C107,DATA_Depts[[#All],[COVID-19 Item List]:[SCL]],MATCH(W$6,DATA_Depts[[#Headers],[COVID-19 Item List]:[SCL]],0),FALSE)=0),IF(VLOOKUP(_xlfn.CONCAT(W$6,$C107),BurnRate!$G$3:$P$1102,10,FALSE)="NR","NR",0),VLOOKUP($C107,DATA_Depts[[#All],[COVID-19 Item List]:[SCL]],MATCH(W$6,DATA_Depts[[#Headers],[COVID-19 Item List]:[SCL]],0),FALSE))</f>
        <v>NR</v>
      </c>
      <c r="X107" s="148" t="str">
        <f>IF(VLOOKUP(_xlfn.CONCAT(W$6,$C107),BurnRate!$G$3:$P$1102,10,FALSE)="NR","NR",IF(W107="NR","NR",W107/(VLOOKUP(_xlfn.CONCAT(W$6,$C107),BurnRate!$G$3:$P$1102,10,FALSE)/90)))</f>
        <v>NR</v>
      </c>
      <c r="Y107" s="169" t="str">
        <f>IF(SUM(VLOOKUP($C107,DATA_Depts[[#All],[COVID-19 Item List]:[SCL]],MATCH(Y$6,DATA_Depts[[#Headers],[COVID-19 Item List]:[SCL]],0),FALSE)=0),IF(VLOOKUP(_xlfn.CONCAT(Y$6,$C107),BurnRate!$G$3:$P$1102,10,FALSE)="NR","NR",0),VLOOKUP($C107,DATA_Depts[[#All],[COVID-19 Item List]:[SCL]],MATCH(Y$6,DATA_Depts[[#Headers],[COVID-19 Item List]:[SCL]],0),FALSE))</f>
        <v>NR</v>
      </c>
      <c r="Z107" s="148" t="str">
        <f>IF(VLOOKUP(_xlfn.CONCAT(Y$6,$C107),BurnRate!$G$3:$P$1102,10,FALSE)="NR","NR",IF(Y107="NR","NR",Y107/(VLOOKUP(_xlfn.CONCAT(Y$6,$C107),BurnRate!$G$3:$P$1102,10,FALSE)/90)))</f>
        <v>NR</v>
      </c>
    </row>
    <row r="108" spans="1:27" s="43" customFormat="1" ht="6" customHeight="1">
      <c r="C108" s="26"/>
      <c r="D108" s="48"/>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row>
    <row r="109" spans="1:27" s="43" customFormat="1" ht="3" customHeight="1">
      <c r="A109" s="162"/>
      <c r="B109" s="161"/>
      <c r="C109" s="162"/>
      <c r="D109" s="161"/>
      <c r="E109" s="161"/>
      <c r="F109" s="161"/>
      <c r="G109" s="161"/>
      <c r="H109" s="163"/>
      <c r="I109" s="161"/>
      <c r="J109" s="163"/>
      <c r="K109" s="161"/>
      <c r="L109" s="163"/>
      <c r="M109" s="161"/>
      <c r="N109" s="163"/>
      <c r="O109" s="161"/>
      <c r="P109" s="163"/>
      <c r="Q109" s="163"/>
      <c r="R109" s="163"/>
      <c r="S109" s="163"/>
      <c r="T109" s="163"/>
      <c r="U109" s="163"/>
      <c r="V109" s="163"/>
      <c r="W109" s="163"/>
      <c r="X109" s="163"/>
      <c r="Y109" s="163"/>
    </row>
    <row r="110" spans="1:27" s="43" customFormat="1" ht="2.25" customHeight="1">
      <c r="C110" s="26"/>
      <c r="D110" s="27"/>
      <c r="E110" s="26"/>
      <c r="F110" s="48"/>
      <c r="G110" s="48"/>
      <c r="H110" s="52"/>
      <c r="I110" s="48"/>
      <c r="J110" s="52"/>
      <c r="K110" s="48"/>
      <c r="L110" s="52"/>
      <c r="M110" s="48"/>
      <c r="N110" s="52"/>
      <c r="O110" s="48"/>
      <c r="P110" s="52"/>
      <c r="Q110" s="52"/>
      <c r="R110" s="52"/>
      <c r="S110" s="52"/>
      <c r="T110" s="52"/>
      <c r="U110" s="52"/>
      <c r="V110" s="52"/>
      <c r="W110" s="52"/>
      <c r="X110" s="52"/>
      <c r="Y110" s="52"/>
    </row>
    <row r="111" spans="1:27" s="42" customFormat="1" ht="16">
      <c r="B111" s="49" t="s">
        <v>39</v>
      </c>
      <c r="I111" s="49" t="s">
        <v>40</v>
      </c>
    </row>
    <row r="112" spans="1:27" s="43" customFormat="1" ht="15" customHeight="1">
      <c r="B112" s="78" t="s">
        <v>41</v>
      </c>
      <c r="C112" s="78" t="s">
        <v>21</v>
      </c>
      <c r="D112" s="45" t="s">
        <v>22</v>
      </c>
      <c r="E112" s="45" t="s">
        <v>42</v>
      </c>
      <c r="F112" s="440" t="s">
        <v>43</v>
      </c>
      <c r="G112" s="441"/>
    </row>
    <row r="113" spans="1:28" s="43" customFormat="1" ht="11">
      <c r="A113" s="420" t="s">
        <v>36</v>
      </c>
      <c r="B113" s="46">
        <v>1</v>
      </c>
      <c r="C113" s="47" t="str">
        <f>_xlfn.SINGLE(VLOOKUP(B113,DisplayOrder[#All],2))</f>
        <v>Masks (N95)</v>
      </c>
      <c r="D113" s="116" t="str">
        <f>_xlfn.SINGLE(VLOOKUP(B113,DisplayOrder!A:C,3,FALSE))</f>
        <v>each</v>
      </c>
      <c r="E113" s="50">
        <f>SUMIF(DATA_Orders!$AH$2:$AH$341,C113,DATA_Orders!$AJ$2:$AJ$341)</f>
        <v>1180960</v>
      </c>
      <c r="F113" s="442" t="e">
        <f ca="1">_xlfn.SINGLE(IF(E113=0,"N/A",VLOOKUP(C113,Pivot_OutstandingOrders!$A$4:$D$30,4,FALSE)))</f>
        <v>#NAME?</v>
      </c>
      <c r="G113" s="443"/>
    </row>
    <row r="114" spans="1:28" s="43" customFormat="1" ht="11">
      <c r="A114" s="421"/>
      <c r="B114" s="46">
        <v>2</v>
      </c>
      <c r="C114" s="47" t="str">
        <f>_xlfn.SINGLE(VLOOKUP(B114,DisplayOrder[#All],2))</f>
        <v>Masks (Surgical)</v>
      </c>
      <c r="D114" s="116" t="str">
        <f>_xlfn.SINGLE(VLOOKUP(B114,DisplayOrder!A:C,3,FALSE))</f>
        <v>each</v>
      </c>
      <c r="E114" s="50">
        <f>SUMIF(DATA_Orders!$AH$2:$AH$341,C114,DATA_Orders!$AJ$2:$AJ$341)</f>
        <v>1244800</v>
      </c>
      <c r="F114" s="442" t="e">
        <f ca="1">_xlfn.SINGLE(IF(E114=0,"N/A",VLOOKUP(C114,Pivot_OutstandingOrders!$A$4:$D$30,4,FALSE)))</f>
        <v>#NAME?</v>
      </c>
      <c r="G114" s="443"/>
    </row>
    <row r="115" spans="1:28" s="43" customFormat="1" ht="11">
      <c r="A115" s="421"/>
      <c r="B115" s="46">
        <v>3</v>
      </c>
      <c r="C115" s="47" t="str">
        <f>_xlfn.SINGLE(VLOOKUP(B115,DisplayOrder[#All],2))</f>
        <v>Masks (Cloth)</v>
      </c>
      <c r="D115" s="116" t="str">
        <f>_xlfn.SINGLE(VLOOKUP(B115,DisplayOrder!A:C,3,FALSE))</f>
        <v>each</v>
      </c>
      <c r="E115" s="50">
        <f>SUMIF(DATA_Orders!$AH$2:$AH$341,C115,DATA_Orders!$AJ$2:$AJ$341)</f>
        <v>182000</v>
      </c>
      <c r="F115" s="442" t="e">
        <f ca="1">_xlfn.SINGLE(IF(E115=0,"N/A",VLOOKUP(C115,Pivot_OutstandingOrders!$A$4:$D$30,4,FALSE)))</f>
        <v>#NAME?</v>
      </c>
      <c r="G115" s="443"/>
    </row>
    <row r="116" spans="1:28" s="43" customFormat="1" ht="11">
      <c r="A116" s="421"/>
      <c r="B116" s="46">
        <v>4</v>
      </c>
      <c r="C116" s="47" t="str">
        <f>_xlfn.SINGLE(VLOOKUP(B116,DisplayOrder[#All],2))</f>
        <v>Nitrile Gloves (Public Safety)</v>
      </c>
      <c r="D116" s="116" t="str">
        <f>_xlfn.SINGLE(VLOOKUP(B116,DisplayOrder!A:C,3,FALSE))</f>
        <v>pair</v>
      </c>
      <c r="E116" s="50">
        <f>SUMIF(DATA_Orders!$AH$2:$AH$341,C116,DATA_Orders!$AJ$2:$AJ$341)</f>
        <v>3500000</v>
      </c>
      <c r="F116" s="442" t="e">
        <f ca="1">_xlfn.SINGLE(IF(E116=0,"N/A",VLOOKUP(C116,Pivot_OutstandingOrders!$A$4:$D$30,4,FALSE)))</f>
        <v>#NAME?</v>
      </c>
      <c r="G116" s="443"/>
    </row>
    <row r="117" spans="1:28" s="43" customFormat="1" ht="11">
      <c r="A117" s="421"/>
      <c r="B117" s="46">
        <v>5</v>
      </c>
      <c r="C117" s="47" t="str">
        <f>_xlfn.SINGLE(VLOOKUP(B117,DisplayOrder[#All],2))</f>
        <v>Nitrile Gloves (General Use)</v>
      </c>
      <c r="D117" s="116" t="str">
        <f>_xlfn.SINGLE(VLOOKUP(B117,DisplayOrder!A:C,3,FALSE))</f>
        <v>pair</v>
      </c>
      <c r="E117" s="50">
        <f>SUMIF(DATA_Orders!$AH$2:$AH$341,C117,DATA_Orders!$AJ$2:$AJ$341)</f>
        <v>100</v>
      </c>
      <c r="F117" s="442" t="e">
        <f ca="1">_xlfn.SINGLE(IF(E117=0,"N/A",VLOOKUP(C117,Pivot_OutstandingOrders!$A$4:$D$30,4,FALSE)))</f>
        <v>#NAME?</v>
      </c>
      <c r="G117" s="443"/>
    </row>
    <row r="118" spans="1:28" s="43" customFormat="1" ht="11">
      <c r="A118" s="421"/>
      <c r="B118" s="46">
        <v>6</v>
      </c>
      <c r="C118" s="47" t="str">
        <f>_xlfn.SINGLE(VLOOKUP(B118,DisplayOrder[#All],2))</f>
        <v>Surgical Gowns</v>
      </c>
      <c r="D118" s="116" t="str">
        <f>_xlfn.SINGLE(VLOOKUP(B118,DisplayOrder!A:C,3,FALSE))</f>
        <v>each</v>
      </c>
      <c r="E118" s="50">
        <f>SUMIF(DATA_Orders!$AH$2:$AH$341,C118,DATA_Orders!$AJ$2:$AJ$341)</f>
        <v>398495</v>
      </c>
      <c r="F118" s="442" t="e">
        <f ca="1">_xlfn.SINGLE(IF(E118=0,"N/A",VLOOKUP(C118,Pivot_OutstandingOrders!$A$4:$D$30,4,FALSE)))</f>
        <v>#NAME?</v>
      </c>
      <c r="G118" s="443"/>
    </row>
    <row r="119" spans="1:28" s="43" customFormat="1" ht="11">
      <c r="A119" s="421"/>
      <c r="B119" s="46">
        <v>7</v>
      </c>
      <c r="C119" s="47" t="str">
        <f>_xlfn.SINGLE(VLOOKUP(B119,DisplayOrder[#All],2))</f>
        <v>Tyvek Suits</v>
      </c>
      <c r="D119" s="116" t="str">
        <f>_xlfn.SINGLE(VLOOKUP(B119,DisplayOrder!A:C,3,FALSE))</f>
        <v>each</v>
      </c>
      <c r="E119" s="50">
        <f>SUMIF(DATA_Orders!$AH$2:$AH$341,C119,DATA_Orders!$AJ$2:$AJ$341)</f>
        <v>1100</v>
      </c>
      <c r="F119" s="442" t="e">
        <f ca="1">_xlfn.SINGLE(IF(E119=0,"N/A",VLOOKUP(C119,Pivot_OutstandingOrders!$A$4:$D$30,4,FALSE)))</f>
        <v>#NAME?</v>
      </c>
      <c r="G119" s="443"/>
    </row>
    <row r="120" spans="1:28" s="43" customFormat="1" ht="11">
      <c r="A120" s="421"/>
      <c r="B120" s="46">
        <v>8</v>
      </c>
      <c r="C120" s="47" t="str">
        <f>_xlfn.SINGLE(VLOOKUP(B120,DisplayOrder[#All],2))</f>
        <v>Tyvek Suits w/hoods</v>
      </c>
      <c r="D120" s="116" t="str">
        <f>_xlfn.SINGLE(VLOOKUP(B120,DisplayOrder!A:C,3,FALSE))</f>
        <v>each</v>
      </c>
      <c r="E120" s="50">
        <f>SUMIF(DATA_Orders!$AH$2:$AH$341,C120,DATA_Orders!$AJ$2:$AJ$341)</f>
        <v>0</v>
      </c>
      <c r="F120" s="442" t="e">
        <f ca="1">_xlfn.SINGLE(IF(E120=0,"N/A",VLOOKUP(C120,Pivot_OutstandingOrders!$A$4:$D$30,4,FALSE)))</f>
        <v>#NAME?</v>
      </c>
      <c r="G120" s="443"/>
      <c r="AB120" s="25"/>
    </row>
    <row r="121" spans="1:28" s="43" customFormat="1" ht="11">
      <c r="A121" s="421"/>
      <c r="B121" s="46">
        <v>9</v>
      </c>
      <c r="C121" s="47" t="str">
        <f>_xlfn.SINGLE(VLOOKUP(B121,DisplayOrder[#All],2))</f>
        <v>Face Shields</v>
      </c>
      <c r="D121" s="116" t="str">
        <f>_xlfn.SINGLE(VLOOKUP(B121,DisplayOrder!A:C,3,FALSE))</f>
        <v>each</v>
      </c>
      <c r="E121" s="50">
        <f>SUMIF(DATA_Orders!$AH$2:$AH$341,C121,DATA_Orders!$AJ$2:$AJ$341)</f>
        <v>0</v>
      </c>
      <c r="F121" s="442" t="e">
        <f ca="1">_xlfn.SINGLE(IF(E121=0,"N/A",VLOOKUP(C121,Pivot_OutstandingOrders!$A$4:$D$30,4,FALSE)))</f>
        <v>#NAME?</v>
      </c>
      <c r="G121" s="443"/>
    </row>
    <row r="122" spans="1:28" s="43" customFormat="1" ht="11">
      <c r="A122" s="422"/>
      <c r="B122" s="46">
        <v>10</v>
      </c>
      <c r="C122" s="47" t="str">
        <f>_xlfn.SINGLE(VLOOKUP(B122,DisplayOrder[#All],2))</f>
        <v>Goggles</v>
      </c>
      <c r="D122" s="116" t="str">
        <f>_xlfn.SINGLE(VLOOKUP(B122,DisplayOrder!A:C,3,FALSE))</f>
        <v>each</v>
      </c>
      <c r="E122" s="50">
        <f>SUMIF(DATA_Orders!$AH$2:$AH$341,C122,DATA_Orders!$AJ$2:$AJ$341)</f>
        <v>0</v>
      </c>
      <c r="F122" s="442" t="e">
        <f ca="1">_xlfn.SINGLE(IF(E122=0,"N/A",VLOOKUP(C122,Pivot_OutstandingOrders!$A$4:$D$30,4,FALSE)))</f>
        <v>#NAME?</v>
      </c>
      <c r="G122" s="443"/>
    </row>
    <row r="123" spans="1:28" s="43" customFormat="1" ht="11">
      <c r="A123" s="420" t="s">
        <v>37</v>
      </c>
      <c r="B123" s="46">
        <v>11</v>
      </c>
      <c r="C123" s="47" t="str">
        <f>_xlfn.SINGLE(VLOOKUP(B123,DisplayOrder[#All],2))</f>
        <v>Disinfectant Wipes</v>
      </c>
      <c r="D123" s="116" t="str">
        <f>_xlfn.SINGLE(VLOOKUP(B123,DisplayOrder!A:C,3,FALSE))</f>
        <v>tube</v>
      </c>
      <c r="E123" s="50">
        <f>SUMIF(DATA_Orders!$AH$2:$AH$341,C123,DATA_Orders!$AJ$2:$AJ$341)</f>
        <v>74206</v>
      </c>
      <c r="F123" s="442" t="e">
        <f ca="1">_xlfn.SINGLE(IF(E123=0,"N/A",VLOOKUP(C123,Pivot_OutstandingOrders!$A$4:$D$30,4,FALSE)))</f>
        <v>#NAME?</v>
      </c>
      <c r="G123" s="443"/>
    </row>
    <row r="124" spans="1:28" s="43" customFormat="1" ht="11">
      <c r="A124" s="421"/>
      <c r="B124" s="46">
        <v>12</v>
      </c>
      <c r="C124" s="47" t="str">
        <f>_xlfn.SINGLE(VLOOKUP(B124,DisplayOrder[#All],2))</f>
        <v>Antimicrobial (PAWS) Wipes</v>
      </c>
      <c r="D124" s="116" t="str">
        <f>_xlfn.SINGLE(VLOOKUP(B124,DisplayOrder!A:C,3,FALSE))</f>
        <v>packets</v>
      </c>
      <c r="E124" s="50">
        <f>SUMIF(DATA_Orders!$AH$2:$AH$341,C124,DATA_Orders!$AJ$2:$AJ$341)</f>
        <v>22000</v>
      </c>
      <c r="F124" s="442" t="e">
        <f ca="1">_xlfn.SINGLE(IF(E124=0,"N/A",VLOOKUP(C124,Pivot_OutstandingOrders!$A$4:$D$30,4,FALSE)))</f>
        <v>#NAME?</v>
      </c>
      <c r="G124" s="443"/>
    </row>
    <row r="125" spans="1:28" s="43" customFormat="1" ht="11">
      <c r="A125" s="421"/>
      <c r="B125" s="46">
        <v>13</v>
      </c>
      <c r="C125" s="47" t="str">
        <f>_xlfn.SINGLE(VLOOKUP(B125,DisplayOrder[#All],2))</f>
        <v>Hand Sanitizer (12oz or equiv)</v>
      </c>
      <c r="D125" s="116" t="str">
        <f>_xlfn.SINGLE(VLOOKUP(B125,DisplayOrder!A:C,3,FALSE))</f>
        <v>bottle</v>
      </c>
      <c r="E125" s="50">
        <f>SUMIF(DATA_Orders!$AH$2:$AH$341,C125,DATA_Orders!$AJ$2:$AJ$341)</f>
        <v>1173.3333333333333</v>
      </c>
      <c r="F125" s="442" t="e">
        <f ca="1">_xlfn.SINGLE(IF(E125=0,"N/A",VLOOKUP(C125,Pivot_OutstandingOrders!$A$4:$D$30,4,FALSE)))</f>
        <v>#NAME?</v>
      </c>
      <c r="G125" s="443"/>
    </row>
    <row r="126" spans="1:28" s="43" customFormat="1" ht="11">
      <c r="A126" s="421"/>
      <c r="B126" s="46">
        <v>14</v>
      </c>
      <c r="C126" s="47" t="str">
        <f>_xlfn.SINGLE(VLOOKUP(B126,DisplayOrder[#All],2))</f>
        <v>Purell (1200 ml stand refill)</v>
      </c>
      <c r="D126" s="116" t="str">
        <f>_xlfn.SINGLE(VLOOKUP(B126,DisplayOrder!A:C,3,FALSE))</f>
        <v>box</v>
      </c>
      <c r="E126" s="50">
        <f>SUMIF(DATA_Orders!$AH$2:$AH$341,C126,DATA_Orders!$AJ$2:$AJ$341)</f>
        <v>2976</v>
      </c>
      <c r="F126" s="442" t="e">
        <f ca="1">_xlfn.SINGLE(IF(E126=0,"N/A",VLOOKUP(C126,Pivot_OutstandingOrders!$A$4:$D$30,4,FALSE)))</f>
        <v>#NAME?</v>
      </c>
      <c r="G126" s="443"/>
    </row>
    <row r="127" spans="1:28" s="43" customFormat="1" ht="11">
      <c r="A127" s="421"/>
      <c r="B127" s="46">
        <v>15</v>
      </c>
      <c r="C127" s="47" t="str">
        <f>_xlfn.SINGLE(VLOOKUP(B127,DisplayOrder[#All],2))</f>
        <v>Isopropyl Alcohol (16oz or equiv)</v>
      </c>
      <c r="D127" s="116" t="str">
        <f>_xlfn.SINGLE(VLOOKUP(B127,DisplayOrder!A:C,3,FALSE))</f>
        <v>bottle</v>
      </c>
      <c r="E127" s="50">
        <f>SUMIF(DATA_Orders!$AH$2:$AH$341,C127,DATA_Orders!$AJ$2:$AJ$341)</f>
        <v>12000</v>
      </c>
      <c r="F127" s="442" t="e">
        <f ca="1">_xlfn.SINGLE(IF(E127=0,"N/A",VLOOKUP(C127,Pivot_OutstandingOrders!$A$4:$D$30,4,FALSE)))</f>
        <v>#NAME?</v>
      </c>
      <c r="G127" s="443"/>
    </row>
    <row r="128" spans="1:28" s="43" customFormat="1" ht="11">
      <c r="A128" s="422"/>
      <c r="B128" s="46">
        <v>16</v>
      </c>
      <c r="C128" s="47" t="str">
        <f>_xlfn.SINGLE(VLOOKUP(B128,DisplayOrder[#All],2))</f>
        <v>Disinfecting Solution for Sprayers</v>
      </c>
      <c r="D128" s="116" t="str">
        <f>_xlfn.SINGLE(VLOOKUP(B128,DisplayOrder!A:C,3,FALSE))</f>
        <v>gal</v>
      </c>
      <c r="E128" s="50">
        <f>SUMIF(DATA_Orders!$AH$2:$AH$341,C128,DATA_Orders!$AJ$2:$AJ$341)</f>
        <v>108</v>
      </c>
      <c r="F128" s="442" t="e">
        <f ca="1">_xlfn.SINGLE(IF(E128=0,"N/A",VLOOKUP(C128,Pivot_OutstandingOrders!$A$4:$D$30,4,FALSE)))</f>
        <v>#NAME?</v>
      </c>
      <c r="G128" s="443"/>
    </row>
    <row r="129" spans="1:7" s="43" customFormat="1" ht="11">
      <c r="A129" s="420" t="s">
        <v>38</v>
      </c>
      <c r="B129" s="46">
        <v>17</v>
      </c>
      <c r="C129" s="47" t="str">
        <f>_xlfn.SINGLE(VLOOKUP(B129,DisplayOrder[#All],2))</f>
        <v>Thermometers</v>
      </c>
      <c r="D129" s="116" t="str">
        <f>_xlfn.SINGLE(VLOOKUP(B129,DisplayOrder!A:C,3,FALSE))</f>
        <v>each</v>
      </c>
      <c r="E129" s="50">
        <f>SUMIF(DATA_Orders!$AH$2:$AH$341,C129,DATA_Orders!$AJ$2:$AJ$341)</f>
        <v>3</v>
      </c>
      <c r="F129" s="442" t="e">
        <f ca="1">_xlfn.SINGLE(IF(E129=0,"N/A",VLOOKUP(C129,Pivot_OutstandingOrders!$A$4:$D$30,4,FALSE)))</f>
        <v>#NAME?</v>
      </c>
      <c r="G129" s="443"/>
    </row>
    <row r="130" spans="1:7" s="43" customFormat="1" ht="11">
      <c r="A130" s="421"/>
      <c r="B130" s="46">
        <v>18</v>
      </c>
      <c r="C130" s="47" t="str">
        <f>_xlfn.SINGLE(VLOOKUP(B130,DisplayOrder[#All],2))</f>
        <v>Purell Stands/Dispensers</v>
      </c>
      <c r="D130" s="116" t="str">
        <f>_xlfn.SINGLE(VLOOKUP(B130,DisplayOrder!A:C,3,FALSE))</f>
        <v>each</v>
      </c>
      <c r="E130" s="50">
        <f>SUMIF(DATA_Orders!$AH$2:$AH$341,C130,DATA_Orders!$AJ$2:$AJ$341)</f>
        <v>250</v>
      </c>
      <c r="F130" s="442" t="e">
        <f ca="1">_xlfn.SINGLE(IF(E130=0,"N/A",VLOOKUP(C130,Pivot_OutstandingOrders!$A$4:$D$30,4,FALSE)))</f>
        <v>#NAME?</v>
      </c>
      <c r="G130" s="443"/>
    </row>
    <row r="131" spans="1:7" s="43" customFormat="1" ht="11">
      <c r="A131" s="421"/>
      <c r="B131" s="46">
        <v>19</v>
      </c>
      <c r="C131" s="47" t="str">
        <f>_xlfn.SINGLE(VLOOKUP(B131,DisplayOrder[#All],2))</f>
        <v>Mask Holders for Dispensers</v>
      </c>
      <c r="D131" s="116" t="str">
        <f>_xlfn.SINGLE(VLOOKUP(B131,DisplayOrder!A:C,3,FALSE))</f>
        <v>each</v>
      </c>
      <c r="E131" s="50">
        <f>SUMIF(DATA_Orders!$AH$2:$AH$341,C131,DATA_Orders!$AJ$2:$AJ$341)</f>
        <v>250</v>
      </c>
      <c r="F131" s="442" t="e">
        <f ca="1">_xlfn.SINGLE(IF(E131=0,"N/A",VLOOKUP(C131,Pivot_OutstandingOrders!$A$4:$D$30,4,FALSE)))</f>
        <v>#NAME?</v>
      </c>
      <c r="G131" s="443"/>
    </row>
    <row r="132" spans="1:7" s="43" customFormat="1" ht="11">
      <c r="A132" s="421"/>
      <c r="B132" s="46">
        <v>20</v>
      </c>
      <c r="C132" s="47" t="str">
        <f>_xlfn.SINGLE(VLOOKUP(B132,DisplayOrder[#All],2))</f>
        <v>Disinfecting Sprayers</v>
      </c>
      <c r="D132" s="116" t="str">
        <f>_xlfn.SINGLE(VLOOKUP(B132,DisplayOrder!A:C,3,FALSE))</f>
        <v>each</v>
      </c>
      <c r="E132" s="50">
        <f>SUMIF(DATA_Orders!$AH$2:$AH$341,C132,DATA_Orders!$AJ$2:$AJ$341)</f>
        <v>0</v>
      </c>
      <c r="F132" s="442" t="e">
        <f ca="1">_xlfn.SINGLE(IF(E132=0,"N/A",VLOOKUP(C132,Pivot_OutstandingOrders!$A$4:$D$30,4,FALSE)))</f>
        <v>#NAME?</v>
      </c>
      <c r="G132" s="443"/>
    </row>
    <row r="133" spans="1:7" s="43" customFormat="1" ht="11">
      <c r="A133" s="421"/>
      <c r="B133" s="46">
        <v>21</v>
      </c>
      <c r="C133" s="47" t="str">
        <f>_xlfn.SINGLE(VLOOKUP(B133,DisplayOrder[#All],2))</f>
        <v>Hand Soap</v>
      </c>
      <c r="D133" s="116" t="str">
        <f>_xlfn.SINGLE(VLOOKUP(B133,DisplayOrder!A:C,3,FALSE))</f>
        <v>bottle</v>
      </c>
      <c r="E133" s="50">
        <f>SUMIF(DATA_Orders!$AH$2:$AH$341,C133,DATA_Orders!$AJ$2:$AJ$341)</f>
        <v>34880</v>
      </c>
      <c r="F133" s="442" t="e">
        <f ca="1">_xlfn.SINGLE(IF(E133=0,"N/A",VLOOKUP(C133,Pivot_OutstandingOrders!$A$4:$D$30,4,FALSE)))</f>
        <v>#NAME?</v>
      </c>
      <c r="G133" s="443"/>
    </row>
    <row r="134" spans="1:7" s="43" customFormat="1" ht="11">
      <c r="A134" s="421"/>
      <c r="B134" s="46">
        <v>22</v>
      </c>
      <c r="C134" s="47" t="str">
        <f>_xlfn.SINGLE(VLOOKUP(B134,DisplayOrder[#All],2))</f>
        <v>Facial Tissue</v>
      </c>
      <c r="D134" s="116" t="str">
        <f>_xlfn.SINGLE(VLOOKUP(B134,DisplayOrder!A:C,3,FALSE))</f>
        <v>box</v>
      </c>
      <c r="E134" s="50">
        <f>SUMIF(DATA_Orders!$AH$2:$AH$341,C134,DATA_Orders!$AJ$2:$AJ$341)</f>
        <v>900</v>
      </c>
      <c r="F134" s="442" t="e">
        <f ca="1">_xlfn.SINGLE(IF(E134=0,"N/A",VLOOKUP(C134,Pivot_OutstandingOrders!$A$4:$D$30,4,FALSE)))</f>
        <v>#NAME?</v>
      </c>
      <c r="G134" s="443"/>
    </row>
    <row r="135" spans="1:7" s="43" customFormat="1" ht="11">
      <c r="A135" s="421"/>
      <c r="B135" s="46">
        <v>23</v>
      </c>
      <c r="C135" s="47" t="str">
        <f>_xlfn.SINGLE(VLOOKUP(B135,DisplayOrder[#All],2))</f>
        <v>Paper Towels</v>
      </c>
      <c r="D135" s="116" t="str">
        <f>_xlfn.SINGLE(VLOOKUP(B135,DisplayOrder!A:C,3,FALSE))</f>
        <v>pack</v>
      </c>
      <c r="E135" s="50">
        <f>SUMIF(DATA_Orders!$AH$2:$AH$341,C135,DATA_Orders!$AJ$2:$AJ$341)</f>
        <v>0</v>
      </c>
      <c r="F135" s="442" t="e">
        <f ca="1">_xlfn.SINGLE(IF(E135=0,"N/A",VLOOKUP(C135,Pivot_OutstandingOrders!$A$4:$D$30,4,FALSE)))</f>
        <v>#NAME?</v>
      </c>
      <c r="G135" s="443"/>
    </row>
    <row r="136" spans="1:7" s="43" customFormat="1" ht="11">
      <c r="A136" s="422"/>
      <c r="B136" s="46">
        <v>24</v>
      </c>
      <c r="C136" s="47" t="str">
        <f>_xlfn.SINGLE(VLOOKUP(B136,DisplayOrder[#All],2))</f>
        <v>Toilet Paper</v>
      </c>
      <c r="D136" s="116" t="str">
        <f>_xlfn.SINGLE(VLOOKUP(B136,DisplayOrder!A:C,3,FALSE))</f>
        <v>roll</v>
      </c>
      <c r="E136" s="50">
        <f>SUMIF(DATA_Orders!$AH$2:$AH$341,C136,DATA_Orders!$AJ$2:$AJ$341)</f>
        <v>10400</v>
      </c>
      <c r="F136" s="442" t="e">
        <f ca="1">_xlfn.SINGLE(IF(E136=0,"N/A",VLOOKUP(C136,Pivot_OutstandingOrders!$A$4:$D$30,4,FALSE)))</f>
        <v>#NAME?</v>
      </c>
      <c r="G136" s="443"/>
    </row>
    <row r="137" spans="1:7" s="43" customFormat="1" ht="11" hidden="1">
      <c r="B137" s="46">
        <v>25</v>
      </c>
      <c r="C137" s="47" t="str">
        <f>_xlfn.SINGLE(VLOOKUP(B137,DisplayOrder[#All],2))</f>
        <v>KN95 MASKS</v>
      </c>
      <c r="D137" s="116" t="str">
        <f>_xlfn.SINGLE(VLOOKUP(B137,DisplayOrder!A:C,3,FALSE))</f>
        <v>each</v>
      </c>
      <c r="E137" s="50">
        <f>SUMIF(DATA_Orders!$AH$2:$AH$341,C137,DATA_Orders!$AJ$2:$AJ$341)</f>
        <v>0</v>
      </c>
      <c r="F137" s="50"/>
      <c r="G137" s="51" t="e">
        <f ca="1">_xlfn.SINGLE(IF(E137=0,"N/A",VLOOKUP(C137,Pivot_OutstandingOrders!$A$4:$D$23,5,FALSE)))</f>
        <v>#NAME?</v>
      </c>
    </row>
    <row r="138" spans="1:7" s="43" customFormat="1" ht="11" hidden="1">
      <c r="B138" s="46">
        <v>26</v>
      </c>
      <c r="C138" s="47" t="str">
        <f>_xlfn.SINGLE(VLOOKUP(B138,DisplayOrder[#All],2))</f>
        <v>Sprayer, Milwaukee 2820</v>
      </c>
      <c r="D138" s="116" t="str">
        <f>_xlfn.SINGLE(VLOOKUP(B138,DisplayOrder!A:C,3,FALSE))</f>
        <v>each</v>
      </c>
      <c r="E138" s="50">
        <f>SUMIF(DATA_Orders!$AH$2:$AH$341,C138,DATA_Orders!$AJ$2:$AJ$341)</f>
        <v>0</v>
      </c>
      <c r="F138" s="50"/>
      <c r="G138" s="51" t="e">
        <f ca="1">_xlfn.SINGLE(IF(E138=0,"N/A",VLOOKUP(C138,Pivot_OutstandingOrders!$A$4:$D$23,5,FALSE)))</f>
        <v>#NAME?</v>
      </c>
    </row>
    <row r="139" spans="1:7" s="43" customFormat="1" ht="11" hidden="1">
      <c r="B139" s="46">
        <v>27</v>
      </c>
      <c r="C139" s="47" t="str">
        <f>_xlfn.SINGLE(VLOOKUP(B139,DisplayOrder[#All],2))</f>
        <v>Milwaukee XC50 Battery</v>
      </c>
      <c r="D139" s="116" t="str">
        <f>_xlfn.SINGLE(VLOOKUP(B139,DisplayOrder!A:C,3,FALSE))</f>
        <v>each</v>
      </c>
      <c r="E139" s="50">
        <f>SUMIF(DATA_Orders!$AH$2:$AH$341,C139,DATA_Orders!$AJ$2:$AJ$341)</f>
        <v>0</v>
      </c>
      <c r="F139" s="50"/>
      <c r="G139" s="51" t="e">
        <f ca="1">_xlfn.SINGLE(IF(E139=0,"N/A",VLOOKUP(C139,Pivot_OutstandingOrders!$A$4:$D$23,5,FALSE)))</f>
        <v>#NAME?</v>
      </c>
    </row>
    <row r="140" spans="1:7" s="43" customFormat="1" ht="11" hidden="1">
      <c r="B140" s="46">
        <v>28</v>
      </c>
      <c r="C140" s="47" t="str">
        <f>_xlfn.SINGLE(VLOOKUP(B140,DisplayOrder[#All],2))</f>
        <v>Reserved-28</v>
      </c>
      <c r="D140" s="116" t="str">
        <f>_xlfn.SINGLE(VLOOKUP(B140,DisplayOrder!A:C,3,FALSE))</f>
        <v>each</v>
      </c>
      <c r="E140" s="50">
        <f>SUMIF(DATA_Orders!$AH$2:$AH$341,C140,DATA_Orders!$AJ$2:$AJ$341)</f>
        <v>0</v>
      </c>
      <c r="F140" s="50"/>
      <c r="G140" s="51" t="e">
        <f ca="1">_xlfn.SINGLE(IF(E140=0,"N/A",VLOOKUP(C140,Pivot_OutstandingOrders!$A$4:$D$23,5,FALSE)))</f>
        <v>#NAME?</v>
      </c>
    </row>
    <row r="141" spans="1:7" s="43" customFormat="1" ht="11" hidden="1">
      <c r="B141" s="46">
        <v>29</v>
      </c>
      <c r="C141" s="47" t="str">
        <f>_xlfn.SINGLE(VLOOKUP(B141,DisplayOrder[#All],2))</f>
        <v>Reserved-29</v>
      </c>
      <c r="D141" s="116" t="str">
        <f>_xlfn.SINGLE(VLOOKUP(B141,DisplayOrder!A:C,3,FALSE))</f>
        <v>each</v>
      </c>
      <c r="E141" s="50">
        <f>SUMIF(DATA_Orders!$AH$2:$AH$341,C141,DATA_Orders!$AJ$2:$AJ$341)</f>
        <v>0</v>
      </c>
      <c r="F141" s="50"/>
      <c r="G141" s="51" t="e">
        <f ca="1">_xlfn.SINGLE(IF(E141=0,"N/A",VLOOKUP(C141,Pivot_OutstandingOrders!$A$4:$D$23,5,FALSE)))</f>
        <v>#NAME?</v>
      </c>
    </row>
    <row r="142" spans="1:7" s="43" customFormat="1" ht="11" hidden="1">
      <c r="B142" s="46">
        <v>30</v>
      </c>
      <c r="C142" s="47" t="str">
        <f>_xlfn.SINGLE(VLOOKUP(B142,DisplayOrder[#All],2))</f>
        <v>Reserved-30</v>
      </c>
      <c r="D142" s="116" t="str">
        <f>_xlfn.SINGLE(VLOOKUP(B142,DisplayOrder!A:C,3,FALSE))</f>
        <v>each</v>
      </c>
      <c r="E142" s="50">
        <f>SUMIF(DATA_Orders!$AH$2:$AH$341,C142,DATA_Orders!$AJ$2:$AJ$341)</f>
        <v>0</v>
      </c>
      <c r="F142" s="50"/>
      <c r="G142" s="51" t="e">
        <f ca="1">_xlfn.SINGLE(IF(E142=0,"N/A",VLOOKUP(C142,Pivot_OutstandingOrders!$A$4:$D$23,5,FALSE)))</f>
        <v>#NAME?</v>
      </c>
    </row>
    <row r="143" spans="1:7" s="43" customFormat="1" ht="11" hidden="1">
      <c r="B143" s="46">
        <v>31</v>
      </c>
      <c r="C143" s="47" t="str">
        <f>_xlfn.SINGLE(VLOOKUP(B143,DisplayOrder[#All],2))</f>
        <v>Reserved-31</v>
      </c>
      <c r="D143" s="116" t="str">
        <f>_xlfn.SINGLE(VLOOKUP(B143,DisplayOrder!A:C,3,FALSE))</f>
        <v>each</v>
      </c>
      <c r="E143" s="50">
        <f>SUMIF(DATA_Orders!$AH$2:$AH$341,C143,DATA_Orders!$AJ$2:$AJ$341)</f>
        <v>0</v>
      </c>
      <c r="F143" s="50"/>
      <c r="G143" s="51" t="e">
        <f ca="1">_xlfn.SINGLE(IF(E143=0,"N/A",VLOOKUP(C143,Pivot_OutstandingOrders!$A$4:$D$23,5,FALSE)))</f>
        <v>#NAME?</v>
      </c>
    </row>
    <row r="144" spans="1:7" s="43" customFormat="1" ht="11" hidden="1">
      <c r="B144" s="46">
        <v>32</v>
      </c>
      <c r="C144" s="47" t="str">
        <f>_xlfn.SINGLE(VLOOKUP(B144,DisplayOrder[#All],2))</f>
        <v>Reserved-32</v>
      </c>
      <c r="D144" s="116" t="str">
        <f>_xlfn.SINGLE(VLOOKUP(B144,DisplayOrder!A:C,3,FALSE))</f>
        <v>each</v>
      </c>
      <c r="E144" s="50">
        <f>SUMIF(DATA_Orders!$AH$2:$AH$341,C144,DATA_Orders!$AJ$2:$AJ$341)</f>
        <v>0</v>
      </c>
      <c r="F144" s="50"/>
      <c r="G144" s="51" t="e">
        <f ca="1">_xlfn.SINGLE(IF(E144=0,"N/A",VLOOKUP(C144,Pivot_OutstandingOrders!$A$4:$D$23,5,FALSE)))</f>
        <v>#NAME?</v>
      </c>
    </row>
    <row r="145" spans="2:7" s="43" customFormat="1" ht="11" hidden="1">
      <c r="B145" s="46">
        <v>33</v>
      </c>
      <c r="C145" s="47" t="str">
        <f>_xlfn.SINGLE(VLOOKUP(B145,DisplayOrder[#All],2))</f>
        <v>Reserved-33</v>
      </c>
      <c r="D145" s="116" t="str">
        <f>_xlfn.SINGLE(VLOOKUP(B145,DisplayOrder!A:C,3,FALSE))</f>
        <v>each</v>
      </c>
      <c r="E145" s="50">
        <f>SUMIF(DATA_Orders!$AH$2:$AH$341,C145,DATA_Orders!$AJ$2:$AJ$341)</f>
        <v>0</v>
      </c>
      <c r="F145" s="50"/>
      <c r="G145" s="51" t="e">
        <f ca="1">_xlfn.SINGLE(IF(E145=0,"N/A",VLOOKUP(C145,Pivot_OutstandingOrders!$A$4:$D$23,5,FALSE)))</f>
        <v>#NAME?</v>
      </c>
    </row>
    <row r="146" spans="2:7" s="43" customFormat="1" ht="11" hidden="1">
      <c r="B146" s="46">
        <v>34</v>
      </c>
      <c r="C146" s="47" t="str">
        <f>_xlfn.SINGLE(VLOOKUP(B146,DisplayOrder[#All],2))</f>
        <v>Reserved-34</v>
      </c>
      <c r="D146" s="116" t="str">
        <f>_xlfn.SINGLE(VLOOKUP(B146,DisplayOrder!A:C,3,FALSE))</f>
        <v>each</v>
      </c>
      <c r="E146" s="50">
        <f>SUMIF(DATA_Orders!$AH$2:$AH$341,C146,DATA_Orders!$AJ$2:$AJ$341)</f>
        <v>0</v>
      </c>
      <c r="F146" s="50"/>
      <c r="G146" s="51" t="e">
        <f ca="1">_xlfn.SINGLE(IF(E146=0,"N/A",VLOOKUP(C146,Pivot_OutstandingOrders!$A$4:$D$23,5,FALSE)))</f>
        <v>#NAME?</v>
      </c>
    </row>
    <row r="147" spans="2:7" s="43" customFormat="1" ht="11" hidden="1">
      <c r="B147" s="46">
        <v>35</v>
      </c>
      <c r="C147" s="47" t="str">
        <f>_xlfn.SINGLE(VLOOKUP(B147,DisplayOrder[#All],2))</f>
        <v>Reserved-35</v>
      </c>
      <c r="D147" s="116" t="str">
        <f>_xlfn.SINGLE(VLOOKUP(B147,DisplayOrder!A:C,3,FALSE))</f>
        <v>each</v>
      </c>
      <c r="E147" s="50">
        <f>SUMIF(DATA_Orders!$AH$2:$AH$341,C147,DATA_Orders!$AJ$2:$AJ$341)</f>
        <v>0</v>
      </c>
      <c r="F147" s="50"/>
      <c r="G147" s="51" t="e">
        <f ca="1">_xlfn.SINGLE(IF(E147=0,"N/A",VLOOKUP(C147,Pivot_OutstandingOrders!$A$4:$D$23,5,FALSE)))</f>
        <v>#NAME?</v>
      </c>
    </row>
    <row r="148" spans="2:7" s="43" customFormat="1" ht="11" hidden="1">
      <c r="B148" s="46">
        <v>36</v>
      </c>
      <c r="C148" s="47" t="str">
        <f>_xlfn.SINGLE(VLOOKUP(B148,DisplayOrder[#All],2))</f>
        <v>Reserved-36</v>
      </c>
      <c r="D148" s="116" t="str">
        <f>_xlfn.SINGLE(VLOOKUP(B148,DisplayOrder!A:C,3,FALSE))</f>
        <v>each</v>
      </c>
      <c r="E148" s="50">
        <f>SUMIF(DATA_Orders!$AH$2:$AH$341,C148,DATA_Orders!$AJ$2:$AJ$341)</f>
        <v>0</v>
      </c>
      <c r="F148" s="50"/>
      <c r="G148" s="51" t="e">
        <f ca="1">_xlfn.SINGLE(IF(E148=0,"N/A",VLOOKUP(C148,Pivot_OutstandingOrders!$A$4:$D$23,5,FALSE)))</f>
        <v>#NAME?</v>
      </c>
    </row>
    <row r="149" spans="2:7" s="43" customFormat="1" ht="11" hidden="1">
      <c r="B149" s="46">
        <v>37</v>
      </c>
      <c r="C149" s="47" t="str">
        <f>_xlfn.SINGLE(VLOOKUP(B149,DisplayOrder[#All],2))</f>
        <v>Reserved-37</v>
      </c>
      <c r="D149" s="116" t="str">
        <f>_xlfn.SINGLE(VLOOKUP(B149,DisplayOrder!A:C,3,FALSE))</f>
        <v>each</v>
      </c>
      <c r="E149" s="50">
        <f>SUMIF(DATA_Orders!$AH$2:$AH$341,C149,DATA_Orders!$AJ$2:$AJ$341)</f>
        <v>0</v>
      </c>
      <c r="F149" s="50"/>
      <c r="G149" s="51" t="e">
        <f ca="1">_xlfn.SINGLE(IF(E149=0,"N/A",VLOOKUP(C149,Pivot_OutstandingOrders!$A$4:$D$23,5,FALSE)))</f>
        <v>#NAME?</v>
      </c>
    </row>
    <row r="150" spans="2:7" s="43" customFormat="1" ht="11" hidden="1">
      <c r="B150" s="46">
        <v>38</v>
      </c>
      <c r="C150" s="47" t="str">
        <f>_xlfn.SINGLE(VLOOKUP(B150,DisplayOrder[#All],2))</f>
        <v>Reserved-38</v>
      </c>
      <c r="D150" s="116" t="str">
        <f>_xlfn.SINGLE(VLOOKUP(B150,DisplayOrder!A:C,3,FALSE))</f>
        <v>each</v>
      </c>
      <c r="E150" s="50">
        <f>SUMIF(DATA_Orders!$AH$2:$AH$341,C150,DATA_Orders!$AJ$2:$AJ$341)</f>
        <v>0</v>
      </c>
      <c r="F150" s="50"/>
      <c r="G150" s="51" t="e">
        <f ca="1">_xlfn.SINGLE(IF(E150=0,"N/A",VLOOKUP(C150,Pivot_OutstandingOrders!$A$4:$D$23,5,FALSE)))</f>
        <v>#NAME?</v>
      </c>
    </row>
    <row r="151" spans="2:7" s="43" customFormat="1" ht="11" hidden="1">
      <c r="B151" s="46">
        <v>39</v>
      </c>
      <c r="C151" s="47" t="str">
        <f>_xlfn.SINGLE(VLOOKUP(B151,DisplayOrder[#All],2))</f>
        <v>Reserved-39</v>
      </c>
      <c r="D151" s="116" t="str">
        <f>_xlfn.SINGLE(VLOOKUP(B151,DisplayOrder!A:C,3,FALSE))</f>
        <v>each</v>
      </c>
      <c r="E151" s="50">
        <f>SUMIF(DATA_Orders!$AH$2:$AH$341,C151,DATA_Orders!$AJ$2:$AJ$341)</f>
        <v>0</v>
      </c>
      <c r="F151" s="50"/>
      <c r="G151" s="51" t="e">
        <f ca="1">_xlfn.SINGLE(IF(E151=0,"N/A",VLOOKUP(C151,Pivot_OutstandingOrders!$A$4:$D$23,5,FALSE)))</f>
        <v>#NAME?</v>
      </c>
    </row>
    <row r="152" spans="2:7" s="43" customFormat="1" ht="11" hidden="1">
      <c r="B152" s="46">
        <v>40</v>
      </c>
      <c r="C152" s="47" t="str">
        <f>_xlfn.SINGLE(VLOOKUP(B152,DisplayOrder[#All],2))</f>
        <v>Reserved-40</v>
      </c>
      <c r="D152" s="116" t="str">
        <f>_xlfn.SINGLE(VLOOKUP(B152,DisplayOrder!A:C,3,FALSE))</f>
        <v>each</v>
      </c>
      <c r="E152" s="50">
        <f>SUMIF(DATA_Orders!$AH$2:$AH$341,C152,DATA_Orders!$AJ$2:$AJ$341)</f>
        <v>0</v>
      </c>
      <c r="F152" s="50"/>
      <c r="G152" s="51" t="e">
        <f ca="1">_xlfn.SINGLE(IF(E152=0,"N/A",VLOOKUP(C152,Pivot_OutstandingOrders!$A$4:$D$23,5,FALSE)))</f>
        <v>#NAME?</v>
      </c>
    </row>
    <row r="153" spans="2:7" s="43" customFormat="1" ht="11" hidden="1">
      <c r="B153" s="46">
        <v>41</v>
      </c>
      <c r="C153" s="47" t="str">
        <f>_xlfn.SINGLE(VLOOKUP(B153,DisplayOrder[#All],2))</f>
        <v>Reserved-41</v>
      </c>
      <c r="D153" s="116" t="str">
        <f>_xlfn.SINGLE(VLOOKUP(B153,DisplayOrder!A:C,3,FALSE))</f>
        <v>each</v>
      </c>
      <c r="E153" s="50">
        <f>SUMIF(DATA_Orders!$AH$2:$AH$341,C153,DATA_Orders!$AJ$2:$AJ$341)</f>
        <v>0</v>
      </c>
      <c r="F153" s="50"/>
      <c r="G153" s="51" t="e">
        <f ca="1">_xlfn.SINGLE(IF(E153=0,"N/A",VLOOKUP(C153,Pivot_OutstandingOrders!$A$4:$D$23,5,FALSE)))</f>
        <v>#NAME?</v>
      </c>
    </row>
    <row r="154" spans="2:7" s="43" customFormat="1" ht="11" hidden="1">
      <c r="B154" s="46">
        <v>42</v>
      </c>
      <c r="C154" s="47" t="str">
        <f>_xlfn.SINGLE(VLOOKUP(B154,DisplayOrder[#All],2))</f>
        <v>Reserved-42</v>
      </c>
      <c r="D154" s="116" t="str">
        <f>_xlfn.SINGLE(VLOOKUP(B154,DisplayOrder!A:C,3,FALSE))</f>
        <v>each</v>
      </c>
      <c r="E154" s="50">
        <f>SUMIF(DATA_Orders!$AH$2:$AH$341,C154,DATA_Orders!$AJ$2:$AJ$341)</f>
        <v>0</v>
      </c>
      <c r="F154" s="50"/>
      <c r="G154" s="51" t="e">
        <f ca="1">_xlfn.SINGLE(IF(E154=0,"N/A",VLOOKUP(C154,Pivot_OutstandingOrders!$A$4:$D$23,5,FALSE)))</f>
        <v>#NAME?</v>
      </c>
    </row>
    <row r="155" spans="2:7" s="43" customFormat="1" ht="11" hidden="1">
      <c r="B155" s="46">
        <v>43</v>
      </c>
      <c r="C155" s="47" t="str">
        <f>_xlfn.SINGLE(VLOOKUP(B155,DisplayOrder[#All],2))</f>
        <v>Reserved-43</v>
      </c>
      <c r="D155" s="116" t="str">
        <f>_xlfn.SINGLE(VLOOKUP(B155,DisplayOrder!A:C,3,FALSE))</f>
        <v>each</v>
      </c>
      <c r="E155" s="50">
        <f>SUMIF(DATA_Orders!$AH$2:$AH$341,C155,DATA_Orders!$AJ$2:$AJ$341)</f>
        <v>0</v>
      </c>
      <c r="F155" s="50"/>
      <c r="G155" s="51" t="e">
        <f ca="1">_xlfn.SINGLE(IF(E155=0,"N/A",VLOOKUP(C155,Pivot_OutstandingOrders!$A$4:$D$23,5,FALSE)))</f>
        <v>#NAME?</v>
      </c>
    </row>
    <row r="156" spans="2:7" s="43" customFormat="1" ht="11" hidden="1">
      <c r="B156" s="46">
        <v>44</v>
      </c>
      <c r="C156" s="47" t="str">
        <f>_xlfn.SINGLE(VLOOKUP(B156,DisplayOrder[#All],2))</f>
        <v>Reserved-44</v>
      </c>
      <c r="D156" s="116" t="str">
        <f>_xlfn.SINGLE(VLOOKUP(B156,DisplayOrder!A:C,3,FALSE))</f>
        <v>each</v>
      </c>
      <c r="E156" s="50">
        <f>SUMIF(DATA_Orders!$AH$2:$AH$341,C156,DATA_Orders!$AJ$2:$AJ$341)</f>
        <v>0</v>
      </c>
      <c r="F156" s="50"/>
      <c r="G156" s="51" t="e">
        <f ca="1">_xlfn.SINGLE(IF(E156=0,"N/A",VLOOKUP(C156,Pivot_OutstandingOrders!$A$4:$D$23,5,FALSE)))</f>
        <v>#NAME?</v>
      </c>
    </row>
    <row r="157" spans="2:7" s="43" customFormat="1" ht="11" hidden="1">
      <c r="B157" s="46">
        <v>45</v>
      </c>
      <c r="C157" s="47" t="str">
        <f>_xlfn.SINGLE(VLOOKUP(B157,DisplayOrder[#All],2))</f>
        <v>Reserved-45</v>
      </c>
      <c r="D157" s="116" t="str">
        <f>_xlfn.SINGLE(VLOOKUP(B157,DisplayOrder!A:C,3,FALSE))</f>
        <v>each</v>
      </c>
      <c r="E157" s="50">
        <f>SUMIF(DATA_Orders!$AH$2:$AH$341,C157,DATA_Orders!$AJ$2:$AJ$341)</f>
        <v>0</v>
      </c>
      <c r="F157" s="50"/>
      <c r="G157" s="51" t="e">
        <f ca="1">_xlfn.SINGLE(IF(E157=0,"N/A",VLOOKUP(C157,Pivot_OutstandingOrders!$A$4:$D$23,5,FALSE)))</f>
        <v>#NAME?</v>
      </c>
    </row>
    <row r="158" spans="2:7" s="43" customFormat="1" ht="11" hidden="1">
      <c r="B158" s="46">
        <v>46</v>
      </c>
      <c r="C158" s="47" t="str">
        <f>_xlfn.SINGLE(VLOOKUP(B158,DisplayOrder[#All],2))</f>
        <v>Reserved-46</v>
      </c>
      <c r="D158" s="116" t="str">
        <f>_xlfn.SINGLE(VLOOKUP(B158,DisplayOrder!A:C,3,FALSE))</f>
        <v>each</v>
      </c>
      <c r="E158" s="50">
        <f>SUMIF(DATA_Orders!$AH$2:$AH$341,C158,DATA_Orders!$AJ$2:$AJ$341)</f>
        <v>0</v>
      </c>
      <c r="F158" s="50"/>
      <c r="G158" s="51" t="e">
        <f ca="1">_xlfn.SINGLE(IF(E158=0,"N/A",VLOOKUP(C158,Pivot_OutstandingOrders!$A$4:$D$23,5,FALSE)))</f>
        <v>#NAME?</v>
      </c>
    </row>
    <row r="159" spans="2:7" s="43" customFormat="1" ht="11" hidden="1">
      <c r="B159" s="46">
        <v>47</v>
      </c>
      <c r="C159" s="47" t="str">
        <f>_xlfn.SINGLE(VLOOKUP(B159,DisplayOrder[#All],2))</f>
        <v>Reserved-47</v>
      </c>
      <c r="D159" s="116" t="str">
        <f>_xlfn.SINGLE(VLOOKUP(B159,DisplayOrder!A:C,3,FALSE))</f>
        <v>each</v>
      </c>
      <c r="E159" s="50">
        <f>SUMIF(DATA_Orders!$AH$2:$AH$341,C159,DATA_Orders!$AJ$2:$AJ$341)</f>
        <v>0</v>
      </c>
      <c r="F159" s="50"/>
      <c r="G159" s="51" t="e">
        <f ca="1">_xlfn.SINGLE(IF(E159=0,"N/A",VLOOKUP(C159,Pivot_OutstandingOrders!$A$4:$D$23,5,FALSE)))</f>
        <v>#NAME?</v>
      </c>
    </row>
    <row r="160" spans="2:7" s="43" customFormat="1" ht="11" hidden="1">
      <c r="B160" s="46">
        <v>48</v>
      </c>
      <c r="C160" s="47" t="str">
        <f>_xlfn.SINGLE(VLOOKUP(B160,DisplayOrder[#All],2))</f>
        <v>Reserved-48</v>
      </c>
      <c r="D160" s="116" t="str">
        <f>_xlfn.SINGLE(VLOOKUP(B160,DisplayOrder!A:C,3,FALSE))</f>
        <v>each</v>
      </c>
      <c r="E160" s="50">
        <f>SUMIF(DATA_Orders!$AH$2:$AH$341,C160,DATA_Orders!$AJ$2:$AJ$341)</f>
        <v>0</v>
      </c>
      <c r="F160" s="50"/>
      <c r="G160" s="51" t="e">
        <f ca="1">_xlfn.SINGLE(IF(E160=0,"N/A",VLOOKUP(C160,Pivot_OutstandingOrders!$A$4:$D$23,5,FALSE)))</f>
        <v>#NAME?</v>
      </c>
    </row>
    <row r="161" spans="2:7" s="43" customFormat="1" ht="11" hidden="1">
      <c r="B161" s="46">
        <v>49</v>
      </c>
      <c r="C161" s="47" t="str">
        <f>_xlfn.SINGLE(VLOOKUP(B161,DisplayOrder[#All],2))</f>
        <v>Reserved-49</v>
      </c>
      <c r="D161" s="116" t="str">
        <f>_xlfn.SINGLE(VLOOKUP(B161,DisplayOrder!A:C,3,FALSE))</f>
        <v>each</v>
      </c>
      <c r="E161" s="50">
        <f>SUMIF(DATA_Orders!$AH$2:$AH$341,C161,DATA_Orders!$AJ$2:$AJ$341)</f>
        <v>0</v>
      </c>
      <c r="F161" s="50"/>
      <c r="G161" s="51" t="e">
        <f ca="1">_xlfn.SINGLE(IF(E161=0,"N/A",VLOOKUP(C161,Pivot_OutstandingOrders!$A$4:$D$23,5,FALSE)))</f>
        <v>#NAME?</v>
      </c>
    </row>
    <row r="162" spans="2:7" s="43" customFormat="1" ht="11" hidden="1">
      <c r="B162" s="46">
        <v>50</v>
      </c>
      <c r="C162" s="47" t="str">
        <f>_xlfn.SINGLE(VLOOKUP(B162,DisplayOrder[#All],2))</f>
        <v>Reserved-50</v>
      </c>
      <c r="D162" s="116" t="str">
        <f>_xlfn.SINGLE(VLOOKUP(B162,DisplayOrder!A:C,3,FALSE))</f>
        <v>each</v>
      </c>
      <c r="E162" s="50">
        <f>SUMIF(DATA_Orders!$AH$2:$AH$341,C162,DATA_Orders!$AJ$2:$AJ$341)</f>
        <v>0</v>
      </c>
      <c r="F162" s="50"/>
      <c r="G162" s="51" t="e">
        <f ca="1">_xlfn.SINGLE(IF(E162=0,"N/A",VLOOKUP(C162,Pivot_OutstandingOrders!$A$4:$D$23,5,FALSE)))</f>
        <v>#NAME?</v>
      </c>
    </row>
    <row r="163" spans="2:7" s="43" customFormat="1" ht="11" hidden="1">
      <c r="B163" s="46">
        <v>51</v>
      </c>
      <c r="C163" s="47" t="str">
        <f>_xlfn.SINGLE(VLOOKUP(B163,DisplayOrder[#All],2))</f>
        <v>Reserved-51</v>
      </c>
      <c r="D163" s="116" t="str">
        <f>_xlfn.SINGLE(VLOOKUP(B163,DisplayOrder!A:C,3,FALSE))</f>
        <v>each</v>
      </c>
      <c r="E163" s="50">
        <f>SUMIF(DATA_Orders!$AH$2:$AH$341,C163,DATA_Orders!$AJ$2:$AJ$341)</f>
        <v>0</v>
      </c>
      <c r="F163" s="50"/>
      <c r="G163" s="51" t="e">
        <f ca="1">_xlfn.SINGLE(IF(E163=0,"N/A",VLOOKUP(C163,Pivot_OutstandingOrders!$A$4:$D$23,5,FALSE)))</f>
        <v>#NAME?</v>
      </c>
    </row>
    <row r="164" spans="2:7" s="43" customFormat="1" ht="11" hidden="1">
      <c r="B164" s="46">
        <v>52</v>
      </c>
      <c r="C164" s="47" t="str">
        <f>_xlfn.SINGLE(VLOOKUP(B164,DisplayOrder[#All],2))</f>
        <v>Reserved-52</v>
      </c>
      <c r="D164" s="116" t="str">
        <f>_xlfn.SINGLE(VLOOKUP(B164,DisplayOrder!A:C,3,FALSE))</f>
        <v>each</v>
      </c>
      <c r="E164" s="50">
        <f>SUMIF(DATA_Orders!$AH$2:$AH$341,C164,DATA_Orders!$AJ$2:$AJ$341)</f>
        <v>0</v>
      </c>
      <c r="F164" s="50"/>
      <c r="G164" s="51" t="e">
        <f ca="1">_xlfn.SINGLE(IF(E164=0,"N/A",VLOOKUP(C164,Pivot_OutstandingOrders!$A$4:$D$23,5,FALSE)))</f>
        <v>#NAME?</v>
      </c>
    </row>
    <row r="165" spans="2:7" s="43" customFormat="1" ht="11" hidden="1">
      <c r="B165" s="46">
        <v>53</v>
      </c>
      <c r="C165" s="47" t="str">
        <f>_xlfn.SINGLE(VLOOKUP(B165,DisplayOrder[#All],2))</f>
        <v>Reserved-53</v>
      </c>
      <c r="D165" s="116" t="str">
        <f>_xlfn.SINGLE(VLOOKUP(B165,DisplayOrder!A:C,3,FALSE))</f>
        <v>each</v>
      </c>
      <c r="E165" s="50">
        <f>SUMIF(DATA_Orders!$AH$2:$AH$341,C165,DATA_Orders!$AJ$2:$AJ$341)</f>
        <v>0</v>
      </c>
      <c r="F165" s="50"/>
      <c r="G165" s="51" t="e">
        <f ca="1">_xlfn.SINGLE(IF(E165=0,"N/A",VLOOKUP(C165,Pivot_OutstandingOrders!$A$4:$D$23,5,FALSE)))</f>
        <v>#NAME?</v>
      </c>
    </row>
    <row r="166" spans="2:7" s="43" customFormat="1" ht="11" hidden="1">
      <c r="B166" s="46">
        <v>54</v>
      </c>
      <c r="C166" s="47" t="str">
        <f>_xlfn.SINGLE(VLOOKUP(B166,DisplayOrder[#All],2))</f>
        <v>Reserved-54</v>
      </c>
      <c r="D166" s="116" t="str">
        <f>_xlfn.SINGLE(VLOOKUP(B166,DisplayOrder!A:C,3,FALSE))</f>
        <v>each</v>
      </c>
      <c r="E166" s="50">
        <f>SUMIF(DATA_Orders!$AH$2:$AH$341,C166,DATA_Orders!$AJ$2:$AJ$341)</f>
        <v>0</v>
      </c>
      <c r="F166" s="50"/>
      <c r="G166" s="51" t="e">
        <f ca="1">_xlfn.SINGLE(IF(E166=0,"N/A",VLOOKUP(C166,Pivot_OutstandingOrders!$A$4:$D$23,5,FALSE)))</f>
        <v>#NAME?</v>
      </c>
    </row>
    <row r="167" spans="2:7" s="43" customFormat="1" ht="11" hidden="1">
      <c r="B167" s="46">
        <v>55</v>
      </c>
      <c r="C167" s="47" t="str">
        <f>_xlfn.SINGLE(VLOOKUP(B167,DisplayOrder[#All],2))</f>
        <v>Reserved-55</v>
      </c>
      <c r="D167" s="116" t="str">
        <f>_xlfn.SINGLE(VLOOKUP(B167,DisplayOrder!A:C,3,FALSE))</f>
        <v>each</v>
      </c>
      <c r="E167" s="50">
        <f>SUMIF(DATA_Orders!$AH$2:$AH$341,C167,DATA_Orders!$AJ$2:$AJ$341)</f>
        <v>0</v>
      </c>
      <c r="F167" s="50"/>
      <c r="G167" s="51" t="e">
        <f ca="1">_xlfn.SINGLE(IF(E167=0,"N/A",VLOOKUP(C167,Pivot_OutstandingOrders!$A$4:$D$23,5,FALSE)))</f>
        <v>#NAME?</v>
      </c>
    </row>
    <row r="168" spans="2:7" s="43" customFormat="1" ht="11" hidden="1">
      <c r="B168" s="46">
        <v>56</v>
      </c>
      <c r="C168" s="47" t="str">
        <f>_xlfn.SINGLE(VLOOKUP(B168,DisplayOrder[#All],2))</f>
        <v>Reserved-56</v>
      </c>
      <c r="D168" s="116" t="str">
        <f>_xlfn.SINGLE(VLOOKUP(B168,DisplayOrder!A:C,3,FALSE))</f>
        <v>each</v>
      </c>
      <c r="E168" s="50">
        <f>SUMIF(DATA_Orders!$AH$2:$AH$341,C168,DATA_Orders!$AJ$2:$AJ$341)</f>
        <v>0</v>
      </c>
      <c r="F168" s="50"/>
      <c r="G168" s="51" t="e">
        <f ca="1">_xlfn.SINGLE(IF(E168=0,"N/A",VLOOKUP(C168,Pivot_OutstandingOrders!$A$4:$D$23,5,FALSE)))</f>
        <v>#NAME?</v>
      </c>
    </row>
    <row r="169" spans="2:7" s="43" customFormat="1" ht="11" hidden="1">
      <c r="B169" s="46">
        <v>57</v>
      </c>
      <c r="C169" s="47" t="str">
        <f>_xlfn.SINGLE(VLOOKUP(B169,DisplayOrder[#All],2))</f>
        <v>Reserved-57</v>
      </c>
      <c r="D169" s="116" t="str">
        <f>_xlfn.SINGLE(VLOOKUP(B169,DisplayOrder!A:C,3,FALSE))</f>
        <v>each</v>
      </c>
      <c r="E169" s="50">
        <f>SUMIF(DATA_Orders!$AH$2:$AH$341,C169,DATA_Orders!$AJ$2:$AJ$341)</f>
        <v>0</v>
      </c>
      <c r="F169" s="50"/>
      <c r="G169" s="51" t="e">
        <f ca="1">_xlfn.SINGLE(IF(E169=0,"N/A",VLOOKUP(C169,Pivot_OutstandingOrders!$A$4:$D$23,5,FALSE)))</f>
        <v>#NAME?</v>
      </c>
    </row>
    <row r="170" spans="2:7" s="43" customFormat="1" ht="11" hidden="1">
      <c r="B170" s="46">
        <v>58</v>
      </c>
      <c r="C170" s="47" t="str">
        <f>_xlfn.SINGLE(VLOOKUP(B170,DisplayOrder[#All],2))</f>
        <v>Reserved-58</v>
      </c>
      <c r="D170" s="116" t="str">
        <f>_xlfn.SINGLE(VLOOKUP(B170,DisplayOrder!A:C,3,FALSE))</f>
        <v>each</v>
      </c>
      <c r="E170" s="50">
        <f>SUMIF(DATA_Orders!$AH$2:$AH$341,C170,DATA_Orders!$AJ$2:$AJ$341)</f>
        <v>0</v>
      </c>
      <c r="F170" s="50"/>
      <c r="G170" s="51" t="e">
        <f ca="1">_xlfn.SINGLE(IF(E170=0,"N/A",VLOOKUP(C170,Pivot_OutstandingOrders!$A$4:$D$23,5,FALSE)))</f>
        <v>#NAME?</v>
      </c>
    </row>
    <row r="171" spans="2:7" s="43" customFormat="1" ht="11" hidden="1">
      <c r="B171" s="46">
        <v>59</v>
      </c>
      <c r="C171" s="47" t="str">
        <f>_xlfn.SINGLE(VLOOKUP(B171,DisplayOrder[#All],2))</f>
        <v>Reserved-59</v>
      </c>
      <c r="D171" s="116" t="str">
        <f>_xlfn.SINGLE(VLOOKUP(B171,DisplayOrder!A:C,3,FALSE))</f>
        <v>each</v>
      </c>
      <c r="E171" s="50">
        <f>SUMIF(DATA_Orders!$AH$2:$AH$341,C171,DATA_Orders!$AJ$2:$AJ$341)</f>
        <v>0</v>
      </c>
      <c r="F171" s="50"/>
      <c r="G171" s="51" t="e">
        <f ca="1">_xlfn.SINGLE(IF(E171=0,"N/A",VLOOKUP(C171,Pivot_OutstandingOrders!$A$4:$D$23,5,FALSE)))</f>
        <v>#NAME?</v>
      </c>
    </row>
    <row r="172" spans="2:7" s="43" customFormat="1" ht="11" hidden="1">
      <c r="B172" s="46">
        <v>60</v>
      </c>
      <c r="C172" s="47" t="str">
        <f>_xlfn.SINGLE(VLOOKUP(B172,DisplayOrder[#All],2))</f>
        <v>Reserved-60</v>
      </c>
      <c r="D172" s="116" t="str">
        <f>_xlfn.SINGLE(VLOOKUP(B172,DisplayOrder!A:C,3,FALSE))</f>
        <v>each</v>
      </c>
      <c r="E172" s="50">
        <f>SUMIF(DATA_Orders!$AH$2:$AH$341,C172,DATA_Orders!$AJ$2:$AJ$341)</f>
        <v>0</v>
      </c>
      <c r="F172" s="50"/>
      <c r="G172" s="51" t="e">
        <f ca="1">_xlfn.SINGLE(IF(E172=0,"N/A",VLOOKUP(C172,Pivot_OutstandingOrders!$A$4:$D$23,5,FALSE)))</f>
        <v>#NAME?</v>
      </c>
    </row>
    <row r="173" spans="2:7" s="43" customFormat="1" ht="11" hidden="1">
      <c r="B173" s="46">
        <v>61</v>
      </c>
      <c r="C173" s="47" t="str">
        <f>_xlfn.SINGLE(VLOOKUP(B173,DisplayOrder[#All],2))</f>
        <v>Reserved-61</v>
      </c>
      <c r="D173" s="116" t="str">
        <f>_xlfn.SINGLE(VLOOKUP(B173,DisplayOrder!A:C,3,FALSE))</f>
        <v>each</v>
      </c>
      <c r="E173" s="50">
        <f>SUMIF(DATA_Orders!$AH$2:$AH$341,C173,DATA_Orders!$AJ$2:$AJ$341)</f>
        <v>0</v>
      </c>
      <c r="F173" s="50"/>
      <c r="G173" s="51" t="e">
        <f ca="1">_xlfn.SINGLE(IF(E173=0,"N/A",VLOOKUP(C173,Pivot_OutstandingOrders!$A$4:$D$23,5,FALSE)))</f>
        <v>#NAME?</v>
      </c>
    </row>
    <row r="174" spans="2:7" s="43" customFormat="1" ht="11" hidden="1">
      <c r="B174" s="46">
        <v>62</v>
      </c>
      <c r="C174" s="47" t="str">
        <f>_xlfn.SINGLE(VLOOKUP(B174,DisplayOrder[#All],2))</f>
        <v>Reserved-62</v>
      </c>
      <c r="D174" s="116" t="str">
        <f>_xlfn.SINGLE(VLOOKUP(B174,DisplayOrder!A:C,3,FALSE))</f>
        <v>each</v>
      </c>
      <c r="E174" s="50">
        <f>SUMIF(DATA_Orders!$AH$2:$AH$341,C174,DATA_Orders!$AJ$2:$AJ$341)</f>
        <v>0</v>
      </c>
      <c r="F174" s="50"/>
      <c r="G174" s="51" t="e">
        <f ca="1">_xlfn.SINGLE(IF(E174=0,"N/A",VLOOKUP(C174,Pivot_OutstandingOrders!$A$4:$D$23,5,FALSE)))</f>
        <v>#NAME?</v>
      </c>
    </row>
    <row r="175" spans="2:7" s="43" customFormat="1" ht="11" hidden="1">
      <c r="B175" s="46">
        <v>63</v>
      </c>
      <c r="C175" s="47" t="str">
        <f>_xlfn.SINGLE(VLOOKUP(B175,DisplayOrder[#All],2))</f>
        <v>Reserved-63</v>
      </c>
      <c r="D175" s="116" t="str">
        <f>_xlfn.SINGLE(VLOOKUP(B175,DisplayOrder!A:C,3,FALSE))</f>
        <v>each</v>
      </c>
      <c r="E175" s="50">
        <f>SUMIF(DATA_Orders!$AH$2:$AH$341,C175,DATA_Orders!$AJ$2:$AJ$341)</f>
        <v>0</v>
      </c>
      <c r="F175" s="50"/>
      <c r="G175" s="51" t="e">
        <f ca="1">_xlfn.SINGLE(IF(E175=0,"N/A",VLOOKUP(C175,Pivot_OutstandingOrders!$A$4:$D$23,5,FALSE)))</f>
        <v>#NAME?</v>
      </c>
    </row>
    <row r="176" spans="2:7" s="43" customFormat="1" ht="11" hidden="1">
      <c r="B176" s="46">
        <v>64</v>
      </c>
      <c r="C176" s="47" t="str">
        <f>_xlfn.SINGLE(VLOOKUP(B176,DisplayOrder[#All],2))</f>
        <v>Reserved-64</v>
      </c>
      <c r="D176" s="116" t="str">
        <f>_xlfn.SINGLE(VLOOKUP(B176,DisplayOrder!A:C,3,FALSE))</f>
        <v>each</v>
      </c>
      <c r="E176" s="50">
        <f>SUMIF(DATA_Orders!$AH$2:$AH$341,C176,DATA_Orders!$AJ$2:$AJ$341)</f>
        <v>0</v>
      </c>
      <c r="F176" s="50"/>
      <c r="G176" s="51" t="e">
        <f ca="1">_xlfn.SINGLE(IF(E176=0,"N/A",VLOOKUP(C176,Pivot_OutstandingOrders!$A$4:$D$23,5,FALSE)))</f>
        <v>#NAME?</v>
      </c>
    </row>
    <row r="177" spans="2:7" s="43" customFormat="1" ht="11" hidden="1">
      <c r="B177" s="46">
        <v>65</v>
      </c>
      <c r="C177" s="47" t="str">
        <f>_xlfn.SINGLE(VLOOKUP(B177,DisplayOrder[#All],2))</f>
        <v>Reserved-65</v>
      </c>
      <c r="D177" s="116" t="str">
        <f>_xlfn.SINGLE(VLOOKUP(B177,DisplayOrder!A:C,3,FALSE))</f>
        <v>each</v>
      </c>
      <c r="E177" s="50">
        <f>SUMIF(DATA_Orders!$AH$2:$AH$341,C177,DATA_Orders!$AJ$2:$AJ$341)</f>
        <v>0</v>
      </c>
      <c r="F177" s="50"/>
      <c r="G177" s="51" t="e">
        <f ca="1">_xlfn.SINGLE(IF(E177=0,"N/A",VLOOKUP(C177,Pivot_OutstandingOrders!$A$4:$D$23,5,FALSE)))</f>
        <v>#NAME?</v>
      </c>
    </row>
    <row r="178" spans="2:7" s="43" customFormat="1" ht="11" hidden="1">
      <c r="B178" s="46">
        <v>66</v>
      </c>
      <c r="C178" s="47" t="str">
        <f>_xlfn.SINGLE(VLOOKUP(B178,DisplayOrder[#All],2))</f>
        <v>Reserved-66</v>
      </c>
      <c r="D178" s="116" t="str">
        <f>_xlfn.SINGLE(VLOOKUP(B178,DisplayOrder!A:C,3,FALSE))</f>
        <v>each</v>
      </c>
      <c r="E178" s="50">
        <f>SUMIF(DATA_Orders!$AH$2:$AH$341,C178,DATA_Orders!$AJ$2:$AJ$341)</f>
        <v>0</v>
      </c>
      <c r="F178" s="50"/>
      <c r="G178" s="51" t="e">
        <f ca="1">_xlfn.SINGLE(IF(E178=0,"N/A",VLOOKUP(C178,Pivot_OutstandingOrders!$A$4:$D$23,5,FALSE)))</f>
        <v>#NAME?</v>
      </c>
    </row>
    <row r="179" spans="2:7" s="43" customFormat="1" ht="11" hidden="1">
      <c r="B179" s="46">
        <v>67</v>
      </c>
      <c r="C179" s="47" t="str">
        <f>_xlfn.SINGLE(VLOOKUP(B179,DisplayOrder[#All],2))</f>
        <v>Reserved-67</v>
      </c>
      <c r="D179" s="116" t="str">
        <f>_xlfn.SINGLE(VLOOKUP(B179,DisplayOrder!A:C,3,FALSE))</f>
        <v>each</v>
      </c>
      <c r="E179" s="50">
        <f>SUMIF(DATA_Orders!$AH$2:$AH$341,C179,DATA_Orders!$AJ$2:$AJ$341)</f>
        <v>0</v>
      </c>
      <c r="F179" s="50"/>
      <c r="G179" s="51" t="e">
        <f ca="1">_xlfn.SINGLE(IF(E179=0,"N/A",VLOOKUP(C179,Pivot_OutstandingOrders!$A$4:$D$23,5,FALSE)))</f>
        <v>#NAME?</v>
      </c>
    </row>
    <row r="180" spans="2:7" s="43" customFormat="1" ht="11" hidden="1">
      <c r="B180" s="46">
        <v>68</v>
      </c>
      <c r="C180" s="47" t="str">
        <f>_xlfn.SINGLE(VLOOKUP(B180,DisplayOrder[#All],2))</f>
        <v>Reserved-68</v>
      </c>
      <c r="D180" s="116" t="str">
        <f>_xlfn.SINGLE(VLOOKUP(B180,DisplayOrder!A:C,3,FALSE))</f>
        <v>each</v>
      </c>
      <c r="E180" s="50">
        <f>SUMIF(DATA_Orders!$AH$2:$AH$341,C180,DATA_Orders!$AJ$2:$AJ$341)</f>
        <v>0</v>
      </c>
      <c r="F180" s="50"/>
      <c r="G180" s="51" t="e">
        <f ca="1">_xlfn.SINGLE(IF(E180=0,"N/A",VLOOKUP(C180,Pivot_OutstandingOrders!$A$4:$D$23,5,FALSE)))</f>
        <v>#NAME?</v>
      </c>
    </row>
    <row r="181" spans="2:7" s="43" customFormat="1" ht="11" hidden="1">
      <c r="B181" s="46">
        <v>69</v>
      </c>
      <c r="C181" s="47" t="str">
        <f>_xlfn.SINGLE(VLOOKUP(B181,DisplayOrder[#All],2))</f>
        <v>Reserved-69</v>
      </c>
      <c r="D181" s="116" t="str">
        <f>_xlfn.SINGLE(VLOOKUP(B181,DisplayOrder!A:C,3,FALSE))</f>
        <v>each</v>
      </c>
      <c r="E181" s="50">
        <f>SUMIF(DATA_Orders!$AH$2:$AH$341,C181,DATA_Orders!$AJ$2:$AJ$341)</f>
        <v>0</v>
      </c>
      <c r="F181" s="50"/>
      <c r="G181" s="51" t="e">
        <f ca="1">_xlfn.SINGLE(IF(E181=0,"N/A",VLOOKUP(C181,Pivot_OutstandingOrders!$A$4:$D$23,5,FALSE)))</f>
        <v>#NAME?</v>
      </c>
    </row>
    <row r="182" spans="2:7" s="43" customFormat="1" ht="11" hidden="1">
      <c r="B182" s="46">
        <v>70</v>
      </c>
      <c r="C182" s="47" t="str">
        <f>_xlfn.SINGLE(VLOOKUP(B182,DisplayOrder[#All],2))</f>
        <v>Reserved-70</v>
      </c>
      <c r="D182" s="116" t="str">
        <f>_xlfn.SINGLE(VLOOKUP(B182,DisplayOrder!A:C,3,FALSE))</f>
        <v>each</v>
      </c>
      <c r="E182" s="50">
        <f>SUMIF(DATA_Orders!$AH$2:$AH$341,C182,DATA_Orders!$AJ$2:$AJ$341)</f>
        <v>0</v>
      </c>
      <c r="F182" s="50"/>
      <c r="G182" s="51" t="e">
        <f ca="1">_xlfn.SINGLE(IF(E182=0,"N/A",VLOOKUP(C182,Pivot_OutstandingOrders!$A$4:$D$23,5,FALSE)))</f>
        <v>#NAME?</v>
      </c>
    </row>
    <row r="183" spans="2:7" s="43" customFormat="1" ht="11" hidden="1">
      <c r="B183" s="46">
        <v>71</v>
      </c>
      <c r="C183" s="47" t="str">
        <f>_xlfn.SINGLE(VLOOKUP(B183,DisplayOrder[#All],2))</f>
        <v>Reserved-71</v>
      </c>
      <c r="D183" s="116" t="str">
        <f>_xlfn.SINGLE(VLOOKUP(B183,DisplayOrder!A:C,3,FALSE))</f>
        <v>each</v>
      </c>
      <c r="E183" s="50">
        <f>SUMIF(DATA_Orders!$AH$2:$AH$341,C183,DATA_Orders!$AJ$2:$AJ$341)</f>
        <v>0</v>
      </c>
      <c r="F183" s="50"/>
      <c r="G183" s="51" t="e">
        <f ca="1">_xlfn.SINGLE(IF(E183=0,"N/A",VLOOKUP(C183,Pivot_OutstandingOrders!$A$4:$D$23,5,FALSE)))</f>
        <v>#NAME?</v>
      </c>
    </row>
    <row r="184" spans="2:7" s="43" customFormat="1" ht="11" hidden="1">
      <c r="B184" s="46">
        <v>72</v>
      </c>
      <c r="C184" s="47" t="str">
        <f>_xlfn.SINGLE(VLOOKUP(B184,DisplayOrder[#All],2))</f>
        <v>Reserved-72</v>
      </c>
      <c r="D184" s="116" t="str">
        <f>_xlfn.SINGLE(VLOOKUP(B184,DisplayOrder!A:C,3,FALSE))</f>
        <v>each</v>
      </c>
      <c r="E184" s="50">
        <f>SUMIF(DATA_Orders!$AH$2:$AH$341,C184,DATA_Orders!$AJ$2:$AJ$341)</f>
        <v>0</v>
      </c>
      <c r="F184" s="50"/>
      <c r="G184" s="51" t="e">
        <f ca="1">_xlfn.SINGLE(IF(E184=0,"N/A",VLOOKUP(C184,Pivot_OutstandingOrders!$A$4:$D$23,5,FALSE)))</f>
        <v>#NAME?</v>
      </c>
    </row>
    <row r="185" spans="2:7" s="43" customFormat="1" ht="11" hidden="1">
      <c r="B185" s="46">
        <v>73</v>
      </c>
      <c r="C185" s="47" t="str">
        <f>_xlfn.SINGLE(VLOOKUP(B185,DisplayOrder[#All],2))</f>
        <v>Reserved-73</v>
      </c>
      <c r="D185" s="116" t="str">
        <f>_xlfn.SINGLE(VLOOKUP(B185,DisplayOrder!A:C,3,FALSE))</f>
        <v>each</v>
      </c>
      <c r="E185" s="50">
        <f>SUMIF(DATA_Orders!$AH$2:$AH$341,C185,DATA_Orders!$AJ$2:$AJ$341)</f>
        <v>0</v>
      </c>
      <c r="F185" s="50"/>
      <c r="G185" s="51" t="e">
        <f ca="1">_xlfn.SINGLE(IF(E185=0,"N/A",VLOOKUP(C185,Pivot_OutstandingOrders!$A$4:$D$23,5,FALSE)))</f>
        <v>#NAME?</v>
      </c>
    </row>
    <row r="186" spans="2:7" s="43" customFormat="1" ht="11" hidden="1">
      <c r="B186" s="46">
        <v>74</v>
      </c>
      <c r="C186" s="47" t="str">
        <f>_xlfn.SINGLE(VLOOKUP(B186,DisplayOrder[#All],2))</f>
        <v>Reserved-74</v>
      </c>
      <c r="D186" s="116" t="str">
        <f>_xlfn.SINGLE(VLOOKUP(B186,DisplayOrder!A:C,3,FALSE))</f>
        <v>each</v>
      </c>
      <c r="E186" s="50">
        <f>SUMIF(DATA_Orders!$AH$2:$AH$341,C186,DATA_Orders!$AJ$2:$AJ$341)</f>
        <v>0</v>
      </c>
      <c r="F186" s="50"/>
      <c r="G186" s="51" t="e">
        <f ca="1">_xlfn.SINGLE(IF(E186=0,"N/A",VLOOKUP(C186,Pivot_OutstandingOrders!$A$4:$D$23,5,FALSE)))</f>
        <v>#NAME?</v>
      </c>
    </row>
    <row r="187" spans="2:7" s="43" customFormat="1" ht="11" hidden="1">
      <c r="B187" s="46">
        <v>75</v>
      </c>
      <c r="C187" s="47" t="str">
        <f>_xlfn.SINGLE(VLOOKUP(B187,DisplayOrder[#All],2))</f>
        <v>Reserved-75</v>
      </c>
      <c r="D187" s="116" t="str">
        <f>_xlfn.SINGLE(VLOOKUP(B187,DisplayOrder!A:C,3,FALSE))</f>
        <v>each</v>
      </c>
      <c r="E187" s="50">
        <f>SUMIF(DATA_Orders!$AH$2:$AH$341,C187,DATA_Orders!$AJ$2:$AJ$341)</f>
        <v>0</v>
      </c>
      <c r="F187" s="50"/>
      <c r="G187" s="51" t="e">
        <f ca="1">_xlfn.SINGLE(IF(E187=0,"N/A",VLOOKUP(C187,Pivot_OutstandingOrders!$A$4:$D$23,5,FALSE)))</f>
        <v>#NAME?</v>
      </c>
    </row>
    <row r="188" spans="2:7" s="43" customFormat="1" ht="11" hidden="1">
      <c r="B188" s="46">
        <v>76</v>
      </c>
      <c r="C188" s="47" t="str">
        <f>_xlfn.SINGLE(VLOOKUP(B188,DisplayOrder[#All],2))</f>
        <v>Reserved-76</v>
      </c>
      <c r="D188" s="116" t="str">
        <f>_xlfn.SINGLE(VLOOKUP(B188,DisplayOrder!A:C,3,FALSE))</f>
        <v>each</v>
      </c>
      <c r="E188" s="50">
        <f>SUMIF(DATA_Orders!$AH$2:$AH$341,C188,DATA_Orders!$AJ$2:$AJ$341)</f>
        <v>0</v>
      </c>
      <c r="F188" s="50"/>
      <c r="G188" s="51" t="e">
        <f ca="1">_xlfn.SINGLE(IF(E188=0,"N/A",VLOOKUP(C188,Pivot_OutstandingOrders!$A$4:$D$23,5,FALSE)))</f>
        <v>#NAME?</v>
      </c>
    </row>
    <row r="189" spans="2:7" s="43" customFormat="1" ht="11" hidden="1">
      <c r="B189" s="46">
        <v>77</v>
      </c>
      <c r="C189" s="47" t="str">
        <f>_xlfn.SINGLE(VLOOKUP(B189,DisplayOrder[#All],2))</f>
        <v>Reserved-77</v>
      </c>
      <c r="D189" s="116" t="str">
        <f>_xlfn.SINGLE(VLOOKUP(B189,DisplayOrder!A:C,3,FALSE))</f>
        <v>each</v>
      </c>
      <c r="E189" s="50">
        <f>SUMIF(DATA_Orders!$AH$2:$AH$341,C189,DATA_Orders!$AJ$2:$AJ$341)</f>
        <v>0</v>
      </c>
      <c r="F189" s="50"/>
      <c r="G189" s="51" t="e">
        <f ca="1">_xlfn.SINGLE(IF(E189=0,"N/A",VLOOKUP(C189,Pivot_OutstandingOrders!$A$4:$D$23,5,FALSE)))</f>
        <v>#NAME?</v>
      </c>
    </row>
    <row r="190" spans="2:7" s="43" customFormat="1" ht="11" hidden="1">
      <c r="B190" s="46">
        <v>78</v>
      </c>
      <c r="C190" s="47" t="str">
        <f>_xlfn.SINGLE(VLOOKUP(B190,DisplayOrder[#All],2))</f>
        <v>Reserved-78</v>
      </c>
      <c r="D190" s="116" t="str">
        <f>_xlfn.SINGLE(VLOOKUP(B190,DisplayOrder!A:C,3,FALSE))</f>
        <v>each</v>
      </c>
      <c r="E190" s="50">
        <f>SUMIF(DATA_Orders!$AH$2:$AH$341,C190,DATA_Orders!$AJ$2:$AJ$341)</f>
        <v>0</v>
      </c>
      <c r="F190" s="50"/>
      <c r="G190" s="51" t="e">
        <f ca="1">_xlfn.SINGLE(IF(E190=0,"N/A",VLOOKUP(C190,Pivot_OutstandingOrders!$A$4:$D$23,5,FALSE)))</f>
        <v>#NAME?</v>
      </c>
    </row>
    <row r="191" spans="2:7" s="43" customFormat="1" ht="11" hidden="1">
      <c r="B191" s="46">
        <v>79</v>
      </c>
      <c r="C191" s="47" t="str">
        <f>_xlfn.SINGLE(VLOOKUP(B191,DisplayOrder[#All],2))</f>
        <v>Reserved-79</v>
      </c>
      <c r="D191" s="116" t="str">
        <f>_xlfn.SINGLE(VLOOKUP(B191,DisplayOrder!A:C,3,FALSE))</f>
        <v>each</v>
      </c>
      <c r="E191" s="50">
        <f>SUMIF(DATA_Orders!$AH$2:$AH$341,C191,DATA_Orders!$AJ$2:$AJ$341)</f>
        <v>0</v>
      </c>
      <c r="F191" s="50"/>
      <c r="G191" s="51" t="e">
        <f ca="1">_xlfn.SINGLE(IF(E191=0,"N/A",VLOOKUP(C191,Pivot_OutstandingOrders!$A$4:$D$23,5,FALSE)))</f>
        <v>#NAME?</v>
      </c>
    </row>
    <row r="192" spans="2:7" s="43" customFormat="1" ht="11" hidden="1">
      <c r="B192" s="46">
        <v>80</v>
      </c>
      <c r="C192" s="47" t="str">
        <f>_xlfn.SINGLE(VLOOKUP(B192,DisplayOrder[#All],2))</f>
        <v>Reserved-80</v>
      </c>
      <c r="D192" s="116" t="str">
        <f>_xlfn.SINGLE(VLOOKUP(B192,DisplayOrder!A:C,3,FALSE))</f>
        <v>each</v>
      </c>
      <c r="E192" s="50">
        <f>SUMIF(DATA_Orders!$AH$2:$AH$341,C192,DATA_Orders!$AJ$2:$AJ$341)</f>
        <v>0</v>
      </c>
      <c r="F192" s="50"/>
      <c r="G192" s="51" t="e">
        <f ca="1">_xlfn.SINGLE(IF(E192=0,"N/A",VLOOKUP(C192,Pivot_OutstandingOrders!$A$4:$D$23,5,FALSE)))</f>
        <v>#NAME?</v>
      </c>
    </row>
    <row r="193" spans="2:7" s="43" customFormat="1" ht="11" hidden="1">
      <c r="B193" s="46">
        <v>81</v>
      </c>
      <c r="C193" s="47" t="str">
        <f>_xlfn.SINGLE(VLOOKUP(B193,DisplayOrder[#All],2))</f>
        <v>Reserved-81</v>
      </c>
      <c r="D193" s="116" t="str">
        <f>_xlfn.SINGLE(VLOOKUP(B193,DisplayOrder!A:C,3,FALSE))</f>
        <v>each</v>
      </c>
      <c r="E193" s="50">
        <f>SUMIF(DATA_Orders!$AH$2:$AH$341,C193,DATA_Orders!$AJ$2:$AJ$341)</f>
        <v>0</v>
      </c>
      <c r="F193" s="50"/>
      <c r="G193" s="51" t="e">
        <f ca="1">_xlfn.SINGLE(IF(E193=0,"N/A",VLOOKUP(C193,Pivot_OutstandingOrders!$A$4:$D$23,5,FALSE)))</f>
        <v>#NAME?</v>
      </c>
    </row>
    <row r="194" spans="2:7" s="43" customFormat="1" ht="11" hidden="1">
      <c r="B194" s="46">
        <v>82</v>
      </c>
      <c r="C194" s="47" t="str">
        <f>_xlfn.SINGLE(VLOOKUP(B194,DisplayOrder[#All],2))</f>
        <v>Reserved-82</v>
      </c>
      <c r="D194" s="116" t="str">
        <f>_xlfn.SINGLE(VLOOKUP(B194,DisplayOrder!A:C,3,FALSE))</f>
        <v>each</v>
      </c>
      <c r="E194" s="50">
        <f>SUMIF(DATA_Orders!$AH$2:$AH$341,C194,DATA_Orders!$AJ$2:$AJ$341)</f>
        <v>0</v>
      </c>
      <c r="F194" s="50"/>
      <c r="G194" s="51" t="e">
        <f ca="1">_xlfn.SINGLE(IF(E194=0,"N/A",VLOOKUP(C194,Pivot_OutstandingOrders!$A$4:$D$23,5,FALSE)))</f>
        <v>#NAME?</v>
      </c>
    </row>
    <row r="195" spans="2:7" s="43" customFormat="1" ht="11" hidden="1">
      <c r="B195" s="46">
        <v>83</v>
      </c>
      <c r="C195" s="47" t="str">
        <f>_xlfn.SINGLE(VLOOKUP(B195,DisplayOrder[#All],2))</f>
        <v>Reserved-83</v>
      </c>
      <c r="D195" s="116" t="str">
        <f>_xlfn.SINGLE(VLOOKUP(B195,DisplayOrder!A:C,3,FALSE))</f>
        <v>each</v>
      </c>
      <c r="E195" s="50">
        <f>SUMIF(DATA_Orders!$AH$2:$AH$341,C195,DATA_Orders!$AJ$2:$AJ$341)</f>
        <v>0</v>
      </c>
      <c r="F195" s="50"/>
      <c r="G195" s="51" t="e">
        <f ca="1">_xlfn.SINGLE(IF(E195=0,"N/A",VLOOKUP(C195,Pivot_OutstandingOrders!$A$4:$D$23,5,FALSE)))</f>
        <v>#NAME?</v>
      </c>
    </row>
    <row r="196" spans="2:7" s="43" customFormat="1" ht="11" hidden="1">
      <c r="B196" s="46">
        <v>84</v>
      </c>
      <c r="C196" s="47" t="str">
        <f>_xlfn.SINGLE(VLOOKUP(B196,DisplayOrder[#All],2))</f>
        <v>Reserved-84</v>
      </c>
      <c r="D196" s="116" t="str">
        <f>_xlfn.SINGLE(VLOOKUP(B196,DisplayOrder!A:C,3,FALSE))</f>
        <v>each</v>
      </c>
      <c r="E196" s="50">
        <f>SUMIF(DATA_Orders!$AH$2:$AH$341,C196,DATA_Orders!$AJ$2:$AJ$341)</f>
        <v>0</v>
      </c>
      <c r="F196" s="50"/>
      <c r="G196" s="51" t="e">
        <f ca="1">_xlfn.SINGLE(IF(E196=0,"N/A",VLOOKUP(C196,Pivot_OutstandingOrders!$A$4:$D$23,5,FALSE)))</f>
        <v>#NAME?</v>
      </c>
    </row>
    <row r="197" spans="2:7" s="43" customFormat="1" ht="11" hidden="1">
      <c r="B197" s="46">
        <v>85</v>
      </c>
      <c r="C197" s="47" t="str">
        <f>_xlfn.SINGLE(VLOOKUP(B197,DisplayOrder[#All],2))</f>
        <v>Reserved-85</v>
      </c>
      <c r="D197" s="116" t="str">
        <f>_xlfn.SINGLE(VLOOKUP(B197,DisplayOrder!A:C,3,FALSE))</f>
        <v>each</v>
      </c>
      <c r="E197" s="50">
        <f>SUMIF(DATA_Orders!$AH$2:$AH$341,C197,DATA_Orders!$AJ$2:$AJ$341)</f>
        <v>0</v>
      </c>
      <c r="F197" s="50"/>
      <c r="G197" s="51" t="e">
        <f ca="1">_xlfn.SINGLE(IF(E197=0,"N/A",VLOOKUP(C197,Pivot_OutstandingOrders!$A$4:$D$23,5,FALSE)))</f>
        <v>#NAME?</v>
      </c>
    </row>
    <row r="198" spans="2:7" s="43" customFormat="1" ht="11" hidden="1">
      <c r="B198" s="46">
        <v>86</v>
      </c>
      <c r="C198" s="47" t="str">
        <f>_xlfn.SINGLE(VLOOKUP(B198,DisplayOrder[#All],2))</f>
        <v>Reserved-86</v>
      </c>
      <c r="D198" s="116" t="str">
        <f>_xlfn.SINGLE(VLOOKUP(B198,DisplayOrder!A:C,3,FALSE))</f>
        <v>each</v>
      </c>
      <c r="E198" s="50">
        <f>SUMIF(DATA_Orders!$AH$2:$AH$341,C198,DATA_Orders!$AJ$2:$AJ$341)</f>
        <v>0</v>
      </c>
      <c r="F198" s="50"/>
      <c r="G198" s="51" t="e">
        <f ca="1">_xlfn.SINGLE(IF(E198=0,"N/A",VLOOKUP(C198,Pivot_OutstandingOrders!$A$4:$D$23,5,FALSE)))</f>
        <v>#NAME?</v>
      </c>
    </row>
    <row r="199" spans="2:7" s="43" customFormat="1" ht="11" hidden="1">
      <c r="B199" s="46">
        <v>87</v>
      </c>
      <c r="C199" s="47" t="str">
        <f>_xlfn.SINGLE(VLOOKUP(B199,DisplayOrder[#All],2))</f>
        <v>Reserved-87</v>
      </c>
      <c r="D199" s="116" t="str">
        <f>_xlfn.SINGLE(VLOOKUP(B199,DisplayOrder!A:C,3,FALSE))</f>
        <v>each</v>
      </c>
      <c r="E199" s="50">
        <f>SUMIF(DATA_Orders!$AH$2:$AH$341,C199,DATA_Orders!$AJ$2:$AJ$341)</f>
        <v>0</v>
      </c>
      <c r="F199" s="50"/>
      <c r="G199" s="51" t="e">
        <f ca="1">_xlfn.SINGLE(IF(E199=0,"N/A",VLOOKUP(C199,Pivot_OutstandingOrders!$A$4:$D$23,5,FALSE)))</f>
        <v>#NAME?</v>
      </c>
    </row>
    <row r="200" spans="2:7" s="43" customFormat="1" ht="11" hidden="1">
      <c r="B200" s="46">
        <v>88</v>
      </c>
      <c r="C200" s="47" t="str">
        <f>_xlfn.SINGLE(VLOOKUP(B200,DisplayOrder[#All],2))</f>
        <v>Reserved-88</v>
      </c>
      <c r="D200" s="116" t="str">
        <f>_xlfn.SINGLE(VLOOKUP(B200,DisplayOrder!A:C,3,FALSE))</f>
        <v>each</v>
      </c>
      <c r="E200" s="50">
        <f>SUMIF(DATA_Orders!$AH$2:$AH$341,C200,DATA_Orders!$AJ$2:$AJ$341)</f>
        <v>0</v>
      </c>
      <c r="F200" s="50"/>
      <c r="G200" s="51" t="e">
        <f ca="1">_xlfn.SINGLE(IF(E200=0,"N/A",VLOOKUP(C200,Pivot_OutstandingOrders!$A$4:$D$23,5,FALSE)))</f>
        <v>#NAME?</v>
      </c>
    </row>
    <row r="201" spans="2:7" s="43" customFormat="1" ht="11" hidden="1">
      <c r="B201" s="46">
        <v>89</v>
      </c>
      <c r="C201" s="47" t="str">
        <f>_xlfn.SINGLE(VLOOKUP(B201,DisplayOrder[#All],2))</f>
        <v>Reserved-89</v>
      </c>
      <c r="D201" s="116" t="str">
        <f>_xlfn.SINGLE(VLOOKUP(B201,DisplayOrder!A:C,3,FALSE))</f>
        <v>each</v>
      </c>
      <c r="E201" s="50">
        <f>SUMIF(DATA_Orders!$AH$2:$AH$341,C201,DATA_Orders!$AJ$2:$AJ$341)</f>
        <v>0</v>
      </c>
      <c r="F201" s="50"/>
      <c r="G201" s="51" t="e">
        <f ca="1">_xlfn.SINGLE(IF(E201=0,"N/A",VLOOKUP(C201,Pivot_OutstandingOrders!$A$4:$D$23,5,FALSE)))</f>
        <v>#NAME?</v>
      </c>
    </row>
    <row r="202" spans="2:7" s="43" customFormat="1" ht="11" hidden="1">
      <c r="B202" s="46">
        <v>90</v>
      </c>
      <c r="C202" s="47" t="str">
        <f>_xlfn.SINGLE(VLOOKUP(B202,DisplayOrder[#All],2))</f>
        <v>Reserved-90</v>
      </c>
      <c r="D202" s="116" t="str">
        <f>_xlfn.SINGLE(VLOOKUP(B202,DisplayOrder!A:C,3,FALSE))</f>
        <v>each</v>
      </c>
      <c r="E202" s="50">
        <f>SUMIF(DATA_Orders!$AH$2:$AH$341,C202,DATA_Orders!$AJ$2:$AJ$341)</f>
        <v>0</v>
      </c>
      <c r="F202" s="50"/>
      <c r="G202" s="51" t="e">
        <f ca="1">_xlfn.SINGLE(IF(E202=0,"N/A",VLOOKUP(C202,Pivot_OutstandingOrders!$A$4:$D$23,5,FALSE)))</f>
        <v>#NAME?</v>
      </c>
    </row>
    <row r="203" spans="2:7" s="43" customFormat="1" ht="11" hidden="1">
      <c r="B203" s="46">
        <v>91</v>
      </c>
      <c r="C203" s="47" t="str">
        <f>_xlfn.SINGLE(VLOOKUP(B203,DisplayOrder[#All],2))</f>
        <v>Reserved-91</v>
      </c>
      <c r="D203" s="116" t="str">
        <f>_xlfn.SINGLE(VLOOKUP(B203,DisplayOrder!A:C,3,FALSE))</f>
        <v>each</v>
      </c>
      <c r="E203" s="50">
        <f>SUMIF(DATA_Orders!$AH$2:$AH$341,C203,DATA_Orders!$AJ$2:$AJ$341)</f>
        <v>0</v>
      </c>
      <c r="F203" s="50"/>
      <c r="G203" s="51" t="e">
        <f ca="1">_xlfn.SINGLE(IF(E203=0,"N/A",VLOOKUP(C203,Pivot_OutstandingOrders!$A$4:$D$23,5,FALSE)))</f>
        <v>#NAME?</v>
      </c>
    </row>
    <row r="204" spans="2:7" s="43" customFormat="1" ht="11" hidden="1">
      <c r="B204" s="46">
        <v>92</v>
      </c>
      <c r="C204" s="47" t="str">
        <f>_xlfn.SINGLE(VLOOKUP(B204,DisplayOrder[#All],2))</f>
        <v>Reserved-92</v>
      </c>
      <c r="D204" s="116" t="str">
        <f>_xlfn.SINGLE(VLOOKUP(B204,DisplayOrder!A:C,3,FALSE))</f>
        <v>each</v>
      </c>
      <c r="E204" s="50">
        <f>SUMIF(DATA_Orders!$AH$2:$AH$341,C204,DATA_Orders!$AJ$2:$AJ$341)</f>
        <v>0</v>
      </c>
      <c r="F204" s="50"/>
      <c r="G204" s="51" t="e">
        <f ca="1">_xlfn.SINGLE(IF(E204=0,"N/A",VLOOKUP(C204,Pivot_OutstandingOrders!$A$4:$D$23,5,FALSE)))</f>
        <v>#NAME?</v>
      </c>
    </row>
    <row r="205" spans="2:7" s="43" customFormat="1" ht="11" hidden="1">
      <c r="B205" s="46">
        <v>93</v>
      </c>
      <c r="C205" s="47" t="str">
        <f>_xlfn.SINGLE(VLOOKUP(B205,DisplayOrder[#All],2))</f>
        <v>Reserved-93</v>
      </c>
      <c r="D205" s="116" t="str">
        <f>_xlfn.SINGLE(VLOOKUP(B205,DisplayOrder!A:C,3,FALSE))</f>
        <v>each</v>
      </c>
      <c r="E205" s="50">
        <f>SUMIF(DATA_Orders!$AH$2:$AH$341,C205,DATA_Orders!$AJ$2:$AJ$341)</f>
        <v>0</v>
      </c>
      <c r="F205" s="50"/>
      <c r="G205" s="51" t="e">
        <f ca="1">_xlfn.SINGLE(IF(E205=0,"N/A",VLOOKUP(C205,Pivot_OutstandingOrders!$A$4:$D$23,5,FALSE)))</f>
        <v>#NAME?</v>
      </c>
    </row>
    <row r="206" spans="2:7" s="43" customFormat="1" ht="11" hidden="1">
      <c r="B206" s="46">
        <v>94</v>
      </c>
      <c r="C206" s="47" t="str">
        <f>_xlfn.SINGLE(VLOOKUP(B206,DisplayOrder[#All],2))</f>
        <v>Reserved-94</v>
      </c>
      <c r="D206" s="116" t="str">
        <f>_xlfn.SINGLE(VLOOKUP(B206,DisplayOrder!A:C,3,FALSE))</f>
        <v>each</v>
      </c>
      <c r="E206" s="50">
        <f>SUMIF(DATA_Orders!$AH$2:$AH$341,C206,DATA_Orders!$AJ$2:$AJ$341)</f>
        <v>0</v>
      </c>
      <c r="F206" s="50"/>
      <c r="G206" s="51" t="e">
        <f ca="1">_xlfn.SINGLE(IF(E206=0,"N/A",VLOOKUP(C206,Pivot_OutstandingOrders!$A$4:$D$23,5,FALSE)))</f>
        <v>#NAME?</v>
      </c>
    </row>
    <row r="207" spans="2:7" s="43" customFormat="1" ht="11" hidden="1">
      <c r="B207" s="46">
        <v>95</v>
      </c>
      <c r="C207" s="47" t="str">
        <f>_xlfn.SINGLE(VLOOKUP(B207,DisplayOrder[#All],2))</f>
        <v>Reserved-95</v>
      </c>
      <c r="D207" s="116" t="str">
        <f>_xlfn.SINGLE(VLOOKUP(B207,DisplayOrder!A:C,3,FALSE))</f>
        <v>each</v>
      </c>
      <c r="E207" s="50">
        <f>SUMIF(DATA_Orders!$AH$2:$AH$341,C207,DATA_Orders!$AJ$2:$AJ$341)</f>
        <v>0</v>
      </c>
      <c r="F207" s="50"/>
      <c r="G207" s="51" t="e">
        <f ca="1">_xlfn.SINGLE(IF(E207=0,"N/A",VLOOKUP(C207,Pivot_OutstandingOrders!$A$4:$D$23,5,FALSE)))</f>
        <v>#NAME?</v>
      </c>
    </row>
    <row r="208" spans="2:7" s="43" customFormat="1" ht="11" hidden="1">
      <c r="B208" s="46">
        <v>96</v>
      </c>
      <c r="C208" s="47" t="str">
        <f>_xlfn.SINGLE(VLOOKUP(B208,DisplayOrder[#All],2))</f>
        <v>Reserved-96</v>
      </c>
      <c r="D208" s="116" t="str">
        <f>_xlfn.SINGLE(VLOOKUP(B208,DisplayOrder!A:C,3,FALSE))</f>
        <v>each</v>
      </c>
      <c r="E208" s="50">
        <f>SUMIF(DATA_Orders!$AH$2:$AH$341,C208,DATA_Orders!$AJ$2:$AJ$341)</f>
        <v>0</v>
      </c>
      <c r="F208" s="50"/>
      <c r="G208" s="51" t="e">
        <f ca="1">_xlfn.SINGLE(IF(E208=0,"N/A",VLOOKUP(C208,Pivot_OutstandingOrders!$A$4:$D$23,5,FALSE)))</f>
        <v>#NAME?</v>
      </c>
    </row>
    <row r="209" spans="2:7" s="43" customFormat="1" ht="11" hidden="1">
      <c r="B209" s="46">
        <v>97</v>
      </c>
      <c r="C209" s="47" t="str">
        <f>_xlfn.SINGLE(VLOOKUP(B209,DisplayOrder[#All],2))</f>
        <v>Reserved-97</v>
      </c>
      <c r="D209" s="116" t="str">
        <f>_xlfn.SINGLE(VLOOKUP(B209,DisplayOrder!A:C,3,FALSE))</f>
        <v>each</v>
      </c>
      <c r="E209" s="50">
        <f>SUMIF(DATA_Orders!$AH$2:$AH$341,C209,DATA_Orders!$AJ$2:$AJ$341)</f>
        <v>0</v>
      </c>
      <c r="F209" s="50"/>
      <c r="G209" s="51" t="e">
        <f ca="1">_xlfn.SINGLE(IF(E209=0,"N/A",VLOOKUP(C209,Pivot_OutstandingOrders!$A$4:$D$23,5,FALSE)))</f>
        <v>#NAME?</v>
      </c>
    </row>
    <row r="210" spans="2:7" s="43" customFormat="1" ht="11" hidden="1">
      <c r="B210" s="46">
        <v>98</v>
      </c>
      <c r="C210" s="47" t="str">
        <f>_xlfn.SINGLE(VLOOKUP(B210,DisplayOrder[#All],2))</f>
        <v>Reserved-98</v>
      </c>
      <c r="D210" s="116" t="str">
        <f>_xlfn.SINGLE(VLOOKUP(B210,DisplayOrder!A:C,3,FALSE))</f>
        <v>each</v>
      </c>
      <c r="E210" s="50">
        <f>SUMIF(DATA_Orders!$AH$2:$AH$341,C210,DATA_Orders!$AJ$2:$AJ$341)</f>
        <v>0</v>
      </c>
      <c r="F210" s="50"/>
      <c r="G210" s="51" t="e">
        <f ca="1">_xlfn.SINGLE(IF(E210=0,"N/A",VLOOKUP(C210,Pivot_OutstandingOrders!$A$4:$D$23,5,FALSE)))</f>
        <v>#NAME?</v>
      </c>
    </row>
    <row r="211" spans="2:7" s="43" customFormat="1" ht="11" hidden="1">
      <c r="B211" s="46">
        <v>99</v>
      </c>
      <c r="C211" s="47" t="str">
        <f>_xlfn.SINGLE(VLOOKUP(B211,DisplayOrder[#All],2))</f>
        <v>Reserved-99</v>
      </c>
      <c r="D211" s="116" t="str">
        <f>_xlfn.SINGLE(VLOOKUP(B211,DisplayOrder!A:C,3,FALSE))</f>
        <v>each</v>
      </c>
      <c r="E211" s="50">
        <f>SUMIF(DATA_Orders!$AH$2:$AH$341,C211,DATA_Orders!$AJ$2:$AJ$341)</f>
        <v>0</v>
      </c>
      <c r="F211" s="50"/>
      <c r="G211" s="51" t="e">
        <f ca="1">_xlfn.SINGLE(IF(E211=0,"N/A",VLOOKUP(C211,Pivot_OutstandingOrders!$A$4:$D$23,5,FALSE)))</f>
        <v>#NAME?</v>
      </c>
    </row>
    <row r="212" spans="2:7" s="43" customFormat="1" ht="11" hidden="1">
      <c r="B212" s="46">
        <v>100</v>
      </c>
      <c r="C212" s="47" t="str">
        <f>_xlfn.SINGLE(VLOOKUP(B212,DisplayOrder[#All],2))</f>
        <v>Reserved-100</v>
      </c>
      <c r="D212" s="116" t="str">
        <f>_xlfn.SINGLE(VLOOKUP(B212,DisplayOrder!A:C,3,FALSE))</f>
        <v>each</v>
      </c>
      <c r="E212" s="50">
        <f>SUMIF(DATA_Orders!$AH$2:$AH$341,C212,DATA_Orders!$AJ$2:$AJ$341)</f>
        <v>0</v>
      </c>
      <c r="F212" s="50"/>
      <c r="G212" s="51" t="e">
        <f ca="1">_xlfn.SINGLE(IF(E212=0,"N/A",VLOOKUP(C212,Pivot_OutstandingOrders!$A$4:$D$23,5,FALSE)))</f>
        <v>#NAME?</v>
      </c>
    </row>
  </sheetData>
  <mergeCells count="50">
    <mergeCell ref="F133:G133"/>
    <mergeCell ref="F134:G134"/>
    <mergeCell ref="F135:G135"/>
    <mergeCell ref="F136:G136"/>
    <mergeCell ref="F126:G126"/>
    <mergeCell ref="F128:G128"/>
    <mergeCell ref="F129:G129"/>
    <mergeCell ref="F130:G130"/>
    <mergeCell ref="F131:G131"/>
    <mergeCell ref="F132:G132"/>
    <mergeCell ref="F127:G127"/>
    <mergeCell ref="F120:G120"/>
    <mergeCell ref="F121:G121"/>
    <mergeCell ref="F123:G123"/>
    <mergeCell ref="F124:G124"/>
    <mergeCell ref="F125:G125"/>
    <mergeCell ref="F122:G122"/>
    <mergeCell ref="F114:G114"/>
    <mergeCell ref="F115:G115"/>
    <mergeCell ref="F116:G116"/>
    <mergeCell ref="F118:G118"/>
    <mergeCell ref="F119:G119"/>
    <mergeCell ref="F117:G117"/>
    <mergeCell ref="F112:G112"/>
    <mergeCell ref="F113:G113"/>
    <mergeCell ref="G6:H6"/>
    <mergeCell ref="I6:J6"/>
    <mergeCell ref="S6:T6"/>
    <mergeCell ref="U6:V6"/>
    <mergeCell ref="W6:X6"/>
    <mergeCell ref="K6:L6"/>
    <mergeCell ref="M6:N6"/>
    <mergeCell ref="O6:P6"/>
    <mergeCell ref="Q6:R6"/>
    <mergeCell ref="S4:U4"/>
    <mergeCell ref="W4:Y4"/>
    <mergeCell ref="B4:C5"/>
    <mergeCell ref="A129:A136"/>
    <mergeCell ref="D4:H4"/>
    <mergeCell ref="I4:J4"/>
    <mergeCell ref="K4:M4"/>
    <mergeCell ref="O4:Q4"/>
    <mergeCell ref="A8:A17"/>
    <mergeCell ref="A18:A23"/>
    <mergeCell ref="A24:A31"/>
    <mergeCell ref="A113:A122"/>
    <mergeCell ref="A123:A128"/>
    <mergeCell ref="Y6:Z6"/>
    <mergeCell ref="E6:F6"/>
    <mergeCell ref="B6:C6"/>
  </mergeCells>
  <conditionalFormatting sqref="L109:L110 E110:G110 G109 C108 N109:N110 P109:X110">
    <cfRule type="cellIs" dxfId="1946" priority="5262" operator="equal">
      <formula>"NA"</formula>
    </cfRule>
    <cfRule type="cellIs" dxfId="1945" priority="5263" operator="equal">
      <formula>"NR"</formula>
    </cfRule>
  </conditionalFormatting>
  <conditionalFormatting sqref="E8:E107">
    <cfRule type="expression" dxfId="1944" priority="3709" stopIfTrue="1">
      <formula>F8="NR"</formula>
    </cfRule>
    <cfRule type="expression" dxfId="1943" priority="3710">
      <formula>F8&lt;5</formula>
    </cfRule>
    <cfRule type="expression" dxfId="1942" priority="3711">
      <formula>F8&gt;=90</formula>
    </cfRule>
    <cfRule type="expression" dxfId="1941" priority="3712">
      <formula>F8&gt;=14</formula>
    </cfRule>
    <cfRule type="expression" dxfId="1940" priority="3713">
      <formula>F8&gt;=5</formula>
    </cfRule>
  </conditionalFormatting>
  <conditionalFormatting sqref="E9">
    <cfRule type="expression" dxfId="1939" priority="3649" stopIfTrue="1">
      <formula>F9="NR"</formula>
    </cfRule>
    <cfRule type="expression" dxfId="1938" priority="3650">
      <formula>F9&lt;5</formula>
    </cfRule>
    <cfRule type="expression" dxfId="1937" priority="3651">
      <formula>F9&gt;=90</formula>
    </cfRule>
    <cfRule type="expression" dxfId="1936" priority="3652">
      <formula>F9&gt;=14</formula>
    </cfRule>
    <cfRule type="expression" dxfId="1935" priority="3653">
      <formula>F9&gt;=5</formula>
    </cfRule>
  </conditionalFormatting>
  <conditionalFormatting sqref="E10">
    <cfRule type="expression" dxfId="1934" priority="3644" stopIfTrue="1">
      <formula>F10="NR"</formula>
    </cfRule>
    <cfRule type="expression" dxfId="1933" priority="3645">
      <formula>F10&lt;5</formula>
    </cfRule>
    <cfRule type="expression" dxfId="1932" priority="3646">
      <formula>F10&gt;=90</formula>
    </cfRule>
    <cfRule type="expression" dxfId="1931" priority="3647">
      <formula>F10&gt;=14</formula>
    </cfRule>
    <cfRule type="expression" dxfId="1930" priority="3648">
      <formula>F10&gt;=5</formula>
    </cfRule>
  </conditionalFormatting>
  <conditionalFormatting sqref="E11">
    <cfRule type="expression" dxfId="1929" priority="3639" stopIfTrue="1">
      <formula>F11="NR"</formula>
    </cfRule>
    <cfRule type="expression" dxfId="1928" priority="3640">
      <formula>F11&lt;5</formula>
    </cfRule>
    <cfRule type="expression" dxfId="1927" priority="3641">
      <formula>F11&gt;=90</formula>
    </cfRule>
    <cfRule type="expression" dxfId="1926" priority="3642">
      <formula>F11&gt;=14</formula>
    </cfRule>
    <cfRule type="expression" dxfId="1925" priority="3643">
      <formula>F11&gt;=5</formula>
    </cfRule>
  </conditionalFormatting>
  <conditionalFormatting sqref="E12">
    <cfRule type="expression" dxfId="1924" priority="3634" stopIfTrue="1">
      <formula>F12="NR"</formula>
    </cfRule>
    <cfRule type="expression" dxfId="1923" priority="3635">
      <formula>F12&lt;5</formula>
    </cfRule>
    <cfRule type="expression" dxfId="1922" priority="3636">
      <formula>F12&gt;=90</formula>
    </cfRule>
    <cfRule type="expression" dxfId="1921" priority="3637">
      <formula>F12&gt;=14</formula>
    </cfRule>
    <cfRule type="expression" dxfId="1920" priority="3638">
      <formula>F12&gt;=5</formula>
    </cfRule>
  </conditionalFormatting>
  <conditionalFormatting sqref="F8">
    <cfRule type="containsText" dxfId="1919" priority="3915" stopIfTrue="1" operator="containsText" text="NR">
      <formula>NOT(ISERROR(SEARCH("NR",F8)))</formula>
    </cfRule>
    <cfRule type="cellIs" dxfId="1918" priority="3916" operator="greaterThan">
      <formula>-1</formula>
    </cfRule>
  </conditionalFormatting>
  <conditionalFormatting sqref="F9:F107">
    <cfRule type="containsText" dxfId="1917" priority="3305" stopIfTrue="1" operator="containsText" text="NR">
      <formula>NOT(ISERROR(SEARCH("NR",F9)))</formula>
    </cfRule>
    <cfRule type="cellIs" dxfId="1916" priority="3306" operator="greaterThan">
      <formula>-1</formula>
    </cfRule>
  </conditionalFormatting>
  <conditionalFormatting sqref="H32:H107">
    <cfRule type="containsText" dxfId="1915" priority="3301" stopIfTrue="1" operator="containsText" text="NR">
      <formula>NOT(ISERROR(SEARCH("NR",H32)))</formula>
    </cfRule>
    <cfRule type="cellIs" dxfId="1914" priority="3302" operator="greaterThan">
      <formula>-1</formula>
    </cfRule>
  </conditionalFormatting>
  <conditionalFormatting sqref="J32:J107">
    <cfRule type="containsText" dxfId="1913" priority="3297" stopIfTrue="1" operator="containsText" text="NR">
      <formula>NOT(ISERROR(SEARCH("NR",J32)))</formula>
    </cfRule>
    <cfRule type="cellIs" dxfId="1912" priority="3298" operator="greaterThan">
      <formula>-1</formula>
    </cfRule>
  </conditionalFormatting>
  <conditionalFormatting sqref="L32:L107">
    <cfRule type="containsText" dxfId="1911" priority="3293" stopIfTrue="1" operator="containsText" text="NR">
      <formula>NOT(ISERROR(SEARCH("NR",L32)))</formula>
    </cfRule>
    <cfRule type="cellIs" dxfId="1910" priority="3294" operator="greaterThan">
      <formula>-1</formula>
    </cfRule>
  </conditionalFormatting>
  <conditionalFormatting sqref="N32:N107">
    <cfRule type="containsText" dxfId="1909" priority="3289" stopIfTrue="1" operator="containsText" text="NR">
      <formula>NOT(ISERROR(SEARCH("NR",N32)))</formula>
    </cfRule>
    <cfRule type="cellIs" dxfId="1908" priority="3290" operator="greaterThan">
      <formula>-1</formula>
    </cfRule>
  </conditionalFormatting>
  <conditionalFormatting sqref="P32:P107">
    <cfRule type="containsText" dxfId="1907" priority="3285" stopIfTrue="1" operator="containsText" text="NR">
      <formula>NOT(ISERROR(SEARCH("NR",P32)))</formula>
    </cfRule>
    <cfRule type="cellIs" dxfId="1906" priority="3286" operator="greaterThan">
      <formula>-1</formula>
    </cfRule>
  </conditionalFormatting>
  <conditionalFormatting sqref="R32:R107">
    <cfRule type="containsText" dxfId="1905" priority="3281" stopIfTrue="1" operator="containsText" text="NR">
      <formula>NOT(ISERROR(SEARCH("NR",R32)))</formula>
    </cfRule>
    <cfRule type="cellIs" dxfId="1904" priority="3282" operator="greaterThan">
      <formula>-1</formula>
    </cfRule>
  </conditionalFormatting>
  <conditionalFormatting sqref="T32:T107">
    <cfRule type="containsText" dxfId="1903" priority="3277" stopIfTrue="1" operator="containsText" text="NR">
      <formula>NOT(ISERROR(SEARCH("NR",T32)))</formula>
    </cfRule>
    <cfRule type="cellIs" dxfId="1902" priority="3278" operator="greaterThan">
      <formula>-1</formula>
    </cfRule>
  </conditionalFormatting>
  <conditionalFormatting sqref="V32:V107">
    <cfRule type="containsText" dxfId="1901" priority="3273" stopIfTrue="1" operator="containsText" text="NR">
      <formula>NOT(ISERROR(SEARCH("NR",V32)))</formula>
    </cfRule>
    <cfRule type="cellIs" dxfId="1900" priority="3274" operator="greaterThan">
      <formula>-1</formula>
    </cfRule>
  </conditionalFormatting>
  <conditionalFormatting sqref="X8">
    <cfRule type="containsText" dxfId="1899" priority="3271" stopIfTrue="1" operator="containsText" text="NR">
      <formula>NOT(ISERROR(SEARCH("NR",X8)))</formula>
    </cfRule>
    <cfRule type="cellIs" dxfId="1898" priority="3272" operator="greaterThan">
      <formula>-1</formula>
    </cfRule>
  </conditionalFormatting>
  <conditionalFormatting sqref="X9:X107">
    <cfRule type="containsText" dxfId="1897" priority="3269" stopIfTrue="1" operator="containsText" text="NR">
      <formula>NOT(ISERROR(SEARCH("NR",X9)))</formula>
    </cfRule>
    <cfRule type="cellIs" dxfId="1896" priority="3270" operator="greaterThan">
      <formula>-1</formula>
    </cfRule>
  </conditionalFormatting>
  <conditionalFormatting sqref="Z32:Z107">
    <cfRule type="containsText" dxfId="1895" priority="3265" stopIfTrue="1" operator="containsText" text="NR">
      <formula>NOT(ISERROR(SEARCH("NR",Z32)))</formula>
    </cfRule>
    <cfRule type="cellIs" dxfId="1894" priority="3266" operator="greaterThan">
      <formula>-1</formula>
    </cfRule>
  </conditionalFormatting>
  <conditionalFormatting sqref="G8:G107">
    <cfRule type="expression" dxfId="1893" priority="3130" stopIfTrue="1">
      <formula>H8="NR"</formula>
    </cfRule>
    <cfRule type="expression" dxfId="1892" priority="3131">
      <formula>H8&lt;5</formula>
    </cfRule>
    <cfRule type="expression" dxfId="1891" priority="3132">
      <formula>H8&gt;=90</formula>
    </cfRule>
    <cfRule type="expression" dxfId="1890" priority="3133">
      <formula>H8&gt;=14</formula>
    </cfRule>
    <cfRule type="expression" dxfId="1889" priority="3134">
      <formula>H8&gt;=5</formula>
    </cfRule>
  </conditionalFormatting>
  <conditionalFormatting sqref="G9">
    <cfRule type="expression" dxfId="1888" priority="3125" stopIfTrue="1">
      <formula>H9="NR"</formula>
    </cfRule>
    <cfRule type="expression" dxfId="1887" priority="3126">
      <formula>H9&lt;5</formula>
    </cfRule>
    <cfRule type="expression" dxfId="1886" priority="3127">
      <formula>H9&gt;=90</formula>
    </cfRule>
    <cfRule type="expression" dxfId="1885" priority="3128">
      <formula>H9&gt;=14</formula>
    </cfRule>
    <cfRule type="expression" dxfId="1884" priority="3129">
      <formula>H9&gt;=5</formula>
    </cfRule>
  </conditionalFormatting>
  <conditionalFormatting sqref="G10">
    <cfRule type="expression" dxfId="1883" priority="3120" stopIfTrue="1">
      <formula>H10="NR"</formula>
    </cfRule>
    <cfRule type="expression" dxfId="1882" priority="3121">
      <formula>H10&lt;5</formula>
    </cfRule>
    <cfRule type="expression" dxfId="1881" priority="3122">
      <formula>H10&gt;=90</formula>
    </cfRule>
    <cfRule type="expression" dxfId="1880" priority="3123">
      <formula>H10&gt;=14</formula>
    </cfRule>
    <cfRule type="expression" dxfId="1879" priority="3124">
      <formula>H10&gt;=5</formula>
    </cfRule>
  </conditionalFormatting>
  <conditionalFormatting sqref="G8:G107">
    <cfRule type="expression" dxfId="1878" priority="3115" stopIfTrue="1">
      <formula>H8="NR"</formula>
    </cfRule>
    <cfRule type="expression" dxfId="1877" priority="3116">
      <formula>H8&lt;5</formula>
    </cfRule>
    <cfRule type="expression" dxfId="1876" priority="3117">
      <formula>H8&gt;=90</formula>
    </cfRule>
    <cfRule type="expression" dxfId="1875" priority="3118">
      <formula>H8&gt;=14</formula>
    </cfRule>
    <cfRule type="expression" dxfId="1874" priority="3119">
      <formula>H8&gt;=5</formula>
    </cfRule>
  </conditionalFormatting>
  <conditionalFormatting sqref="G12">
    <cfRule type="expression" dxfId="1873" priority="3110" stopIfTrue="1">
      <formula>H12="NR"</formula>
    </cfRule>
    <cfRule type="expression" dxfId="1872" priority="3111">
      <formula>H12&lt;5</formula>
    </cfRule>
    <cfRule type="expression" dxfId="1871" priority="3112">
      <formula>H12&gt;=90</formula>
    </cfRule>
    <cfRule type="expression" dxfId="1870" priority="3113">
      <formula>H12&gt;=14</formula>
    </cfRule>
    <cfRule type="expression" dxfId="1869" priority="3114">
      <formula>H12&gt;=5</formula>
    </cfRule>
  </conditionalFormatting>
  <conditionalFormatting sqref="G10">
    <cfRule type="expression" dxfId="1868" priority="3105" stopIfTrue="1">
      <formula>H10="NR"</formula>
    </cfRule>
    <cfRule type="expression" dxfId="1867" priority="3106">
      <formula>H10&lt;5</formula>
    </cfRule>
    <cfRule type="expression" dxfId="1866" priority="3107">
      <formula>H10&gt;=90</formula>
    </cfRule>
    <cfRule type="expression" dxfId="1865" priority="3108">
      <formula>H10&gt;=14</formula>
    </cfRule>
    <cfRule type="expression" dxfId="1864" priority="3109">
      <formula>H10&gt;=5</formula>
    </cfRule>
  </conditionalFormatting>
  <conditionalFormatting sqref="G9">
    <cfRule type="expression" dxfId="1863" priority="3100" stopIfTrue="1">
      <formula>H9="NR"</formula>
    </cfRule>
    <cfRule type="expression" dxfId="1862" priority="3101">
      <formula>H9&lt;5</formula>
    </cfRule>
    <cfRule type="expression" dxfId="1861" priority="3102">
      <formula>H9&gt;=90</formula>
    </cfRule>
    <cfRule type="expression" dxfId="1860" priority="3103">
      <formula>H9&gt;=14</formula>
    </cfRule>
    <cfRule type="expression" dxfId="1859" priority="3104">
      <formula>H9&gt;=5</formula>
    </cfRule>
  </conditionalFormatting>
  <conditionalFormatting sqref="G8:G107">
    <cfRule type="expression" dxfId="1858" priority="3095" stopIfTrue="1">
      <formula>H8="NR"</formula>
    </cfRule>
    <cfRule type="expression" dxfId="1857" priority="3096">
      <formula>H8&lt;5</formula>
    </cfRule>
    <cfRule type="expression" dxfId="1856" priority="3097">
      <formula>H8&gt;=90</formula>
    </cfRule>
    <cfRule type="expression" dxfId="1855" priority="3098">
      <formula>H8&gt;=14</formula>
    </cfRule>
    <cfRule type="expression" dxfId="1854" priority="3099">
      <formula>H8&gt;=5</formula>
    </cfRule>
  </conditionalFormatting>
  <conditionalFormatting sqref="G9">
    <cfRule type="expression" dxfId="1853" priority="3090" stopIfTrue="1">
      <formula>H9="NR"</formula>
    </cfRule>
    <cfRule type="expression" dxfId="1852" priority="3091">
      <formula>H9&lt;5</formula>
    </cfRule>
    <cfRule type="expression" dxfId="1851" priority="3092">
      <formula>H9&gt;=90</formula>
    </cfRule>
    <cfRule type="expression" dxfId="1850" priority="3093">
      <formula>H9&gt;=14</formula>
    </cfRule>
    <cfRule type="expression" dxfId="1849" priority="3094">
      <formula>H9&gt;=5</formula>
    </cfRule>
  </conditionalFormatting>
  <conditionalFormatting sqref="G10:G34">
    <cfRule type="expression" dxfId="1848" priority="3085" stopIfTrue="1">
      <formula>H10="NR"</formula>
    </cfRule>
    <cfRule type="expression" dxfId="1847" priority="3086">
      <formula>H10&lt;5</formula>
    </cfRule>
    <cfRule type="expression" dxfId="1846" priority="3087">
      <formula>H10&gt;=90</formula>
    </cfRule>
    <cfRule type="expression" dxfId="1845" priority="3088">
      <formula>H10&gt;=14</formula>
    </cfRule>
    <cfRule type="expression" dxfId="1844" priority="3089">
      <formula>H10&gt;=5</formula>
    </cfRule>
  </conditionalFormatting>
  <conditionalFormatting sqref="G10:G34">
    <cfRule type="expression" dxfId="1843" priority="3080" stopIfTrue="1">
      <formula>H10="NR"</formula>
    </cfRule>
    <cfRule type="expression" dxfId="1842" priority="3081">
      <formula>H10&lt;5</formula>
    </cfRule>
    <cfRule type="expression" dxfId="1841" priority="3082">
      <formula>H10&gt;=90</formula>
    </cfRule>
    <cfRule type="expression" dxfId="1840" priority="3083">
      <formula>H10&gt;=14</formula>
    </cfRule>
    <cfRule type="expression" dxfId="1839" priority="3084">
      <formula>H10&gt;=5</formula>
    </cfRule>
  </conditionalFormatting>
  <conditionalFormatting sqref="G10:G34">
    <cfRule type="expression" dxfId="1838" priority="3075" stopIfTrue="1">
      <formula>H10="NR"</formula>
    </cfRule>
    <cfRule type="expression" dxfId="1837" priority="3076">
      <formula>H10&lt;5</formula>
    </cfRule>
    <cfRule type="expression" dxfId="1836" priority="3077">
      <formula>H10&gt;=90</formula>
    </cfRule>
    <cfRule type="expression" dxfId="1835" priority="3078">
      <formula>H10&gt;=14</formula>
    </cfRule>
    <cfRule type="expression" dxfId="1834" priority="3079">
      <formula>H10&gt;=5</formula>
    </cfRule>
  </conditionalFormatting>
  <conditionalFormatting sqref="G34">
    <cfRule type="expression" dxfId="1833" priority="3070" stopIfTrue="1">
      <formula>H34="NR"</formula>
    </cfRule>
    <cfRule type="expression" dxfId="1832" priority="3071">
      <formula>H34&lt;5</formula>
    </cfRule>
    <cfRule type="expression" dxfId="1831" priority="3072">
      <formula>H34&gt;=90</formula>
    </cfRule>
    <cfRule type="expression" dxfId="1830" priority="3073">
      <formula>H34&gt;=14</formula>
    </cfRule>
    <cfRule type="expression" dxfId="1829" priority="3074">
      <formula>H34&gt;=5</formula>
    </cfRule>
  </conditionalFormatting>
  <conditionalFormatting sqref="G34">
    <cfRule type="expression" dxfId="1828" priority="3065" stopIfTrue="1">
      <formula>H34="NR"</formula>
    </cfRule>
    <cfRule type="expression" dxfId="1827" priority="3066">
      <formula>H34&lt;5</formula>
    </cfRule>
    <cfRule type="expression" dxfId="1826" priority="3067">
      <formula>H34&gt;=90</formula>
    </cfRule>
    <cfRule type="expression" dxfId="1825" priority="3068">
      <formula>H34&gt;=14</formula>
    </cfRule>
    <cfRule type="expression" dxfId="1824" priority="3069">
      <formula>H34&gt;=5</formula>
    </cfRule>
  </conditionalFormatting>
  <conditionalFormatting sqref="G34">
    <cfRule type="expression" dxfId="1823" priority="3060" stopIfTrue="1">
      <formula>H34="NR"</formula>
    </cfRule>
    <cfRule type="expression" dxfId="1822" priority="3061">
      <formula>H34&lt;5</formula>
    </cfRule>
    <cfRule type="expression" dxfId="1821" priority="3062">
      <formula>H34&gt;=90</formula>
    </cfRule>
    <cfRule type="expression" dxfId="1820" priority="3063">
      <formula>H34&gt;=14</formula>
    </cfRule>
    <cfRule type="expression" dxfId="1819" priority="3064">
      <formula>H34&gt;=5</formula>
    </cfRule>
  </conditionalFormatting>
  <conditionalFormatting sqref="G35">
    <cfRule type="expression" dxfId="1818" priority="3055" stopIfTrue="1">
      <formula>H35="NR"</formula>
    </cfRule>
    <cfRule type="expression" dxfId="1817" priority="3056">
      <formula>H35&lt;5</formula>
    </cfRule>
    <cfRule type="expression" dxfId="1816" priority="3057">
      <formula>H35&gt;=90</formula>
    </cfRule>
    <cfRule type="expression" dxfId="1815" priority="3058">
      <formula>H35&gt;=14</formula>
    </cfRule>
    <cfRule type="expression" dxfId="1814" priority="3059">
      <formula>H35&gt;=5</formula>
    </cfRule>
  </conditionalFormatting>
  <conditionalFormatting sqref="G35">
    <cfRule type="expression" dxfId="1813" priority="3050" stopIfTrue="1">
      <formula>H35="NR"</formula>
    </cfRule>
    <cfRule type="expression" dxfId="1812" priority="3051">
      <formula>H35&lt;5</formula>
    </cfRule>
    <cfRule type="expression" dxfId="1811" priority="3052">
      <formula>H35&gt;=90</formula>
    </cfRule>
    <cfRule type="expression" dxfId="1810" priority="3053">
      <formula>H35&gt;=14</formula>
    </cfRule>
    <cfRule type="expression" dxfId="1809" priority="3054">
      <formula>H35&gt;=5</formula>
    </cfRule>
  </conditionalFormatting>
  <conditionalFormatting sqref="G35">
    <cfRule type="expression" dxfId="1808" priority="3045" stopIfTrue="1">
      <formula>H35="NR"</formula>
    </cfRule>
    <cfRule type="expression" dxfId="1807" priority="3046">
      <formula>H35&lt;5</formula>
    </cfRule>
    <cfRule type="expression" dxfId="1806" priority="3047">
      <formula>H35&gt;=90</formula>
    </cfRule>
    <cfRule type="expression" dxfId="1805" priority="3048">
      <formula>H35&gt;=14</formula>
    </cfRule>
    <cfRule type="expression" dxfId="1804" priority="3049">
      <formula>H35&gt;=5</formula>
    </cfRule>
  </conditionalFormatting>
  <conditionalFormatting sqref="G35">
    <cfRule type="expression" dxfId="1803" priority="3040" stopIfTrue="1">
      <formula>H35="NR"</formula>
    </cfRule>
    <cfRule type="expression" dxfId="1802" priority="3041">
      <formula>H35&lt;5</formula>
    </cfRule>
    <cfRule type="expression" dxfId="1801" priority="3042">
      <formula>H35&gt;=90</formula>
    </cfRule>
    <cfRule type="expression" dxfId="1800" priority="3043">
      <formula>H35&gt;=14</formula>
    </cfRule>
    <cfRule type="expression" dxfId="1799" priority="3044">
      <formula>H35&gt;=5</formula>
    </cfRule>
  </conditionalFormatting>
  <conditionalFormatting sqref="G36">
    <cfRule type="expression" dxfId="1798" priority="3035" stopIfTrue="1">
      <formula>H36="NR"</formula>
    </cfRule>
    <cfRule type="expression" dxfId="1797" priority="3036">
      <formula>H36&lt;5</formula>
    </cfRule>
    <cfRule type="expression" dxfId="1796" priority="3037">
      <formula>H36&gt;=90</formula>
    </cfRule>
    <cfRule type="expression" dxfId="1795" priority="3038">
      <formula>H36&gt;=14</formula>
    </cfRule>
    <cfRule type="expression" dxfId="1794" priority="3039">
      <formula>H36&gt;=5</formula>
    </cfRule>
  </conditionalFormatting>
  <conditionalFormatting sqref="G36">
    <cfRule type="expression" dxfId="1793" priority="3030" stopIfTrue="1">
      <formula>H36="NR"</formula>
    </cfRule>
    <cfRule type="expression" dxfId="1792" priority="3031">
      <formula>H36&lt;5</formula>
    </cfRule>
    <cfRule type="expression" dxfId="1791" priority="3032">
      <formula>H36&gt;=90</formula>
    </cfRule>
    <cfRule type="expression" dxfId="1790" priority="3033">
      <formula>H36&gt;=14</formula>
    </cfRule>
    <cfRule type="expression" dxfId="1789" priority="3034">
      <formula>H36&gt;=5</formula>
    </cfRule>
  </conditionalFormatting>
  <conditionalFormatting sqref="G36">
    <cfRule type="expression" dxfId="1788" priority="3025" stopIfTrue="1">
      <formula>H36="NR"</formula>
    </cfRule>
    <cfRule type="expression" dxfId="1787" priority="3026">
      <formula>H36&lt;5</formula>
    </cfRule>
    <cfRule type="expression" dxfId="1786" priority="3027">
      <formula>H36&gt;=90</formula>
    </cfRule>
    <cfRule type="expression" dxfId="1785" priority="3028">
      <formula>H36&gt;=14</formula>
    </cfRule>
    <cfRule type="expression" dxfId="1784" priority="3029">
      <formula>H36&gt;=5</formula>
    </cfRule>
  </conditionalFormatting>
  <conditionalFormatting sqref="G36">
    <cfRule type="expression" dxfId="1783" priority="3020" stopIfTrue="1">
      <formula>H36="NR"</formula>
    </cfRule>
    <cfRule type="expression" dxfId="1782" priority="3021">
      <formula>H36&lt;5</formula>
    </cfRule>
    <cfRule type="expression" dxfId="1781" priority="3022">
      <formula>H36&gt;=90</formula>
    </cfRule>
    <cfRule type="expression" dxfId="1780" priority="3023">
      <formula>H36&gt;=14</formula>
    </cfRule>
    <cfRule type="expression" dxfId="1779" priority="3024">
      <formula>H36&gt;=5</formula>
    </cfRule>
  </conditionalFormatting>
  <conditionalFormatting sqref="G34:G107">
    <cfRule type="expression" dxfId="1778" priority="3015" stopIfTrue="1">
      <formula>H34="NR"</formula>
    </cfRule>
    <cfRule type="expression" dxfId="1777" priority="3016">
      <formula>H34&lt;5</formula>
    </cfRule>
    <cfRule type="expression" dxfId="1776" priority="3017">
      <formula>H34&gt;=90</formula>
    </cfRule>
    <cfRule type="expression" dxfId="1775" priority="3018">
      <formula>H34&gt;=14</formula>
    </cfRule>
    <cfRule type="expression" dxfId="1774" priority="3019">
      <formula>H34&gt;=5</formula>
    </cfRule>
  </conditionalFormatting>
  <conditionalFormatting sqref="G34:G107">
    <cfRule type="expression" dxfId="1773" priority="3010" stopIfTrue="1">
      <formula>H34="NR"</formula>
    </cfRule>
    <cfRule type="expression" dxfId="1772" priority="3011">
      <formula>H34&lt;5</formula>
    </cfRule>
    <cfRule type="expression" dxfId="1771" priority="3012">
      <formula>H34&gt;=90</formula>
    </cfRule>
    <cfRule type="expression" dxfId="1770" priority="3013">
      <formula>H34&gt;=14</formula>
    </cfRule>
    <cfRule type="expression" dxfId="1769" priority="3014">
      <formula>H34&gt;=5</formula>
    </cfRule>
  </conditionalFormatting>
  <conditionalFormatting sqref="G34:G107">
    <cfRule type="expression" dxfId="1768" priority="3005" stopIfTrue="1">
      <formula>H34="NR"</formula>
    </cfRule>
    <cfRule type="expression" dxfId="1767" priority="3006">
      <formula>H34&lt;5</formula>
    </cfRule>
    <cfRule type="expression" dxfId="1766" priority="3007">
      <formula>H34&gt;=90</formula>
    </cfRule>
    <cfRule type="expression" dxfId="1765" priority="3008">
      <formula>H34&gt;=14</formula>
    </cfRule>
    <cfRule type="expression" dxfId="1764" priority="3009">
      <formula>H34&gt;=5</formula>
    </cfRule>
  </conditionalFormatting>
  <conditionalFormatting sqref="I109:I110">
    <cfRule type="cellIs" dxfId="1763" priority="2958" operator="equal">
      <formula>"NA"</formula>
    </cfRule>
    <cfRule type="cellIs" dxfId="1762" priority="2959" operator="equal">
      <formula>"NR"</formula>
    </cfRule>
  </conditionalFormatting>
  <conditionalFormatting sqref="K109:K110">
    <cfRule type="cellIs" dxfId="1761" priority="2826" operator="equal">
      <formula>"NA"</formula>
    </cfRule>
    <cfRule type="cellIs" dxfId="1760" priority="2827" operator="equal">
      <formula>"NR"</formula>
    </cfRule>
  </conditionalFormatting>
  <conditionalFormatting sqref="M109:M110">
    <cfRule type="cellIs" dxfId="1759" priority="2694" operator="equal">
      <formula>"NA"</formula>
    </cfRule>
    <cfRule type="cellIs" dxfId="1758" priority="2695" operator="equal">
      <formula>"NR"</formula>
    </cfRule>
  </conditionalFormatting>
  <conditionalFormatting sqref="O109:O110">
    <cfRule type="cellIs" dxfId="1757" priority="2562" operator="equal">
      <formula>"NA"</formula>
    </cfRule>
    <cfRule type="cellIs" dxfId="1756" priority="2563" operator="equal">
      <formula>"NR"</formula>
    </cfRule>
  </conditionalFormatting>
  <conditionalFormatting sqref="I8:I107">
    <cfRule type="expression" dxfId="1755" priority="1312" stopIfTrue="1">
      <formula>J8="NR"</formula>
    </cfRule>
    <cfRule type="expression" dxfId="1754" priority="1313">
      <formula>J8&lt;5</formula>
    </cfRule>
    <cfRule type="expression" dxfId="1753" priority="1314">
      <formula>J8&gt;=90</formula>
    </cfRule>
    <cfRule type="expression" dxfId="1752" priority="1315">
      <formula>J8&gt;=14</formula>
    </cfRule>
    <cfRule type="expression" dxfId="1751" priority="1316">
      <formula>J8&gt;=5</formula>
    </cfRule>
  </conditionalFormatting>
  <conditionalFormatting sqref="I9">
    <cfRule type="expression" dxfId="1750" priority="1307" stopIfTrue="1">
      <formula>J9="NR"</formula>
    </cfRule>
    <cfRule type="expression" dxfId="1749" priority="1308">
      <formula>J9&lt;5</formula>
    </cfRule>
    <cfRule type="expression" dxfId="1748" priority="1309">
      <formula>J9&gt;=90</formula>
    </cfRule>
    <cfRule type="expression" dxfId="1747" priority="1310">
      <formula>J9&gt;=14</formula>
    </cfRule>
    <cfRule type="expression" dxfId="1746" priority="1311">
      <formula>J9&gt;=5</formula>
    </cfRule>
  </conditionalFormatting>
  <conditionalFormatting sqref="I10">
    <cfRule type="expression" dxfId="1745" priority="1302" stopIfTrue="1">
      <formula>J10="NR"</formula>
    </cfRule>
    <cfRule type="expression" dxfId="1744" priority="1303">
      <formula>J10&lt;5</formula>
    </cfRule>
    <cfRule type="expression" dxfId="1743" priority="1304">
      <formula>J10&gt;=90</formula>
    </cfRule>
    <cfRule type="expression" dxfId="1742" priority="1305">
      <formula>J10&gt;=14</formula>
    </cfRule>
    <cfRule type="expression" dxfId="1741" priority="1306">
      <formula>J10&gt;=5</formula>
    </cfRule>
  </conditionalFormatting>
  <conditionalFormatting sqref="I8:I107">
    <cfRule type="expression" dxfId="1740" priority="1297" stopIfTrue="1">
      <formula>J8="NR"</formula>
    </cfRule>
    <cfRule type="expression" dxfId="1739" priority="1298">
      <formula>J8&lt;5</formula>
    </cfRule>
    <cfRule type="expression" dxfId="1738" priority="1299">
      <formula>J8&gt;=90</formula>
    </cfRule>
    <cfRule type="expression" dxfId="1737" priority="1300">
      <formula>J8&gt;=14</formula>
    </cfRule>
    <cfRule type="expression" dxfId="1736" priority="1301">
      <formula>J8&gt;=5</formula>
    </cfRule>
  </conditionalFormatting>
  <conditionalFormatting sqref="I12">
    <cfRule type="expression" dxfId="1735" priority="1292" stopIfTrue="1">
      <formula>J12="NR"</formula>
    </cfRule>
    <cfRule type="expression" dxfId="1734" priority="1293">
      <formula>J12&lt;5</formula>
    </cfRule>
    <cfRule type="expression" dxfId="1733" priority="1294">
      <formula>J12&gt;=90</formula>
    </cfRule>
    <cfRule type="expression" dxfId="1732" priority="1295">
      <formula>J12&gt;=14</formula>
    </cfRule>
    <cfRule type="expression" dxfId="1731" priority="1296">
      <formula>J12&gt;=5</formula>
    </cfRule>
  </conditionalFormatting>
  <conditionalFormatting sqref="I10">
    <cfRule type="expression" dxfId="1730" priority="1287" stopIfTrue="1">
      <formula>J10="NR"</formula>
    </cfRule>
    <cfRule type="expression" dxfId="1729" priority="1288">
      <formula>J10&lt;5</formula>
    </cfRule>
    <cfRule type="expression" dxfId="1728" priority="1289">
      <formula>J10&gt;=90</formula>
    </cfRule>
    <cfRule type="expression" dxfId="1727" priority="1290">
      <formula>J10&gt;=14</formula>
    </cfRule>
    <cfRule type="expression" dxfId="1726" priority="1291">
      <formula>J10&gt;=5</formula>
    </cfRule>
  </conditionalFormatting>
  <conditionalFormatting sqref="I9">
    <cfRule type="expression" dxfId="1725" priority="1282" stopIfTrue="1">
      <formula>J9="NR"</formula>
    </cfRule>
    <cfRule type="expression" dxfId="1724" priority="1283">
      <formula>J9&lt;5</formula>
    </cfRule>
    <cfRule type="expression" dxfId="1723" priority="1284">
      <formula>J9&gt;=90</formula>
    </cfRule>
    <cfRule type="expression" dxfId="1722" priority="1285">
      <formula>J9&gt;=14</formula>
    </cfRule>
    <cfRule type="expression" dxfId="1721" priority="1286">
      <formula>J9&gt;=5</formula>
    </cfRule>
  </conditionalFormatting>
  <conditionalFormatting sqref="I8:I107">
    <cfRule type="expression" dxfId="1720" priority="1277" stopIfTrue="1">
      <formula>J8="NR"</formula>
    </cfRule>
    <cfRule type="expression" dxfId="1719" priority="1278">
      <formula>J8&lt;5</formula>
    </cfRule>
    <cfRule type="expression" dxfId="1718" priority="1279">
      <formula>J8&gt;=90</formula>
    </cfRule>
    <cfRule type="expression" dxfId="1717" priority="1280">
      <formula>J8&gt;=14</formula>
    </cfRule>
    <cfRule type="expression" dxfId="1716" priority="1281">
      <formula>J8&gt;=5</formula>
    </cfRule>
  </conditionalFormatting>
  <conditionalFormatting sqref="I9">
    <cfRule type="expression" dxfId="1715" priority="1272" stopIfTrue="1">
      <formula>J9="NR"</formula>
    </cfRule>
    <cfRule type="expression" dxfId="1714" priority="1273">
      <formula>J9&lt;5</formula>
    </cfRule>
    <cfRule type="expression" dxfId="1713" priority="1274">
      <formula>J9&gt;=90</formula>
    </cfRule>
    <cfRule type="expression" dxfId="1712" priority="1275">
      <formula>J9&gt;=14</formula>
    </cfRule>
    <cfRule type="expression" dxfId="1711" priority="1276">
      <formula>J9&gt;=5</formula>
    </cfRule>
  </conditionalFormatting>
  <conditionalFormatting sqref="I10:I34">
    <cfRule type="expression" dxfId="1710" priority="1267" stopIfTrue="1">
      <formula>J10="NR"</formula>
    </cfRule>
    <cfRule type="expression" dxfId="1709" priority="1268">
      <formula>J10&lt;5</formula>
    </cfRule>
    <cfRule type="expression" dxfId="1708" priority="1269">
      <formula>J10&gt;=90</formula>
    </cfRule>
    <cfRule type="expression" dxfId="1707" priority="1270">
      <formula>J10&gt;=14</formula>
    </cfRule>
    <cfRule type="expression" dxfId="1706" priority="1271">
      <formula>J10&gt;=5</formula>
    </cfRule>
  </conditionalFormatting>
  <conditionalFormatting sqref="I10:I34">
    <cfRule type="expression" dxfId="1705" priority="1262" stopIfTrue="1">
      <formula>J10="NR"</formula>
    </cfRule>
    <cfRule type="expression" dxfId="1704" priority="1263">
      <formula>J10&lt;5</formula>
    </cfRule>
    <cfRule type="expression" dxfId="1703" priority="1264">
      <formula>J10&gt;=90</formula>
    </cfRule>
    <cfRule type="expression" dxfId="1702" priority="1265">
      <formula>J10&gt;=14</formula>
    </cfRule>
    <cfRule type="expression" dxfId="1701" priority="1266">
      <formula>J10&gt;=5</formula>
    </cfRule>
  </conditionalFormatting>
  <conditionalFormatting sqref="I10:I34">
    <cfRule type="expression" dxfId="1700" priority="1257" stopIfTrue="1">
      <formula>J10="NR"</formula>
    </cfRule>
    <cfRule type="expression" dxfId="1699" priority="1258">
      <formula>J10&lt;5</formula>
    </cfRule>
    <cfRule type="expression" dxfId="1698" priority="1259">
      <formula>J10&gt;=90</formula>
    </cfRule>
    <cfRule type="expression" dxfId="1697" priority="1260">
      <formula>J10&gt;=14</formula>
    </cfRule>
    <cfRule type="expression" dxfId="1696" priority="1261">
      <formula>J10&gt;=5</formula>
    </cfRule>
  </conditionalFormatting>
  <conditionalFormatting sqref="I34">
    <cfRule type="expression" dxfId="1695" priority="1252" stopIfTrue="1">
      <formula>J34="NR"</formula>
    </cfRule>
    <cfRule type="expression" dxfId="1694" priority="1253">
      <formula>J34&lt;5</formula>
    </cfRule>
    <cfRule type="expression" dxfId="1693" priority="1254">
      <formula>J34&gt;=90</formula>
    </cfRule>
    <cfRule type="expression" dxfId="1692" priority="1255">
      <formula>J34&gt;=14</formula>
    </cfRule>
    <cfRule type="expression" dxfId="1691" priority="1256">
      <formula>J34&gt;=5</formula>
    </cfRule>
  </conditionalFormatting>
  <conditionalFormatting sqref="I34">
    <cfRule type="expression" dxfId="1690" priority="1247" stopIfTrue="1">
      <formula>J34="NR"</formula>
    </cfRule>
    <cfRule type="expression" dxfId="1689" priority="1248">
      <formula>J34&lt;5</formula>
    </cfRule>
    <cfRule type="expression" dxfId="1688" priority="1249">
      <formula>J34&gt;=90</formula>
    </cfRule>
    <cfRule type="expression" dxfId="1687" priority="1250">
      <formula>J34&gt;=14</formula>
    </cfRule>
    <cfRule type="expression" dxfId="1686" priority="1251">
      <formula>J34&gt;=5</formula>
    </cfRule>
  </conditionalFormatting>
  <conditionalFormatting sqref="I34">
    <cfRule type="expression" dxfId="1685" priority="1242" stopIfTrue="1">
      <formula>J34="NR"</formula>
    </cfRule>
    <cfRule type="expression" dxfId="1684" priority="1243">
      <formula>J34&lt;5</formula>
    </cfRule>
    <cfRule type="expression" dxfId="1683" priority="1244">
      <formula>J34&gt;=90</formula>
    </cfRule>
    <cfRule type="expression" dxfId="1682" priority="1245">
      <formula>J34&gt;=14</formula>
    </cfRule>
    <cfRule type="expression" dxfId="1681" priority="1246">
      <formula>J34&gt;=5</formula>
    </cfRule>
  </conditionalFormatting>
  <conditionalFormatting sqref="I35">
    <cfRule type="expression" dxfId="1680" priority="1237" stopIfTrue="1">
      <formula>J35="NR"</formula>
    </cfRule>
    <cfRule type="expression" dxfId="1679" priority="1238">
      <formula>J35&lt;5</formula>
    </cfRule>
    <cfRule type="expression" dxfId="1678" priority="1239">
      <formula>J35&gt;=90</formula>
    </cfRule>
    <cfRule type="expression" dxfId="1677" priority="1240">
      <formula>J35&gt;=14</formula>
    </cfRule>
    <cfRule type="expression" dxfId="1676" priority="1241">
      <formula>J35&gt;=5</formula>
    </cfRule>
  </conditionalFormatting>
  <conditionalFormatting sqref="I35">
    <cfRule type="expression" dxfId="1675" priority="1232" stopIfTrue="1">
      <formula>J35="NR"</formula>
    </cfRule>
    <cfRule type="expression" dxfId="1674" priority="1233">
      <formula>J35&lt;5</formula>
    </cfRule>
    <cfRule type="expression" dxfId="1673" priority="1234">
      <formula>J35&gt;=90</formula>
    </cfRule>
    <cfRule type="expression" dxfId="1672" priority="1235">
      <formula>J35&gt;=14</formula>
    </cfRule>
    <cfRule type="expression" dxfId="1671" priority="1236">
      <formula>J35&gt;=5</formula>
    </cfRule>
  </conditionalFormatting>
  <conditionalFormatting sqref="I35">
    <cfRule type="expression" dxfId="1670" priority="1227" stopIfTrue="1">
      <formula>J35="NR"</formula>
    </cfRule>
    <cfRule type="expression" dxfId="1669" priority="1228">
      <formula>J35&lt;5</formula>
    </cfRule>
    <cfRule type="expression" dxfId="1668" priority="1229">
      <formula>J35&gt;=90</formula>
    </cfRule>
    <cfRule type="expression" dxfId="1667" priority="1230">
      <formula>J35&gt;=14</formula>
    </cfRule>
    <cfRule type="expression" dxfId="1666" priority="1231">
      <formula>J35&gt;=5</formula>
    </cfRule>
  </conditionalFormatting>
  <conditionalFormatting sqref="I35">
    <cfRule type="expression" dxfId="1665" priority="1222" stopIfTrue="1">
      <formula>J35="NR"</formula>
    </cfRule>
    <cfRule type="expression" dxfId="1664" priority="1223">
      <formula>J35&lt;5</formula>
    </cfRule>
    <cfRule type="expression" dxfId="1663" priority="1224">
      <formula>J35&gt;=90</formula>
    </cfRule>
    <cfRule type="expression" dxfId="1662" priority="1225">
      <formula>J35&gt;=14</formula>
    </cfRule>
    <cfRule type="expression" dxfId="1661" priority="1226">
      <formula>J35&gt;=5</formula>
    </cfRule>
  </conditionalFormatting>
  <conditionalFormatting sqref="I36">
    <cfRule type="expression" dxfId="1660" priority="1217" stopIfTrue="1">
      <formula>J36="NR"</formula>
    </cfRule>
    <cfRule type="expression" dxfId="1659" priority="1218">
      <formula>J36&lt;5</formula>
    </cfRule>
    <cfRule type="expression" dxfId="1658" priority="1219">
      <formula>J36&gt;=90</formula>
    </cfRule>
    <cfRule type="expression" dxfId="1657" priority="1220">
      <formula>J36&gt;=14</formula>
    </cfRule>
    <cfRule type="expression" dxfId="1656" priority="1221">
      <formula>J36&gt;=5</formula>
    </cfRule>
  </conditionalFormatting>
  <conditionalFormatting sqref="I36">
    <cfRule type="expression" dxfId="1655" priority="1212" stopIfTrue="1">
      <formula>J36="NR"</formula>
    </cfRule>
    <cfRule type="expression" dxfId="1654" priority="1213">
      <formula>J36&lt;5</formula>
    </cfRule>
    <cfRule type="expression" dxfId="1653" priority="1214">
      <formula>J36&gt;=90</formula>
    </cfRule>
    <cfRule type="expression" dxfId="1652" priority="1215">
      <formula>J36&gt;=14</formula>
    </cfRule>
    <cfRule type="expression" dxfId="1651" priority="1216">
      <formula>J36&gt;=5</formula>
    </cfRule>
  </conditionalFormatting>
  <conditionalFormatting sqref="I36">
    <cfRule type="expression" dxfId="1650" priority="1207" stopIfTrue="1">
      <formula>J36="NR"</formula>
    </cfRule>
    <cfRule type="expression" dxfId="1649" priority="1208">
      <formula>J36&lt;5</formula>
    </cfRule>
    <cfRule type="expression" dxfId="1648" priority="1209">
      <formula>J36&gt;=90</formula>
    </cfRule>
    <cfRule type="expression" dxfId="1647" priority="1210">
      <formula>J36&gt;=14</formula>
    </cfRule>
    <cfRule type="expression" dxfId="1646" priority="1211">
      <formula>J36&gt;=5</formula>
    </cfRule>
  </conditionalFormatting>
  <conditionalFormatting sqref="I36">
    <cfRule type="expression" dxfId="1645" priority="1202" stopIfTrue="1">
      <formula>J36="NR"</formula>
    </cfRule>
    <cfRule type="expression" dxfId="1644" priority="1203">
      <formula>J36&lt;5</formula>
    </cfRule>
    <cfRule type="expression" dxfId="1643" priority="1204">
      <formula>J36&gt;=90</formula>
    </cfRule>
    <cfRule type="expression" dxfId="1642" priority="1205">
      <formula>J36&gt;=14</formula>
    </cfRule>
    <cfRule type="expression" dxfId="1641" priority="1206">
      <formula>J36&gt;=5</formula>
    </cfRule>
  </conditionalFormatting>
  <conditionalFormatting sqref="I34:I107">
    <cfRule type="expression" dxfId="1640" priority="1197" stopIfTrue="1">
      <formula>J34="NR"</formula>
    </cfRule>
    <cfRule type="expression" dxfId="1639" priority="1198">
      <formula>J34&lt;5</formula>
    </cfRule>
    <cfRule type="expression" dxfId="1638" priority="1199">
      <formula>J34&gt;=90</formula>
    </cfRule>
    <cfRule type="expression" dxfId="1637" priority="1200">
      <formula>J34&gt;=14</formula>
    </cfRule>
    <cfRule type="expression" dxfId="1636" priority="1201">
      <formula>J34&gt;=5</formula>
    </cfRule>
  </conditionalFormatting>
  <conditionalFormatting sqref="I34:I107">
    <cfRule type="expression" dxfId="1635" priority="1192" stopIfTrue="1">
      <formula>J34="NR"</formula>
    </cfRule>
    <cfRule type="expression" dxfId="1634" priority="1193">
      <formula>J34&lt;5</formula>
    </cfRule>
    <cfRule type="expression" dxfId="1633" priority="1194">
      <formula>J34&gt;=90</formula>
    </cfRule>
    <cfRule type="expression" dxfId="1632" priority="1195">
      <formula>J34&gt;=14</formula>
    </cfRule>
    <cfRule type="expression" dxfId="1631" priority="1196">
      <formula>J34&gt;=5</formula>
    </cfRule>
  </conditionalFormatting>
  <conditionalFormatting sqref="I34:I107">
    <cfRule type="expression" dxfId="1630" priority="1187" stopIfTrue="1">
      <formula>J34="NR"</formula>
    </cfRule>
    <cfRule type="expression" dxfId="1629" priority="1188">
      <formula>J34&lt;5</formula>
    </cfRule>
    <cfRule type="expression" dxfId="1628" priority="1189">
      <formula>J34&gt;=90</formula>
    </cfRule>
    <cfRule type="expression" dxfId="1627" priority="1190">
      <formula>J34&gt;=14</formula>
    </cfRule>
    <cfRule type="expression" dxfId="1626" priority="1191">
      <formula>J34&gt;=5</formula>
    </cfRule>
  </conditionalFormatting>
  <conditionalFormatting sqref="K8:K11 K13:K107">
    <cfRule type="expression" dxfId="1625" priority="1182" stopIfTrue="1">
      <formula>L8="NR"</formula>
    </cfRule>
    <cfRule type="expression" dxfId="1624" priority="1183">
      <formula>L8&lt;5</formula>
    </cfRule>
    <cfRule type="expression" dxfId="1623" priority="1184">
      <formula>L8&gt;=90</formula>
    </cfRule>
    <cfRule type="expression" dxfId="1622" priority="1185">
      <formula>L8&gt;=14</formula>
    </cfRule>
    <cfRule type="expression" dxfId="1621" priority="1186">
      <formula>L8&gt;=5</formula>
    </cfRule>
  </conditionalFormatting>
  <conditionalFormatting sqref="K9">
    <cfRule type="expression" dxfId="1620" priority="1177" stopIfTrue="1">
      <formula>L9="NR"</formula>
    </cfRule>
    <cfRule type="expression" dxfId="1619" priority="1178">
      <formula>L9&lt;5</formula>
    </cfRule>
    <cfRule type="expression" dxfId="1618" priority="1179">
      <formula>L9&gt;=90</formula>
    </cfRule>
    <cfRule type="expression" dxfId="1617" priority="1180">
      <formula>L9&gt;=14</formula>
    </cfRule>
    <cfRule type="expression" dxfId="1616" priority="1181">
      <formula>L9&gt;=5</formula>
    </cfRule>
  </conditionalFormatting>
  <conditionalFormatting sqref="K10">
    <cfRule type="expression" dxfId="1615" priority="1172" stopIfTrue="1">
      <formula>L10="NR"</formula>
    </cfRule>
    <cfRule type="expression" dxfId="1614" priority="1173">
      <formula>L10&lt;5</formula>
    </cfRule>
    <cfRule type="expression" dxfId="1613" priority="1174">
      <formula>L10&gt;=90</formula>
    </cfRule>
    <cfRule type="expression" dxfId="1612" priority="1175">
      <formula>L10&gt;=14</formula>
    </cfRule>
    <cfRule type="expression" dxfId="1611" priority="1176">
      <formula>L10&gt;=5</formula>
    </cfRule>
  </conditionalFormatting>
  <conditionalFormatting sqref="K8:K11 K13:K107">
    <cfRule type="expression" dxfId="1610" priority="1167" stopIfTrue="1">
      <formula>L8="NR"</formula>
    </cfRule>
    <cfRule type="expression" dxfId="1609" priority="1168">
      <formula>L8&lt;5</formula>
    </cfRule>
    <cfRule type="expression" dxfId="1608" priority="1169">
      <formula>L8&gt;=90</formula>
    </cfRule>
    <cfRule type="expression" dxfId="1607" priority="1170">
      <formula>L8&gt;=14</formula>
    </cfRule>
    <cfRule type="expression" dxfId="1606" priority="1171">
      <formula>L8&gt;=5</formula>
    </cfRule>
  </conditionalFormatting>
  <conditionalFormatting sqref="K10">
    <cfRule type="expression" dxfId="1605" priority="1157" stopIfTrue="1">
      <formula>L10="NR"</formula>
    </cfRule>
    <cfRule type="expression" dxfId="1604" priority="1158">
      <formula>L10&lt;5</formula>
    </cfRule>
    <cfRule type="expression" dxfId="1603" priority="1159">
      <formula>L10&gt;=90</formula>
    </cfRule>
    <cfRule type="expression" dxfId="1602" priority="1160">
      <formula>L10&gt;=14</formula>
    </cfRule>
    <cfRule type="expression" dxfId="1601" priority="1161">
      <formula>L10&gt;=5</formula>
    </cfRule>
  </conditionalFormatting>
  <conditionalFormatting sqref="K9">
    <cfRule type="expression" dxfId="1600" priority="1152" stopIfTrue="1">
      <formula>L9="NR"</formula>
    </cfRule>
    <cfRule type="expression" dxfId="1599" priority="1153">
      <formula>L9&lt;5</formula>
    </cfRule>
    <cfRule type="expression" dxfId="1598" priority="1154">
      <formula>L9&gt;=90</formula>
    </cfRule>
    <cfRule type="expression" dxfId="1597" priority="1155">
      <formula>L9&gt;=14</formula>
    </cfRule>
    <cfRule type="expression" dxfId="1596" priority="1156">
      <formula>L9&gt;=5</formula>
    </cfRule>
  </conditionalFormatting>
  <conditionalFormatting sqref="K8:K11 K13:K107">
    <cfRule type="expression" dxfId="1595" priority="1147" stopIfTrue="1">
      <formula>L8="NR"</formula>
    </cfRule>
    <cfRule type="expression" dxfId="1594" priority="1148">
      <formula>L8&lt;5</formula>
    </cfRule>
    <cfRule type="expression" dxfId="1593" priority="1149">
      <formula>L8&gt;=90</formula>
    </cfRule>
    <cfRule type="expression" dxfId="1592" priority="1150">
      <formula>L8&gt;=14</formula>
    </cfRule>
    <cfRule type="expression" dxfId="1591" priority="1151">
      <formula>L8&gt;=5</formula>
    </cfRule>
  </conditionalFormatting>
  <conditionalFormatting sqref="K9">
    <cfRule type="expression" dxfId="1590" priority="1142" stopIfTrue="1">
      <formula>L9="NR"</formula>
    </cfRule>
    <cfRule type="expression" dxfId="1589" priority="1143">
      <formula>L9&lt;5</formula>
    </cfRule>
    <cfRule type="expression" dxfId="1588" priority="1144">
      <formula>L9&gt;=90</formula>
    </cfRule>
    <cfRule type="expression" dxfId="1587" priority="1145">
      <formula>L9&gt;=14</formula>
    </cfRule>
    <cfRule type="expression" dxfId="1586" priority="1146">
      <formula>L9&gt;=5</formula>
    </cfRule>
  </conditionalFormatting>
  <conditionalFormatting sqref="K10:K11 K13:K34">
    <cfRule type="expression" dxfId="1585" priority="1137" stopIfTrue="1">
      <formula>L10="NR"</formula>
    </cfRule>
    <cfRule type="expression" dxfId="1584" priority="1138">
      <formula>L10&lt;5</formula>
    </cfRule>
    <cfRule type="expression" dxfId="1583" priority="1139">
      <formula>L10&gt;=90</formula>
    </cfRule>
    <cfRule type="expression" dxfId="1582" priority="1140">
      <formula>L10&gt;=14</formula>
    </cfRule>
    <cfRule type="expression" dxfId="1581" priority="1141">
      <formula>L10&gt;=5</formula>
    </cfRule>
  </conditionalFormatting>
  <conditionalFormatting sqref="K10:K11 K13:K34">
    <cfRule type="expression" dxfId="1580" priority="1132" stopIfTrue="1">
      <formula>L10="NR"</formula>
    </cfRule>
    <cfRule type="expression" dxfId="1579" priority="1133">
      <formula>L10&lt;5</formula>
    </cfRule>
    <cfRule type="expression" dxfId="1578" priority="1134">
      <formula>L10&gt;=90</formula>
    </cfRule>
    <cfRule type="expression" dxfId="1577" priority="1135">
      <formula>L10&gt;=14</formula>
    </cfRule>
    <cfRule type="expression" dxfId="1576" priority="1136">
      <formula>L10&gt;=5</formula>
    </cfRule>
  </conditionalFormatting>
  <conditionalFormatting sqref="K10:K11 K13:K34">
    <cfRule type="expression" dxfId="1575" priority="1127" stopIfTrue="1">
      <formula>L10="NR"</formula>
    </cfRule>
    <cfRule type="expression" dxfId="1574" priority="1128">
      <formula>L10&lt;5</formula>
    </cfRule>
    <cfRule type="expression" dxfId="1573" priority="1129">
      <formula>L10&gt;=90</formula>
    </cfRule>
    <cfRule type="expression" dxfId="1572" priority="1130">
      <formula>L10&gt;=14</formula>
    </cfRule>
    <cfRule type="expression" dxfId="1571" priority="1131">
      <formula>L10&gt;=5</formula>
    </cfRule>
  </conditionalFormatting>
  <conditionalFormatting sqref="K34">
    <cfRule type="expression" dxfId="1570" priority="1122" stopIfTrue="1">
      <formula>L34="NR"</formula>
    </cfRule>
    <cfRule type="expression" dxfId="1569" priority="1123">
      <formula>L34&lt;5</formula>
    </cfRule>
    <cfRule type="expression" dxfId="1568" priority="1124">
      <formula>L34&gt;=90</formula>
    </cfRule>
    <cfRule type="expression" dxfId="1567" priority="1125">
      <formula>L34&gt;=14</formula>
    </cfRule>
    <cfRule type="expression" dxfId="1566" priority="1126">
      <formula>L34&gt;=5</formula>
    </cfRule>
  </conditionalFormatting>
  <conditionalFormatting sqref="K34">
    <cfRule type="expression" dxfId="1565" priority="1117" stopIfTrue="1">
      <formula>L34="NR"</formula>
    </cfRule>
    <cfRule type="expression" dxfId="1564" priority="1118">
      <formula>L34&lt;5</formula>
    </cfRule>
    <cfRule type="expression" dxfId="1563" priority="1119">
      <formula>L34&gt;=90</formula>
    </cfRule>
    <cfRule type="expression" dxfId="1562" priority="1120">
      <formula>L34&gt;=14</formula>
    </cfRule>
    <cfRule type="expression" dxfId="1561" priority="1121">
      <formula>L34&gt;=5</formula>
    </cfRule>
  </conditionalFormatting>
  <conditionalFormatting sqref="K34">
    <cfRule type="expression" dxfId="1560" priority="1112" stopIfTrue="1">
      <formula>L34="NR"</formula>
    </cfRule>
    <cfRule type="expression" dxfId="1559" priority="1113">
      <formula>L34&lt;5</formula>
    </cfRule>
    <cfRule type="expression" dxfId="1558" priority="1114">
      <formula>L34&gt;=90</formula>
    </cfRule>
    <cfRule type="expression" dxfId="1557" priority="1115">
      <formula>L34&gt;=14</formula>
    </cfRule>
    <cfRule type="expression" dxfId="1556" priority="1116">
      <formula>L34&gt;=5</formula>
    </cfRule>
  </conditionalFormatting>
  <conditionalFormatting sqref="K35">
    <cfRule type="expression" dxfId="1555" priority="1107" stopIfTrue="1">
      <formula>L35="NR"</formula>
    </cfRule>
    <cfRule type="expression" dxfId="1554" priority="1108">
      <formula>L35&lt;5</formula>
    </cfRule>
    <cfRule type="expression" dxfId="1553" priority="1109">
      <formula>L35&gt;=90</formula>
    </cfRule>
    <cfRule type="expression" dxfId="1552" priority="1110">
      <formula>L35&gt;=14</formula>
    </cfRule>
    <cfRule type="expression" dxfId="1551" priority="1111">
      <formula>L35&gt;=5</formula>
    </cfRule>
  </conditionalFormatting>
  <conditionalFormatting sqref="K35">
    <cfRule type="expression" dxfId="1550" priority="1102" stopIfTrue="1">
      <formula>L35="NR"</formula>
    </cfRule>
    <cfRule type="expression" dxfId="1549" priority="1103">
      <formula>L35&lt;5</formula>
    </cfRule>
    <cfRule type="expression" dxfId="1548" priority="1104">
      <formula>L35&gt;=90</formula>
    </cfRule>
    <cfRule type="expression" dxfId="1547" priority="1105">
      <formula>L35&gt;=14</formula>
    </cfRule>
    <cfRule type="expression" dxfId="1546" priority="1106">
      <formula>L35&gt;=5</formula>
    </cfRule>
  </conditionalFormatting>
  <conditionalFormatting sqref="K35">
    <cfRule type="expression" dxfId="1545" priority="1097" stopIfTrue="1">
      <formula>L35="NR"</formula>
    </cfRule>
    <cfRule type="expression" dxfId="1544" priority="1098">
      <formula>L35&lt;5</formula>
    </cfRule>
    <cfRule type="expression" dxfId="1543" priority="1099">
      <formula>L35&gt;=90</formula>
    </cfRule>
    <cfRule type="expression" dxfId="1542" priority="1100">
      <formula>L35&gt;=14</formula>
    </cfRule>
    <cfRule type="expression" dxfId="1541" priority="1101">
      <formula>L35&gt;=5</formula>
    </cfRule>
  </conditionalFormatting>
  <conditionalFormatting sqref="K35">
    <cfRule type="expression" dxfId="1540" priority="1092" stopIfTrue="1">
      <formula>L35="NR"</formula>
    </cfRule>
    <cfRule type="expression" dxfId="1539" priority="1093">
      <formula>L35&lt;5</formula>
    </cfRule>
    <cfRule type="expression" dxfId="1538" priority="1094">
      <formula>L35&gt;=90</formula>
    </cfRule>
    <cfRule type="expression" dxfId="1537" priority="1095">
      <formula>L35&gt;=14</formula>
    </cfRule>
    <cfRule type="expression" dxfId="1536" priority="1096">
      <formula>L35&gt;=5</formula>
    </cfRule>
  </conditionalFormatting>
  <conditionalFormatting sqref="K36">
    <cfRule type="expression" dxfId="1535" priority="1087" stopIfTrue="1">
      <formula>L36="NR"</formula>
    </cfRule>
    <cfRule type="expression" dxfId="1534" priority="1088">
      <formula>L36&lt;5</formula>
    </cfRule>
    <cfRule type="expression" dxfId="1533" priority="1089">
      <formula>L36&gt;=90</formula>
    </cfRule>
    <cfRule type="expression" dxfId="1532" priority="1090">
      <formula>L36&gt;=14</formula>
    </cfRule>
    <cfRule type="expression" dxfId="1531" priority="1091">
      <formula>L36&gt;=5</formula>
    </cfRule>
  </conditionalFormatting>
  <conditionalFormatting sqref="K36">
    <cfRule type="expression" dxfId="1530" priority="1082" stopIfTrue="1">
      <formula>L36="NR"</formula>
    </cfRule>
    <cfRule type="expression" dxfId="1529" priority="1083">
      <formula>L36&lt;5</formula>
    </cfRule>
    <cfRule type="expression" dxfId="1528" priority="1084">
      <formula>L36&gt;=90</formula>
    </cfRule>
    <cfRule type="expression" dxfId="1527" priority="1085">
      <formula>L36&gt;=14</formula>
    </cfRule>
    <cfRule type="expression" dxfId="1526" priority="1086">
      <formula>L36&gt;=5</formula>
    </cfRule>
  </conditionalFormatting>
  <conditionalFormatting sqref="K36">
    <cfRule type="expression" dxfId="1525" priority="1077" stopIfTrue="1">
      <formula>L36="NR"</formula>
    </cfRule>
    <cfRule type="expression" dxfId="1524" priority="1078">
      <formula>L36&lt;5</formula>
    </cfRule>
    <cfRule type="expression" dxfId="1523" priority="1079">
      <formula>L36&gt;=90</formula>
    </cfRule>
    <cfRule type="expression" dxfId="1522" priority="1080">
      <formula>L36&gt;=14</formula>
    </cfRule>
    <cfRule type="expression" dxfId="1521" priority="1081">
      <formula>L36&gt;=5</formula>
    </cfRule>
  </conditionalFormatting>
  <conditionalFormatting sqref="K36">
    <cfRule type="expression" dxfId="1520" priority="1072" stopIfTrue="1">
      <formula>L36="NR"</formula>
    </cfRule>
    <cfRule type="expression" dxfId="1519" priority="1073">
      <formula>L36&lt;5</formula>
    </cfRule>
    <cfRule type="expression" dxfId="1518" priority="1074">
      <formula>L36&gt;=90</formula>
    </cfRule>
    <cfRule type="expression" dxfId="1517" priority="1075">
      <formula>L36&gt;=14</formula>
    </cfRule>
    <cfRule type="expression" dxfId="1516" priority="1076">
      <formula>L36&gt;=5</formula>
    </cfRule>
  </conditionalFormatting>
  <conditionalFormatting sqref="K34:K107">
    <cfRule type="expression" dxfId="1515" priority="1067" stopIfTrue="1">
      <formula>L34="NR"</formula>
    </cfRule>
    <cfRule type="expression" dxfId="1514" priority="1068">
      <formula>L34&lt;5</formula>
    </cfRule>
    <cfRule type="expression" dxfId="1513" priority="1069">
      <formula>L34&gt;=90</formula>
    </cfRule>
    <cfRule type="expression" dxfId="1512" priority="1070">
      <formula>L34&gt;=14</formula>
    </cfRule>
    <cfRule type="expression" dxfId="1511" priority="1071">
      <formula>L34&gt;=5</formula>
    </cfRule>
  </conditionalFormatting>
  <conditionalFormatting sqref="K34:K107">
    <cfRule type="expression" dxfId="1510" priority="1062" stopIfTrue="1">
      <formula>L34="NR"</formula>
    </cfRule>
    <cfRule type="expression" dxfId="1509" priority="1063">
      <formula>L34&lt;5</formula>
    </cfRule>
    <cfRule type="expression" dxfId="1508" priority="1064">
      <formula>L34&gt;=90</formula>
    </cfRule>
    <cfRule type="expression" dxfId="1507" priority="1065">
      <formula>L34&gt;=14</formula>
    </cfRule>
    <cfRule type="expression" dxfId="1506" priority="1066">
      <formula>L34&gt;=5</formula>
    </cfRule>
  </conditionalFormatting>
  <conditionalFormatting sqref="K34:K107">
    <cfRule type="expression" dxfId="1505" priority="1057" stopIfTrue="1">
      <formula>L34="NR"</formula>
    </cfRule>
    <cfRule type="expression" dxfId="1504" priority="1058">
      <formula>L34&lt;5</formula>
    </cfRule>
    <cfRule type="expression" dxfId="1503" priority="1059">
      <formula>L34&gt;=90</formula>
    </cfRule>
    <cfRule type="expression" dxfId="1502" priority="1060">
      <formula>L34&gt;=14</formula>
    </cfRule>
    <cfRule type="expression" dxfId="1501" priority="1061">
      <formula>L34&gt;=5</formula>
    </cfRule>
  </conditionalFormatting>
  <conditionalFormatting sqref="M8:M107">
    <cfRule type="expression" dxfId="1500" priority="1052" stopIfTrue="1">
      <formula>N8="NR"</formula>
    </cfRule>
    <cfRule type="expression" dxfId="1499" priority="1053">
      <formula>N8&lt;5</formula>
    </cfRule>
    <cfRule type="expression" dxfId="1498" priority="1054">
      <formula>N8&gt;=90</formula>
    </cfRule>
    <cfRule type="expression" dxfId="1497" priority="1055">
      <formula>N8&gt;=14</formula>
    </cfRule>
    <cfRule type="expression" dxfId="1496" priority="1056">
      <formula>N8&gt;=5</formula>
    </cfRule>
  </conditionalFormatting>
  <conditionalFormatting sqref="M9">
    <cfRule type="expression" dxfId="1495" priority="1047" stopIfTrue="1">
      <formula>N9="NR"</formula>
    </cfRule>
    <cfRule type="expression" dxfId="1494" priority="1048">
      <formula>N9&lt;5</formula>
    </cfRule>
    <cfRule type="expression" dxfId="1493" priority="1049">
      <formula>N9&gt;=90</formula>
    </cfRule>
    <cfRule type="expression" dxfId="1492" priority="1050">
      <formula>N9&gt;=14</formula>
    </cfRule>
    <cfRule type="expression" dxfId="1491" priority="1051">
      <formula>N9&gt;=5</formula>
    </cfRule>
  </conditionalFormatting>
  <conditionalFormatting sqref="M10">
    <cfRule type="expression" dxfId="1490" priority="1042" stopIfTrue="1">
      <formula>N10="NR"</formula>
    </cfRule>
    <cfRule type="expression" dxfId="1489" priority="1043">
      <formula>N10&lt;5</formula>
    </cfRule>
    <cfRule type="expression" dxfId="1488" priority="1044">
      <formula>N10&gt;=90</formula>
    </cfRule>
    <cfRule type="expression" dxfId="1487" priority="1045">
      <formula>N10&gt;=14</formula>
    </cfRule>
    <cfRule type="expression" dxfId="1486" priority="1046">
      <formula>N10&gt;=5</formula>
    </cfRule>
  </conditionalFormatting>
  <conditionalFormatting sqref="M8:M107">
    <cfRule type="expression" dxfId="1485" priority="1037" stopIfTrue="1">
      <formula>N8="NR"</formula>
    </cfRule>
    <cfRule type="expression" dxfId="1484" priority="1038">
      <formula>N8&lt;5</formula>
    </cfRule>
    <cfRule type="expression" dxfId="1483" priority="1039">
      <formula>N8&gt;=90</formula>
    </cfRule>
    <cfRule type="expression" dxfId="1482" priority="1040">
      <formula>N8&gt;=14</formula>
    </cfRule>
    <cfRule type="expression" dxfId="1481" priority="1041">
      <formula>N8&gt;=5</formula>
    </cfRule>
  </conditionalFormatting>
  <conditionalFormatting sqref="M12">
    <cfRule type="expression" dxfId="1480" priority="1032" stopIfTrue="1">
      <formula>N12="NR"</formula>
    </cfRule>
    <cfRule type="expression" dxfId="1479" priority="1033">
      <formula>N12&lt;5</formula>
    </cfRule>
    <cfRule type="expression" dxfId="1478" priority="1034">
      <formula>N12&gt;=90</formula>
    </cfRule>
    <cfRule type="expression" dxfId="1477" priority="1035">
      <formula>N12&gt;=14</formula>
    </cfRule>
    <cfRule type="expression" dxfId="1476" priority="1036">
      <formula>N12&gt;=5</formula>
    </cfRule>
  </conditionalFormatting>
  <conditionalFormatting sqref="M10">
    <cfRule type="expression" dxfId="1475" priority="1027" stopIfTrue="1">
      <formula>N10="NR"</formula>
    </cfRule>
    <cfRule type="expression" dxfId="1474" priority="1028">
      <formula>N10&lt;5</formula>
    </cfRule>
    <cfRule type="expression" dxfId="1473" priority="1029">
      <formula>N10&gt;=90</formula>
    </cfRule>
    <cfRule type="expression" dxfId="1472" priority="1030">
      <formula>N10&gt;=14</formula>
    </cfRule>
    <cfRule type="expression" dxfId="1471" priority="1031">
      <formula>N10&gt;=5</formula>
    </cfRule>
  </conditionalFormatting>
  <conditionalFormatting sqref="M9">
    <cfRule type="expression" dxfId="1470" priority="1022" stopIfTrue="1">
      <formula>N9="NR"</formula>
    </cfRule>
    <cfRule type="expression" dxfId="1469" priority="1023">
      <formula>N9&lt;5</formula>
    </cfRule>
    <cfRule type="expression" dxfId="1468" priority="1024">
      <formula>N9&gt;=90</formula>
    </cfRule>
    <cfRule type="expression" dxfId="1467" priority="1025">
      <formula>N9&gt;=14</formula>
    </cfRule>
    <cfRule type="expression" dxfId="1466" priority="1026">
      <formula>N9&gt;=5</formula>
    </cfRule>
  </conditionalFormatting>
  <conditionalFormatting sqref="M8:M107">
    <cfRule type="expression" dxfId="1465" priority="1017" stopIfTrue="1">
      <formula>N8="NR"</formula>
    </cfRule>
    <cfRule type="expression" dxfId="1464" priority="1018">
      <formula>N8&lt;5</formula>
    </cfRule>
    <cfRule type="expression" dxfId="1463" priority="1019">
      <formula>N8&gt;=90</formula>
    </cfRule>
    <cfRule type="expression" dxfId="1462" priority="1020">
      <formula>N8&gt;=14</formula>
    </cfRule>
    <cfRule type="expression" dxfId="1461" priority="1021">
      <formula>N8&gt;=5</formula>
    </cfRule>
  </conditionalFormatting>
  <conditionalFormatting sqref="M9">
    <cfRule type="expression" dxfId="1460" priority="1012" stopIfTrue="1">
      <formula>N9="NR"</formula>
    </cfRule>
    <cfRule type="expression" dxfId="1459" priority="1013">
      <formula>N9&lt;5</formula>
    </cfRule>
    <cfRule type="expression" dxfId="1458" priority="1014">
      <formula>N9&gt;=90</formula>
    </cfRule>
    <cfRule type="expression" dxfId="1457" priority="1015">
      <formula>N9&gt;=14</formula>
    </cfRule>
    <cfRule type="expression" dxfId="1456" priority="1016">
      <formula>N9&gt;=5</formula>
    </cfRule>
  </conditionalFormatting>
  <conditionalFormatting sqref="M10:M34">
    <cfRule type="expression" dxfId="1455" priority="1007" stopIfTrue="1">
      <formula>N10="NR"</formula>
    </cfRule>
    <cfRule type="expression" dxfId="1454" priority="1008">
      <formula>N10&lt;5</formula>
    </cfRule>
    <cfRule type="expression" dxfId="1453" priority="1009">
      <formula>N10&gt;=90</formula>
    </cfRule>
    <cfRule type="expression" dxfId="1452" priority="1010">
      <formula>N10&gt;=14</formula>
    </cfRule>
    <cfRule type="expression" dxfId="1451" priority="1011">
      <formula>N10&gt;=5</formula>
    </cfRule>
  </conditionalFormatting>
  <conditionalFormatting sqref="M10:M34">
    <cfRule type="expression" dxfId="1450" priority="1002" stopIfTrue="1">
      <formula>N10="NR"</formula>
    </cfRule>
    <cfRule type="expression" dxfId="1449" priority="1003">
      <formula>N10&lt;5</formula>
    </cfRule>
    <cfRule type="expression" dxfId="1448" priority="1004">
      <formula>N10&gt;=90</formula>
    </cfRule>
    <cfRule type="expression" dxfId="1447" priority="1005">
      <formula>N10&gt;=14</formula>
    </cfRule>
    <cfRule type="expression" dxfId="1446" priority="1006">
      <formula>N10&gt;=5</formula>
    </cfRule>
  </conditionalFormatting>
  <conditionalFormatting sqref="M10:M34">
    <cfRule type="expression" dxfId="1445" priority="997" stopIfTrue="1">
      <formula>N10="NR"</formula>
    </cfRule>
    <cfRule type="expression" dxfId="1444" priority="998">
      <formula>N10&lt;5</formula>
    </cfRule>
    <cfRule type="expression" dxfId="1443" priority="999">
      <formula>N10&gt;=90</formula>
    </cfRule>
    <cfRule type="expression" dxfId="1442" priority="1000">
      <formula>N10&gt;=14</formula>
    </cfRule>
    <cfRule type="expression" dxfId="1441" priority="1001">
      <formula>N10&gt;=5</formula>
    </cfRule>
  </conditionalFormatting>
  <conditionalFormatting sqref="M34">
    <cfRule type="expression" dxfId="1440" priority="992" stopIfTrue="1">
      <formula>N34="NR"</formula>
    </cfRule>
    <cfRule type="expression" dxfId="1439" priority="993">
      <formula>N34&lt;5</formula>
    </cfRule>
    <cfRule type="expression" dxfId="1438" priority="994">
      <formula>N34&gt;=90</formula>
    </cfRule>
    <cfRule type="expression" dxfId="1437" priority="995">
      <formula>N34&gt;=14</formula>
    </cfRule>
    <cfRule type="expression" dxfId="1436" priority="996">
      <formula>N34&gt;=5</formula>
    </cfRule>
  </conditionalFormatting>
  <conditionalFormatting sqref="M34">
    <cfRule type="expression" dxfId="1435" priority="987" stopIfTrue="1">
      <formula>N34="NR"</formula>
    </cfRule>
    <cfRule type="expression" dxfId="1434" priority="988">
      <formula>N34&lt;5</formula>
    </cfRule>
    <cfRule type="expression" dxfId="1433" priority="989">
      <formula>N34&gt;=90</formula>
    </cfRule>
    <cfRule type="expression" dxfId="1432" priority="990">
      <formula>N34&gt;=14</formula>
    </cfRule>
    <cfRule type="expression" dxfId="1431" priority="991">
      <formula>N34&gt;=5</formula>
    </cfRule>
  </conditionalFormatting>
  <conditionalFormatting sqref="M34">
    <cfRule type="expression" dxfId="1430" priority="982" stopIfTrue="1">
      <formula>N34="NR"</formula>
    </cfRule>
    <cfRule type="expression" dxfId="1429" priority="983">
      <formula>N34&lt;5</formula>
    </cfRule>
    <cfRule type="expression" dxfId="1428" priority="984">
      <formula>N34&gt;=90</formula>
    </cfRule>
    <cfRule type="expression" dxfId="1427" priority="985">
      <formula>N34&gt;=14</formula>
    </cfRule>
    <cfRule type="expression" dxfId="1426" priority="986">
      <formula>N34&gt;=5</formula>
    </cfRule>
  </conditionalFormatting>
  <conditionalFormatting sqref="M35">
    <cfRule type="expression" dxfId="1425" priority="977" stopIfTrue="1">
      <formula>N35="NR"</formula>
    </cfRule>
    <cfRule type="expression" dxfId="1424" priority="978">
      <formula>N35&lt;5</formula>
    </cfRule>
    <cfRule type="expression" dxfId="1423" priority="979">
      <formula>N35&gt;=90</formula>
    </cfRule>
    <cfRule type="expression" dxfId="1422" priority="980">
      <formula>N35&gt;=14</formula>
    </cfRule>
    <cfRule type="expression" dxfId="1421" priority="981">
      <formula>N35&gt;=5</formula>
    </cfRule>
  </conditionalFormatting>
  <conditionalFormatting sqref="M35">
    <cfRule type="expression" dxfId="1420" priority="972" stopIfTrue="1">
      <formula>N35="NR"</formula>
    </cfRule>
    <cfRule type="expression" dxfId="1419" priority="973">
      <formula>N35&lt;5</formula>
    </cfRule>
    <cfRule type="expression" dxfId="1418" priority="974">
      <formula>N35&gt;=90</formula>
    </cfRule>
    <cfRule type="expression" dxfId="1417" priority="975">
      <formula>N35&gt;=14</formula>
    </cfRule>
    <cfRule type="expression" dxfId="1416" priority="976">
      <formula>N35&gt;=5</formula>
    </cfRule>
  </conditionalFormatting>
  <conditionalFormatting sqref="M35">
    <cfRule type="expression" dxfId="1415" priority="967" stopIfTrue="1">
      <formula>N35="NR"</formula>
    </cfRule>
    <cfRule type="expression" dxfId="1414" priority="968">
      <formula>N35&lt;5</formula>
    </cfRule>
    <cfRule type="expression" dxfId="1413" priority="969">
      <formula>N35&gt;=90</formula>
    </cfRule>
    <cfRule type="expression" dxfId="1412" priority="970">
      <formula>N35&gt;=14</formula>
    </cfRule>
    <cfRule type="expression" dxfId="1411" priority="971">
      <formula>N35&gt;=5</formula>
    </cfRule>
  </conditionalFormatting>
  <conditionalFormatting sqref="M35">
    <cfRule type="expression" dxfId="1410" priority="962" stopIfTrue="1">
      <formula>N35="NR"</formula>
    </cfRule>
    <cfRule type="expression" dxfId="1409" priority="963">
      <formula>N35&lt;5</formula>
    </cfRule>
    <cfRule type="expression" dxfId="1408" priority="964">
      <formula>N35&gt;=90</formula>
    </cfRule>
    <cfRule type="expression" dxfId="1407" priority="965">
      <formula>N35&gt;=14</formula>
    </cfRule>
    <cfRule type="expression" dxfId="1406" priority="966">
      <formula>N35&gt;=5</formula>
    </cfRule>
  </conditionalFormatting>
  <conditionalFormatting sqref="M36">
    <cfRule type="expression" dxfId="1405" priority="957" stopIfTrue="1">
      <formula>N36="NR"</formula>
    </cfRule>
    <cfRule type="expression" dxfId="1404" priority="958">
      <formula>N36&lt;5</formula>
    </cfRule>
    <cfRule type="expression" dxfId="1403" priority="959">
      <formula>N36&gt;=90</formula>
    </cfRule>
    <cfRule type="expression" dxfId="1402" priority="960">
      <formula>N36&gt;=14</formula>
    </cfRule>
    <cfRule type="expression" dxfId="1401" priority="961">
      <formula>N36&gt;=5</formula>
    </cfRule>
  </conditionalFormatting>
  <conditionalFormatting sqref="M36">
    <cfRule type="expression" dxfId="1400" priority="952" stopIfTrue="1">
      <formula>N36="NR"</formula>
    </cfRule>
    <cfRule type="expression" dxfId="1399" priority="953">
      <formula>N36&lt;5</formula>
    </cfRule>
    <cfRule type="expression" dxfId="1398" priority="954">
      <formula>N36&gt;=90</formula>
    </cfRule>
    <cfRule type="expression" dxfId="1397" priority="955">
      <formula>N36&gt;=14</formula>
    </cfRule>
    <cfRule type="expression" dxfId="1396" priority="956">
      <formula>N36&gt;=5</formula>
    </cfRule>
  </conditionalFormatting>
  <conditionalFormatting sqref="M36">
    <cfRule type="expression" dxfId="1395" priority="947" stopIfTrue="1">
      <formula>N36="NR"</formula>
    </cfRule>
    <cfRule type="expression" dxfId="1394" priority="948">
      <formula>N36&lt;5</formula>
    </cfRule>
    <cfRule type="expression" dxfId="1393" priority="949">
      <formula>N36&gt;=90</formula>
    </cfRule>
    <cfRule type="expression" dxfId="1392" priority="950">
      <formula>N36&gt;=14</formula>
    </cfRule>
    <cfRule type="expression" dxfId="1391" priority="951">
      <formula>N36&gt;=5</formula>
    </cfRule>
  </conditionalFormatting>
  <conditionalFormatting sqref="M36">
    <cfRule type="expression" dxfId="1390" priority="942" stopIfTrue="1">
      <formula>N36="NR"</formula>
    </cfRule>
    <cfRule type="expression" dxfId="1389" priority="943">
      <formula>N36&lt;5</formula>
    </cfRule>
    <cfRule type="expression" dxfId="1388" priority="944">
      <formula>N36&gt;=90</formula>
    </cfRule>
    <cfRule type="expression" dxfId="1387" priority="945">
      <formula>N36&gt;=14</formula>
    </cfRule>
    <cfRule type="expression" dxfId="1386" priority="946">
      <formula>N36&gt;=5</formula>
    </cfRule>
  </conditionalFormatting>
  <conditionalFormatting sqref="M34:M107">
    <cfRule type="expression" dxfId="1385" priority="937" stopIfTrue="1">
      <formula>N34="NR"</formula>
    </cfRule>
    <cfRule type="expression" dxfId="1384" priority="938">
      <formula>N34&lt;5</formula>
    </cfRule>
    <cfRule type="expression" dxfId="1383" priority="939">
      <formula>N34&gt;=90</formula>
    </cfRule>
    <cfRule type="expression" dxfId="1382" priority="940">
      <formula>N34&gt;=14</formula>
    </cfRule>
    <cfRule type="expression" dxfId="1381" priority="941">
      <formula>N34&gt;=5</formula>
    </cfRule>
  </conditionalFormatting>
  <conditionalFormatting sqref="M34:M107">
    <cfRule type="expression" dxfId="1380" priority="932" stopIfTrue="1">
      <formula>N34="NR"</formula>
    </cfRule>
    <cfRule type="expression" dxfId="1379" priority="933">
      <formula>N34&lt;5</formula>
    </cfRule>
    <cfRule type="expression" dxfId="1378" priority="934">
      <formula>N34&gt;=90</formula>
    </cfRule>
    <cfRule type="expression" dxfId="1377" priority="935">
      <formula>N34&gt;=14</formula>
    </cfRule>
    <cfRule type="expression" dxfId="1376" priority="936">
      <formula>N34&gt;=5</formula>
    </cfRule>
  </conditionalFormatting>
  <conditionalFormatting sqref="M34:M107">
    <cfRule type="expression" dxfId="1375" priority="927" stopIfTrue="1">
      <formula>N34="NR"</formula>
    </cfRule>
    <cfRule type="expression" dxfId="1374" priority="928">
      <formula>N34&lt;5</formula>
    </cfRule>
    <cfRule type="expression" dxfId="1373" priority="929">
      <formula>N34&gt;=90</formula>
    </cfRule>
    <cfRule type="expression" dxfId="1372" priority="930">
      <formula>N34&gt;=14</formula>
    </cfRule>
    <cfRule type="expression" dxfId="1371" priority="931">
      <formula>N34&gt;=5</formula>
    </cfRule>
  </conditionalFormatting>
  <conditionalFormatting sqref="O8:O107">
    <cfRule type="expression" dxfId="1370" priority="922" stopIfTrue="1">
      <formula>P8="NR"</formula>
    </cfRule>
    <cfRule type="expression" dxfId="1369" priority="923">
      <formula>P8&lt;5</formula>
    </cfRule>
    <cfRule type="expression" dxfId="1368" priority="924">
      <formula>P8&gt;=90</formula>
    </cfRule>
    <cfRule type="expression" dxfId="1367" priority="925">
      <formula>P8&gt;=14</formula>
    </cfRule>
    <cfRule type="expression" dxfId="1366" priority="926">
      <formula>P8&gt;=5</formula>
    </cfRule>
  </conditionalFormatting>
  <conditionalFormatting sqref="O9">
    <cfRule type="expression" dxfId="1365" priority="917" stopIfTrue="1">
      <formula>P9="NR"</formula>
    </cfRule>
    <cfRule type="expression" dxfId="1364" priority="918">
      <formula>P9&lt;5</formula>
    </cfRule>
    <cfRule type="expression" dxfId="1363" priority="919">
      <formula>P9&gt;=90</formula>
    </cfRule>
    <cfRule type="expression" dxfId="1362" priority="920">
      <formula>P9&gt;=14</formula>
    </cfRule>
    <cfRule type="expression" dxfId="1361" priority="921">
      <formula>P9&gt;=5</formula>
    </cfRule>
  </conditionalFormatting>
  <conditionalFormatting sqref="O10">
    <cfRule type="expression" dxfId="1360" priority="912" stopIfTrue="1">
      <formula>P10="NR"</formula>
    </cfRule>
    <cfRule type="expression" dxfId="1359" priority="913">
      <formula>P10&lt;5</formula>
    </cfRule>
    <cfRule type="expression" dxfId="1358" priority="914">
      <formula>P10&gt;=90</formula>
    </cfRule>
    <cfRule type="expression" dxfId="1357" priority="915">
      <formula>P10&gt;=14</formula>
    </cfRule>
    <cfRule type="expression" dxfId="1356" priority="916">
      <formula>P10&gt;=5</formula>
    </cfRule>
  </conditionalFormatting>
  <conditionalFormatting sqref="O8:O107">
    <cfRule type="expression" dxfId="1355" priority="907" stopIfTrue="1">
      <formula>P8="NR"</formula>
    </cfRule>
    <cfRule type="expression" dxfId="1354" priority="908">
      <formula>P8&lt;5</formula>
    </cfRule>
    <cfRule type="expression" dxfId="1353" priority="909">
      <formula>P8&gt;=90</formula>
    </cfRule>
    <cfRule type="expression" dxfId="1352" priority="910">
      <formula>P8&gt;=14</formula>
    </cfRule>
    <cfRule type="expression" dxfId="1351" priority="911">
      <formula>P8&gt;=5</formula>
    </cfRule>
  </conditionalFormatting>
  <conditionalFormatting sqref="O12">
    <cfRule type="expression" dxfId="1350" priority="902" stopIfTrue="1">
      <formula>P12="NR"</formula>
    </cfRule>
    <cfRule type="expression" dxfId="1349" priority="903">
      <formula>P12&lt;5</formula>
    </cfRule>
    <cfRule type="expression" dxfId="1348" priority="904">
      <formula>P12&gt;=90</formula>
    </cfRule>
    <cfRule type="expression" dxfId="1347" priority="905">
      <formula>P12&gt;=14</formula>
    </cfRule>
    <cfRule type="expression" dxfId="1346" priority="906">
      <formula>P12&gt;=5</formula>
    </cfRule>
  </conditionalFormatting>
  <conditionalFormatting sqref="O10">
    <cfRule type="expression" dxfId="1345" priority="897" stopIfTrue="1">
      <formula>P10="NR"</formula>
    </cfRule>
    <cfRule type="expression" dxfId="1344" priority="898">
      <formula>P10&lt;5</formula>
    </cfRule>
    <cfRule type="expression" dxfId="1343" priority="899">
      <formula>P10&gt;=90</formula>
    </cfRule>
    <cfRule type="expression" dxfId="1342" priority="900">
      <formula>P10&gt;=14</formula>
    </cfRule>
    <cfRule type="expression" dxfId="1341" priority="901">
      <formula>P10&gt;=5</formula>
    </cfRule>
  </conditionalFormatting>
  <conditionalFormatting sqref="O9">
    <cfRule type="expression" dxfId="1340" priority="892" stopIfTrue="1">
      <formula>P9="NR"</formula>
    </cfRule>
    <cfRule type="expression" dxfId="1339" priority="893">
      <formula>P9&lt;5</formula>
    </cfRule>
    <cfRule type="expression" dxfId="1338" priority="894">
      <formula>P9&gt;=90</formula>
    </cfRule>
    <cfRule type="expression" dxfId="1337" priority="895">
      <formula>P9&gt;=14</formula>
    </cfRule>
    <cfRule type="expression" dxfId="1336" priority="896">
      <formula>P9&gt;=5</formula>
    </cfRule>
  </conditionalFormatting>
  <conditionalFormatting sqref="O8:O107">
    <cfRule type="expression" dxfId="1335" priority="887" stopIfTrue="1">
      <formula>P8="NR"</formula>
    </cfRule>
    <cfRule type="expression" dxfId="1334" priority="888">
      <formula>P8&lt;5</formula>
    </cfRule>
    <cfRule type="expression" dxfId="1333" priority="889">
      <formula>P8&gt;=90</formula>
    </cfRule>
    <cfRule type="expression" dxfId="1332" priority="890">
      <formula>P8&gt;=14</formula>
    </cfRule>
    <cfRule type="expression" dxfId="1331" priority="891">
      <formula>P8&gt;=5</formula>
    </cfRule>
  </conditionalFormatting>
  <conditionalFormatting sqref="O9">
    <cfRule type="expression" dxfId="1330" priority="882" stopIfTrue="1">
      <formula>P9="NR"</formula>
    </cfRule>
    <cfRule type="expression" dxfId="1329" priority="883">
      <formula>P9&lt;5</formula>
    </cfRule>
    <cfRule type="expression" dxfId="1328" priority="884">
      <formula>P9&gt;=90</formula>
    </cfRule>
    <cfRule type="expression" dxfId="1327" priority="885">
      <formula>P9&gt;=14</formula>
    </cfRule>
    <cfRule type="expression" dxfId="1326" priority="886">
      <formula>P9&gt;=5</formula>
    </cfRule>
  </conditionalFormatting>
  <conditionalFormatting sqref="O10:O34">
    <cfRule type="expression" dxfId="1325" priority="877" stopIfTrue="1">
      <formula>P10="NR"</formula>
    </cfRule>
    <cfRule type="expression" dxfId="1324" priority="878">
      <formula>P10&lt;5</formula>
    </cfRule>
    <cfRule type="expression" dxfId="1323" priority="879">
      <formula>P10&gt;=90</formula>
    </cfRule>
    <cfRule type="expression" dxfId="1322" priority="880">
      <formula>P10&gt;=14</formula>
    </cfRule>
    <cfRule type="expression" dxfId="1321" priority="881">
      <formula>P10&gt;=5</formula>
    </cfRule>
  </conditionalFormatting>
  <conditionalFormatting sqref="O10:O34">
    <cfRule type="expression" dxfId="1320" priority="872" stopIfTrue="1">
      <formula>P10="NR"</formula>
    </cfRule>
    <cfRule type="expression" dxfId="1319" priority="873">
      <formula>P10&lt;5</formula>
    </cfRule>
    <cfRule type="expression" dxfId="1318" priority="874">
      <formula>P10&gt;=90</formula>
    </cfRule>
    <cfRule type="expression" dxfId="1317" priority="875">
      <formula>P10&gt;=14</formula>
    </cfRule>
    <cfRule type="expression" dxfId="1316" priority="876">
      <formula>P10&gt;=5</formula>
    </cfRule>
  </conditionalFormatting>
  <conditionalFormatting sqref="O10:O34">
    <cfRule type="expression" dxfId="1315" priority="867" stopIfTrue="1">
      <formula>P10="NR"</formula>
    </cfRule>
    <cfRule type="expression" dxfId="1314" priority="868">
      <formula>P10&lt;5</formula>
    </cfRule>
    <cfRule type="expression" dxfId="1313" priority="869">
      <formula>P10&gt;=90</formula>
    </cfRule>
    <cfRule type="expression" dxfId="1312" priority="870">
      <formula>P10&gt;=14</formula>
    </cfRule>
    <cfRule type="expression" dxfId="1311" priority="871">
      <formula>P10&gt;=5</formula>
    </cfRule>
  </conditionalFormatting>
  <conditionalFormatting sqref="O34">
    <cfRule type="expression" dxfId="1310" priority="862" stopIfTrue="1">
      <formula>P34="NR"</formula>
    </cfRule>
    <cfRule type="expression" dxfId="1309" priority="863">
      <formula>P34&lt;5</formula>
    </cfRule>
    <cfRule type="expression" dxfId="1308" priority="864">
      <formula>P34&gt;=90</formula>
    </cfRule>
    <cfRule type="expression" dxfId="1307" priority="865">
      <formula>P34&gt;=14</formula>
    </cfRule>
    <cfRule type="expression" dxfId="1306" priority="866">
      <formula>P34&gt;=5</formula>
    </cfRule>
  </conditionalFormatting>
  <conditionalFormatting sqref="O34">
    <cfRule type="expression" dxfId="1305" priority="857" stopIfTrue="1">
      <formula>P34="NR"</formula>
    </cfRule>
    <cfRule type="expression" dxfId="1304" priority="858">
      <formula>P34&lt;5</formula>
    </cfRule>
    <cfRule type="expression" dxfId="1303" priority="859">
      <formula>P34&gt;=90</formula>
    </cfRule>
    <cfRule type="expression" dxfId="1302" priority="860">
      <formula>P34&gt;=14</formula>
    </cfRule>
    <cfRule type="expression" dxfId="1301" priority="861">
      <formula>P34&gt;=5</formula>
    </cfRule>
  </conditionalFormatting>
  <conditionalFormatting sqref="O34">
    <cfRule type="expression" dxfId="1300" priority="852" stopIfTrue="1">
      <formula>P34="NR"</formula>
    </cfRule>
    <cfRule type="expression" dxfId="1299" priority="853">
      <formula>P34&lt;5</formula>
    </cfRule>
    <cfRule type="expression" dxfId="1298" priority="854">
      <formula>P34&gt;=90</formula>
    </cfRule>
    <cfRule type="expression" dxfId="1297" priority="855">
      <formula>P34&gt;=14</formula>
    </cfRule>
    <cfRule type="expression" dxfId="1296" priority="856">
      <formula>P34&gt;=5</formula>
    </cfRule>
  </conditionalFormatting>
  <conditionalFormatting sqref="O35">
    <cfRule type="expression" dxfId="1295" priority="847" stopIfTrue="1">
      <formula>P35="NR"</formula>
    </cfRule>
    <cfRule type="expression" dxfId="1294" priority="848">
      <formula>P35&lt;5</formula>
    </cfRule>
    <cfRule type="expression" dxfId="1293" priority="849">
      <formula>P35&gt;=90</formula>
    </cfRule>
    <cfRule type="expression" dxfId="1292" priority="850">
      <formula>P35&gt;=14</formula>
    </cfRule>
    <cfRule type="expression" dxfId="1291" priority="851">
      <formula>P35&gt;=5</formula>
    </cfRule>
  </conditionalFormatting>
  <conditionalFormatting sqref="O35">
    <cfRule type="expression" dxfId="1290" priority="842" stopIfTrue="1">
      <formula>P35="NR"</formula>
    </cfRule>
    <cfRule type="expression" dxfId="1289" priority="843">
      <formula>P35&lt;5</formula>
    </cfRule>
    <cfRule type="expression" dxfId="1288" priority="844">
      <formula>P35&gt;=90</formula>
    </cfRule>
    <cfRule type="expression" dxfId="1287" priority="845">
      <formula>P35&gt;=14</formula>
    </cfRule>
    <cfRule type="expression" dxfId="1286" priority="846">
      <formula>P35&gt;=5</formula>
    </cfRule>
  </conditionalFormatting>
  <conditionalFormatting sqref="O35">
    <cfRule type="expression" dxfId="1285" priority="837" stopIfTrue="1">
      <formula>P35="NR"</formula>
    </cfRule>
    <cfRule type="expression" dxfId="1284" priority="838">
      <formula>P35&lt;5</formula>
    </cfRule>
    <cfRule type="expression" dxfId="1283" priority="839">
      <formula>P35&gt;=90</formula>
    </cfRule>
    <cfRule type="expression" dxfId="1282" priority="840">
      <formula>P35&gt;=14</formula>
    </cfRule>
    <cfRule type="expression" dxfId="1281" priority="841">
      <formula>P35&gt;=5</formula>
    </cfRule>
  </conditionalFormatting>
  <conditionalFormatting sqref="O35">
    <cfRule type="expression" dxfId="1280" priority="832" stopIfTrue="1">
      <formula>P35="NR"</formula>
    </cfRule>
    <cfRule type="expression" dxfId="1279" priority="833">
      <formula>P35&lt;5</formula>
    </cfRule>
    <cfRule type="expression" dxfId="1278" priority="834">
      <formula>P35&gt;=90</formula>
    </cfRule>
    <cfRule type="expression" dxfId="1277" priority="835">
      <formula>P35&gt;=14</formula>
    </cfRule>
    <cfRule type="expression" dxfId="1276" priority="836">
      <formula>P35&gt;=5</formula>
    </cfRule>
  </conditionalFormatting>
  <conditionalFormatting sqref="O36">
    <cfRule type="expression" dxfId="1275" priority="827" stopIfTrue="1">
      <formula>P36="NR"</formula>
    </cfRule>
    <cfRule type="expression" dxfId="1274" priority="828">
      <formula>P36&lt;5</formula>
    </cfRule>
    <cfRule type="expression" dxfId="1273" priority="829">
      <formula>P36&gt;=90</formula>
    </cfRule>
    <cfRule type="expression" dxfId="1272" priority="830">
      <formula>P36&gt;=14</formula>
    </cfRule>
    <cfRule type="expression" dxfId="1271" priority="831">
      <formula>P36&gt;=5</formula>
    </cfRule>
  </conditionalFormatting>
  <conditionalFormatting sqref="O36">
    <cfRule type="expression" dxfId="1270" priority="822" stopIfTrue="1">
      <formula>P36="NR"</formula>
    </cfRule>
    <cfRule type="expression" dxfId="1269" priority="823">
      <formula>P36&lt;5</formula>
    </cfRule>
    <cfRule type="expression" dxfId="1268" priority="824">
      <formula>P36&gt;=90</formula>
    </cfRule>
    <cfRule type="expression" dxfId="1267" priority="825">
      <formula>P36&gt;=14</formula>
    </cfRule>
    <cfRule type="expression" dxfId="1266" priority="826">
      <formula>P36&gt;=5</formula>
    </cfRule>
  </conditionalFormatting>
  <conditionalFormatting sqref="O36">
    <cfRule type="expression" dxfId="1265" priority="817" stopIfTrue="1">
      <formula>P36="NR"</formula>
    </cfRule>
    <cfRule type="expression" dxfId="1264" priority="818">
      <formula>P36&lt;5</formula>
    </cfRule>
    <cfRule type="expression" dxfId="1263" priority="819">
      <formula>P36&gt;=90</formula>
    </cfRule>
    <cfRule type="expression" dxfId="1262" priority="820">
      <formula>P36&gt;=14</formula>
    </cfRule>
    <cfRule type="expression" dxfId="1261" priority="821">
      <formula>P36&gt;=5</formula>
    </cfRule>
  </conditionalFormatting>
  <conditionalFormatting sqref="O36">
    <cfRule type="expression" dxfId="1260" priority="812" stopIfTrue="1">
      <formula>P36="NR"</formula>
    </cfRule>
    <cfRule type="expression" dxfId="1259" priority="813">
      <formula>P36&lt;5</formula>
    </cfRule>
    <cfRule type="expression" dxfId="1258" priority="814">
      <formula>P36&gt;=90</formula>
    </cfRule>
    <cfRule type="expression" dxfId="1257" priority="815">
      <formula>P36&gt;=14</formula>
    </cfRule>
    <cfRule type="expression" dxfId="1256" priority="816">
      <formula>P36&gt;=5</formula>
    </cfRule>
  </conditionalFormatting>
  <conditionalFormatting sqref="O34:O107">
    <cfRule type="expression" dxfId="1255" priority="807" stopIfTrue="1">
      <formula>P34="NR"</formula>
    </cfRule>
    <cfRule type="expression" dxfId="1254" priority="808">
      <formula>P34&lt;5</formula>
    </cfRule>
    <cfRule type="expression" dxfId="1253" priority="809">
      <formula>P34&gt;=90</formula>
    </cfRule>
    <cfRule type="expression" dxfId="1252" priority="810">
      <formula>P34&gt;=14</formula>
    </cfRule>
    <cfRule type="expression" dxfId="1251" priority="811">
      <formula>P34&gt;=5</formula>
    </cfRule>
  </conditionalFormatting>
  <conditionalFormatting sqref="O34:O107">
    <cfRule type="expression" dxfId="1250" priority="802" stopIfTrue="1">
      <formula>P34="NR"</formula>
    </cfRule>
    <cfRule type="expression" dxfId="1249" priority="803">
      <formula>P34&lt;5</formula>
    </cfRule>
    <cfRule type="expression" dxfId="1248" priority="804">
      <formula>P34&gt;=90</formula>
    </cfRule>
    <cfRule type="expression" dxfId="1247" priority="805">
      <formula>P34&gt;=14</formula>
    </cfRule>
    <cfRule type="expression" dxfId="1246" priority="806">
      <formula>P34&gt;=5</formula>
    </cfRule>
  </conditionalFormatting>
  <conditionalFormatting sqref="O34:O107">
    <cfRule type="expression" dxfId="1245" priority="797" stopIfTrue="1">
      <formula>P34="NR"</formula>
    </cfRule>
    <cfRule type="expression" dxfId="1244" priority="798">
      <formula>P34&lt;5</formula>
    </cfRule>
    <cfRule type="expression" dxfId="1243" priority="799">
      <formula>P34&gt;=90</formula>
    </cfRule>
    <cfRule type="expression" dxfId="1242" priority="800">
      <formula>P34&gt;=14</formula>
    </cfRule>
    <cfRule type="expression" dxfId="1241" priority="801">
      <formula>P34&gt;=5</formula>
    </cfRule>
  </conditionalFormatting>
  <conditionalFormatting sqref="Q8:Q107">
    <cfRule type="expression" dxfId="1240" priority="792" stopIfTrue="1">
      <formula>R8="NR"</formula>
    </cfRule>
    <cfRule type="expression" dxfId="1239" priority="793">
      <formula>R8&lt;5</formula>
    </cfRule>
    <cfRule type="expression" dxfId="1238" priority="794">
      <formula>R8&gt;=90</formula>
    </cfRule>
    <cfRule type="expression" dxfId="1237" priority="795">
      <formula>R8&gt;=14</formula>
    </cfRule>
    <cfRule type="expression" dxfId="1236" priority="796">
      <formula>R8&gt;=5</formula>
    </cfRule>
  </conditionalFormatting>
  <conditionalFormatting sqref="Q9">
    <cfRule type="expression" dxfId="1235" priority="787" stopIfTrue="1">
      <formula>R9="NR"</formula>
    </cfRule>
    <cfRule type="expression" dxfId="1234" priority="788">
      <formula>R9&lt;5</formula>
    </cfRule>
    <cfRule type="expression" dxfId="1233" priority="789">
      <formula>R9&gt;=90</formula>
    </cfRule>
    <cfRule type="expression" dxfId="1232" priority="790">
      <formula>R9&gt;=14</formula>
    </cfRule>
    <cfRule type="expression" dxfId="1231" priority="791">
      <formula>R9&gt;=5</formula>
    </cfRule>
  </conditionalFormatting>
  <conditionalFormatting sqref="Q10">
    <cfRule type="expression" dxfId="1230" priority="782" stopIfTrue="1">
      <formula>R10="NR"</formula>
    </cfRule>
    <cfRule type="expression" dxfId="1229" priority="783">
      <formula>R10&lt;5</formula>
    </cfRule>
    <cfRule type="expression" dxfId="1228" priority="784">
      <formula>R10&gt;=90</formula>
    </cfRule>
    <cfRule type="expression" dxfId="1227" priority="785">
      <formula>R10&gt;=14</formula>
    </cfRule>
    <cfRule type="expression" dxfId="1226" priority="786">
      <formula>R10&gt;=5</formula>
    </cfRule>
  </conditionalFormatting>
  <conditionalFormatting sqref="Q8:Q107">
    <cfRule type="expression" dxfId="1225" priority="777" stopIfTrue="1">
      <formula>R8="NR"</formula>
    </cfRule>
    <cfRule type="expression" dxfId="1224" priority="778">
      <formula>R8&lt;5</formula>
    </cfRule>
    <cfRule type="expression" dxfId="1223" priority="779">
      <formula>R8&gt;=90</formula>
    </cfRule>
    <cfRule type="expression" dxfId="1222" priority="780">
      <formula>R8&gt;=14</formula>
    </cfRule>
    <cfRule type="expression" dxfId="1221" priority="781">
      <formula>R8&gt;=5</formula>
    </cfRule>
  </conditionalFormatting>
  <conditionalFormatting sqref="Q12">
    <cfRule type="expression" dxfId="1220" priority="772" stopIfTrue="1">
      <formula>R12="NR"</formula>
    </cfRule>
    <cfRule type="expression" dxfId="1219" priority="773">
      <formula>R12&lt;5</formula>
    </cfRule>
    <cfRule type="expression" dxfId="1218" priority="774">
      <formula>R12&gt;=90</formula>
    </cfRule>
    <cfRule type="expression" dxfId="1217" priority="775">
      <formula>R12&gt;=14</formula>
    </cfRule>
    <cfRule type="expression" dxfId="1216" priority="776">
      <formula>R12&gt;=5</formula>
    </cfRule>
  </conditionalFormatting>
  <conditionalFormatting sqref="Q10">
    <cfRule type="expression" dxfId="1215" priority="767" stopIfTrue="1">
      <formula>R10="NR"</formula>
    </cfRule>
    <cfRule type="expression" dxfId="1214" priority="768">
      <formula>R10&lt;5</formula>
    </cfRule>
    <cfRule type="expression" dxfId="1213" priority="769">
      <formula>R10&gt;=90</formula>
    </cfRule>
    <cfRule type="expression" dxfId="1212" priority="770">
      <formula>R10&gt;=14</formula>
    </cfRule>
    <cfRule type="expression" dxfId="1211" priority="771">
      <formula>R10&gt;=5</formula>
    </cfRule>
  </conditionalFormatting>
  <conditionalFormatting sqref="Q9">
    <cfRule type="expression" dxfId="1210" priority="762" stopIfTrue="1">
      <formula>R9="NR"</formula>
    </cfRule>
    <cfRule type="expression" dxfId="1209" priority="763">
      <formula>R9&lt;5</formula>
    </cfRule>
    <cfRule type="expression" dxfId="1208" priority="764">
      <formula>R9&gt;=90</formula>
    </cfRule>
    <cfRule type="expression" dxfId="1207" priority="765">
      <formula>R9&gt;=14</formula>
    </cfRule>
    <cfRule type="expression" dxfId="1206" priority="766">
      <formula>R9&gt;=5</formula>
    </cfRule>
  </conditionalFormatting>
  <conditionalFormatting sqref="Q8:Q107">
    <cfRule type="expression" dxfId="1205" priority="757" stopIfTrue="1">
      <formula>R8="NR"</formula>
    </cfRule>
    <cfRule type="expression" dxfId="1204" priority="758">
      <formula>R8&lt;5</formula>
    </cfRule>
    <cfRule type="expression" dxfId="1203" priority="759">
      <formula>R8&gt;=90</formula>
    </cfRule>
    <cfRule type="expression" dxfId="1202" priority="760">
      <formula>R8&gt;=14</formula>
    </cfRule>
    <cfRule type="expression" dxfId="1201" priority="761">
      <formula>R8&gt;=5</formula>
    </cfRule>
  </conditionalFormatting>
  <conditionalFormatting sqref="Q9">
    <cfRule type="expression" dxfId="1200" priority="752" stopIfTrue="1">
      <formula>R9="NR"</formula>
    </cfRule>
    <cfRule type="expression" dxfId="1199" priority="753">
      <formula>R9&lt;5</formula>
    </cfRule>
    <cfRule type="expression" dxfId="1198" priority="754">
      <formula>R9&gt;=90</formula>
    </cfRule>
    <cfRule type="expression" dxfId="1197" priority="755">
      <formula>R9&gt;=14</formula>
    </cfRule>
    <cfRule type="expression" dxfId="1196" priority="756">
      <formula>R9&gt;=5</formula>
    </cfRule>
  </conditionalFormatting>
  <conditionalFormatting sqref="Q10:Q34">
    <cfRule type="expression" dxfId="1195" priority="747" stopIfTrue="1">
      <formula>R10="NR"</formula>
    </cfRule>
    <cfRule type="expression" dxfId="1194" priority="748">
      <formula>R10&lt;5</formula>
    </cfRule>
    <cfRule type="expression" dxfId="1193" priority="749">
      <formula>R10&gt;=90</formula>
    </cfRule>
    <cfRule type="expression" dxfId="1192" priority="750">
      <formula>R10&gt;=14</formula>
    </cfRule>
    <cfRule type="expression" dxfId="1191" priority="751">
      <formula>R10&gt;=5</formula>
    </cfRule>
  </conditionalFormatting>
  <conditionalFormatting sqref="Q10:Q34">
    <cfRule type="expression" dxfId="1190" priority="742" stopIfTrue="1">
      <formula>R10="NR"</formula>
    </cfRule>
    <cfRule type="expression" dxfId="1189" priority="743">
      <formula>R10&lt;5</formula>
    </cfRule>
    <cfRule type="expression" dxfId="1188" priority="744">
      <formula>R10&gt;=90</formula>
    </cfRule>
    <cfRule type="expression" dxfId="1187" priority="745">
      <formula>R10&gt;=14</formula>
    </cfRule>
    <cfRule type="expression" dxfId="1186" priority="746">
      <formula>R10&gt;=5</formula>
    </cfRule>
  </conditionalFormatting>
  <conditionalFormatting sqref="Q10:Q34">
    <cfRule type="expression" dxfId="1185" priority="737" stopIfTrue="1">
      <formula>R10="NR"</formula>
    </cfRule>
    <cfRule type="expression" dxfId="1184" priority="738">
      <formula>R10&lt;5</formula>
    </cfRule>
    <cfRule type="expression" dxfId="1183" priority="739">
      <formula>R10&gt;=90</formula>
    </cfRule>
    <cfRule type="expression" dxfId="1182" priority="740">
      <formula>R10&gt;=14</formula>
    </cfRule>
    <cfRule type="expression" dxfId="1181" priority="741">
      <formula>R10&gt;=5</formula>
    </cfRule>
  </conditionalFormatting>
  <conditionalFormatting sqref="Q34">
    <cfRule type="expression" dxfId="1180" priority="732" stopIfTrue="1">
      <formula>R34="NR"</formula>
    </cfRule>
    <cfRule type="expression" dxfId="1179" priority="733">
      <formula>R34&lt;5</formula>
    </cfRule>
    <cfRule type="expression" dxfId="1178" priority="734">
      <formula>R34&gt;=90</formula>
    </cfRule>
    <cfRule type="expression" dxfId="1177" priority="735">
      <formula>R34&gt;=14</formula>
    </cfRule>
    <cfRule type="expression" dxfId="1176" priority="736">
      <formula>R34&gt;=5</formula>
    </cfRule>
  </conditionalFormatting>
  <conditionalFormatting sqref="Q34">
    <cfRule type="expression" dxfId="1175" priority="727" stopIfTrue="1">
      <formula>R34="NR"</formula>
    </cfRule>
    <cfRule type="expression" dxfId="1174" priority="728">
      <formula>R34&lt;5</formula>
    </cfRule>
    <cfRule type="expression" dxfId="1173" priority="729">
      <formula>R34&gt;=90</formula>
    </cfRule>
    <cfRule type="expression" dxfId="1172" priority="730">
      <formula>R34&gt;=14</formula>
    </cfRule>
    <cfRule type="expression" dxfId="1171" priority="731">
      <formula>R34&gt;=5</formula>
    </cfRule>
  </conditionalFormatting>
  <conditionalFormatting sqref="Q34">
    <cfRule type="expression" dxfId="1170" priority="722" stopIfTrue="1">
      <formula>R34="NR"</formula>
    </cfRule>
    <cfRule type="expression" dxfId="1169" priority="723">
      <formula>R34&lt;5</formula>
    </cfRule>
    <cfRule type="expression" dxfId="1168" priority="724">
      <formula>R34&gt;=90</formula>
    </cfRule>
    <cfRule type="expression" dxfId="1167" priority="725">
      <formula>R34&gt;=14</formula>
    </cfRule>
    <cfRule type="expression" dxfId="1166" priority="726">
      <formula>R34&gt;=5</formula>
    </cfRule>
  </conditionalFormatting>
  <conditionalFormatting sqref="Q35">
    <cfRule type="expression" dxfId="1165" priority="717" stopIfTrue="1">
      <formula>R35="NR"</formula>
    </cfRule>
    <cfRule type="expression" dxfId="1164" priority="718">
      <formula>R35&lt;5</formula>
    </cfRule>
    <cfRule type="expression" dxfId="1163" priority="719">
      <formula>R35&gt;=90</formula>
    </cfRule>
    <cfRule type="expression" dxfId="1162" priority="720">
      <formula>R35&gt;=14</formula>
    </cfRule>
    <cfRule type="expression" dxfId="1161" priority="721">
      <formula>R35&gt;=5</formula>
    </cfRule>
  </conditionalFormatting>
  <conditionalFormatting sqref="Q35">
    <cfRule type="expression" dxfId="1160" priority="712" stopIfTrue="1">
      <formula>R35="NR"</formula>
    </cfRule>
    <cfRule type="expression" dxfId="1159" priority="713">
      <formula>R35&lt;5</formula>
    </cfRule>
    <cfRule type="expression" dxfId="1158" priority="714">
      <formula>R35&gt;=90</formula>
    </cfRule>
    <cfRule type="expression" dxfId="1157" priority="715">
      <formula>R35&gt;=14</formula>
    </cfRule>
    <cfRule type="expression" dxfId="1156" priority="716">
      <formula>R35&gt;=5</formula>
    </cfRule>
  </conditionalFormatting>
  <conditionalFormatting sqref="Q35">
    <cfRule type="expression" dxfId="1155" priority="707" stopIfTrue="1">
      <formula>R35="NR"</formula>
    </cfRule>
    <cfRule type="expression" dxfId="1154" priority="708">
      <formula>R35&lt;5</formula>
    </cfRule>
    <cfRule type="expression" dxfId="1153" priority="709">
      <formula>R35&gt;=90</formula>
    </cfRule>
    <cfRule type="expression" dxfId="1152" priority="710">
      <formula>R35&gt;=14</formula>
    </cfRule>
    <cfRule type="expression" dxfId="1151" priority="711">
      <formula>R35&gt;=5</formula>
    </cfRule>
  </conditionalFormatting>
  <conditionalFormatting sqref="Q35">
    <cfRule type="expression" dxfId="1150" priority="702" stopIfTrue="1">
      <formula>R35="NR"</formula>
    </cfRule>
    <cfRule type="expression" dxfId="1149" priority="703">
      <formula>R35&lt;5</formula>
    </cfRule>
    <cfRule type="expression" dxfId="1148" priority="704">
      <formula>R35&gt;=90</formula>
    </cfRule>
    <cfRule type="expression" dxfId="1147" priority="705">
      <formula>R35&gt;=14</formula>
    </cfRule>
    <cfRule type="expression" dxfId="1146" priority="706">
      <formula>R35&gt;=5</formula>
    </cfRule>
  </conditionalFormatting>
  <conditionalFormatting sqref="Q36">
    <cfRule type="expression" dxfId="1145" priority="697" stopIfTrue="1">
      <formula>R36="NR"</formula>
    </cfRule>
    <cfRule type="expression" dxfId="1144" priority="698">
      <formula>R36&lt;5</formula>
    </cfRule>
    <cfRule type="expression" dxfId="1143" priority="699">
      <formula>R36&gt;=90</formula>
    </cfRule>
    <cfRule type="expression" dxfId="1142" priority="700">
      <formula>R36&gt;=14</formula>
    </cfRule>
    <cfRule type="expression" dxfId="1141" priority="701">
      <formula>R36&gt;=5</formula>
    </cfRule>
  </conditionalFormatting>
  <conditionalFormatting sqref="Q36">
    <cfRule type="expression" dxfId="1140" priority="692" stopIfTrue="1">
      <formula>R36="NR"</formula>
    </cfRule>
    <cfRule type="expression" dxfId="1139" priority="693">
      <formula>R36&lt;5</formula>
    </cfRule>
    <cfRule type="expression" dxfId="1138" priority="694">
      <formula>R36&gt;=90</formula>
    </cfRule>
    <cfRule type="expression" dxfId="1137" priority="695">
      <formula>R36&gt;=14</formula>
    </cfRule>
    <cfRule type="expression" dxfId="1136" priority="696">
      <formula>R36&gt;=5</formula>
    </cfRule>
  </conditionalFormatting>
  <conditionalFormatting sqref="Q36">
    <cfRule type="expression" dxfId="1135" priority="687" stopIfTrue="1">
      <formula>R36="NR"</formula>
    </cfRule>
    <cfRule type="expression" dxfId="1134" priority="688">
      <formula>R36&lt;5</formula>
    </cfRule>
    <cfRule type="expression" dxfId="1133" priority="689">
      <formula>R36&gt;=90</formula>
    </cfRule>
    <cfRule type="expression" dxfId="1132" priority="690">
      <formula>R36&gt;=14</formula>
    </cfRule>
    <cfRule type="expression" dxfId="1131" priority="691">
      <formula>R36&gt;=5</formula>
    </cfRule>
  </conditionalFormatting>
  <conditionalFormatting sqref="Q36">
    <cfRule type="expression" dxfId="1130" priority="682" stopIfTrue="1">
      <formula>R36="NR"</formula>
    </cfRule>
    <cfRule type="expression" dxfId="1129" priority="683">
      <formula>R36&lt;5</formula>
    </cfRule>
    <cfRule type="expression" dxfId="1128" priority="684">
      <formula>R36&gt;=90</formula>
    </cfRule>
    <cfRule type="expression" dxfId="1127" priority="685">
      <formula>R36&gt;=14</formula>
    </cfRule>
    <cfRule type="expression" dxfId="1126" priority="686">
      <formula>R36&gt;=5</formula>
    </cfRule>
  </conditionalFormatting>
  <conditionalFormatting sqref="Q34:Q107">
    <cfRule type="expression" dxfId="1125" priority="677" stopIfTrue="1">
      <formula>R34="NR"</formula>
    </cfRule>
    <cfRule type="expression" dxfId="1124" priority="678">
      <formula>R34&lt;5</formula>
    </cfRule>
    <cfRule type="expression" dxfId="1123" priority="679">
      <formula>R34&gt;=90</formula>
    </cfRule>
    <cfRule type="expression" dxfId="1122" priority="680">
      <formula>R34&gt;=14</formula>
    </cfRule>
    <cfRule type="expression" dxfId="1121" priority="681">
      <formula>R34&gt;=5</formula>
    </cfRule>
  </conditionalFormatting>
  <conditionalFormatting sqref="Q34:Q107">
    <cfRule type="expression" dxfId="1120" priority="672" stopIfTrue="1">
      <formula>R34="NR"</formula>
    </cfRule>
    <cfRule type="expression" dxfId="1119" priority="673">
      <formula>R34&lt;5</formula>
    </cfRule>
    <cfRule type="expression" dxfId="1118" priority="674">
      <formula>R34&gt;=90</formula>
    </cfRule>
    <cfRule type="expression" dxfId="1117" priority="675">
      <formula>R34&gt;=14</formula>
    </cfRule>
    <cfRule type="expression" dxfId="1116" priority="676">
      <formula>R34&gt;=5</formula>
    </cfRule>
  </conditionalFormatting>
  <conditionalFormatting sqref="Q34:Q107">
    <cfRule type="expression" dxfId="1115" priority="667" stopIfTrue="1">
      <formula>R34="NR"</formula>
    </cfRule>
    <cfRule type="expression" dxfId="1114" priority="668">
      <formula>R34&lt;5</formula>
    </cfRule>
    <cfRule type="expression" dxfId="1113" priority="669">
      <formula>R34&gt;=90</formula>
    </cfRule>
    <cfRule type="expression" dxfId="1112" priority="670">
      <formula>R34&gt;=14</formula>
    </cfRule>
    <cfRule type="expression" dxfId="1111" priority="671">
      <formula>R34&gt;=5</formula>
    </cfRule>
  </conditionalFormatting>
  <conditionalFormatting sqref="S8:S107">
    <cfRule type="expression" dxfId="1110" priority="662" stopIfTrue="1">
      <formula>T8="NR"</formula>
    </cfRule>
    <cfRule type="expression" dxfId="1109" priority="663">
      <formula>T8&lt;5</formula>
    </cfRule>
    <cfRule type="expression" dxfId="1108" priority="664">
      <formula>T8&gt;=90</formula>
    </cfRule>
    <cfRule type="expression" dxfId="1107" priority="665">
      <formula>T8&gt;=14</formula>
    </cfRule>
    <cfRule type="expression" dxfId="1106" priority="666">
      <formula>T8&gt;=5</formula>
    </cfRule>
  </conditionalFormatting>
  <conditionalFormatting sqref="S9">
    <cfRule type="expression" dxfId="1105" priority="657" stopIfTrue="1">
      <formula>T9="NR"</formula>
    </cfRule>
    <cfRule type="expression" dxfId="1104" priority="658">
      <formula>T9&lt;5</formula>
    </cfRule>
    <cfRule type="expression" dxfId="1103" priority="659">
      <formula>T9&gt;=90</formula>
    </cfRule>
    <cfRule type="expression" dxfId="1102" priority="660">
      <formula>T9&gt;=14</formula>
    </cfRule>
    <cfRule type="expression" dxfId="1101" priority="661">
      <formula>T9&gt;=5</formula>
    </cfRule>
  </conditionalFormatting>
  <conditionalFormatting sqref="S10">
    <cfRule type="expression" dxfId="1100" priority="652" stopIfTrue="1">
      <formula>T10="NR"</formula>
    </cfRule>
    <cfRule type="expression" dxfId="1099" priority="653">
      <formula>T10&lt;5</formula>
    </cfRule>
    <cfRule type="expression" dxfId="1098" priority="654">
      <formula>T10&gt;=90</formula>
    </cfRule>
    <cfRule type="expression" dxfId="1097" priority="655">
      <formula>T10&gt;=14</formula>
    </cfRule>
    <cfRule type="expression" dxfId="1096" priority="656">
      <formula>T10&gt;=5</formula>
    </cfRule>
  </conditionalFormatting>
  <conditionalFormatting sqref="S8:S107">
    <cfRule type="expression" dxfId="1095" priority="647" stopIfTrue="1">
      <formula>T8="NR"</formula>
    </cfRule>
    <cfRule type="expression" dxfId="1094" priority="648">
      <formula>T8&lt;5</formula>
    </cfRule>
    <cfRule type="expression" dxfId="1093" priority="649">
      <formula>T8&gt;=90</formula>
    </cfRule>
    <cfRule type="expression" dxfId="1092" priority="650">
      <formula>T8&gt;=14</formula>
    </cfRule>
    <cfRule type="expression" dxfId="1091" priority="651">
      <formula>T8&gt;=5</formula>
    </cfRule>
  </conditionalFormatting>
  <conditionalFormatting sqref="S12">
    <cfRule type="expression" dxfId="1090" priority="642" stopIfTrue="1">
      <formula>T12="NR"</formula>
    </cfRule>
    <cfRule type="expression" dxfId="1089" priority="643">
      <formula>T12&lt;5</formula>
    </cfRule>
    <cfRule type="expression" dxfId="1088" priority="644">
      <formula>T12&gt;=90</formula>
    </cfRule>
    <cfRule type="expression" dxfId="1087" priority="645">
      <formula>T12&gt;=14</formula>
    </cfRule>
    <cfRule type="expression" dxfId="1086" priority="646">
      <formula>T12&gt;=5</formula>
    </cfRule>
  </conditionalFormatting>
  <conditionalFormatting sqref="S10">
    <cfRule type="expression" dxfId="1085" priority="637" stopIfTrue="1">
      <formula>T10="NR"</formula>
    </cfRule>
    <cfRule type="expression" dxfId="1084" priority="638">
      <formula>T10&lt;5</formula>
    </cfRule>
    <cfRule type="expression" dxfId="1083" priority="639">
      <formula>T10&gt;=90</formula>
    </cfRule>
    <cfRule type="expression" dxfId="1082" priority="640">
      <formula>T10&gt;=14</formula>
    </cfRule>
    <cfRule type="expression" dxfId="1081" priority="641">
      <formula>T10&gt;=5</formula>
    </cfRule>
  </conditionalFormatting>
  <conditionalFormatting sqref="S9">
    <cfRule type="expression" dxfId="1080" priority="632" stopIfTrue="1">
      <formula>T9="NR"</formula>
    </cfRule>
    <cfRule type="expression" dxfId="1079" priority="633">
      <formula>T9&lt;5</formula>
    </cfRule>
    <cfRule type="expression" dxfId="1078" priority="634">
      <formula>T9&gt;=90</formula>
    </cfRule>
    <cfRule type="expression" dxfId="1077" priority="635">
      <formula>T9&gt;=14</formula>
    </cfRule>
    <cfRule type="expression" dxfId="1076" priority="636">
      <formula>T9&gt;=5</formula>
    </cfRule>
  </conditionalFormatting>
  <conditionalFormatting sqref="S8:S107">
    <cfRule type="expression" dxfId="1075" priority="627" stopIfTrue="1">
      <formula>T8="NR"</formula>
    </cfRule>
    <cfRule type="expression" dxfId="1074" priority="628">
      <formula>T8&lt;5</formula>
    </cfRule>
    <cfRule type="expression" dxfId="1073" priority="629">
      <formula>T8&gt;=90</formula>
    </cfRule>
    <cfRule type="expression" dxfId="1072" priority="630">
      <formula>T8&gt;=14</formula>
    </cfRule>
    <cfRule type="expression" dxfId="1071" priority="631">
      <formula>T8&gt;=5</formula>
    </cfRule>
  </conditionalFormatting>
  <conditionalFormatting sqref="S9">
    <cfRule type="expression" dxfId="1070" priority="622" stopIfTrue="1">
      <formula>T9="NR"</formula>
    </cfRule>
    <cfRule type="expression" dxfId="1069" priority="623">
      <formula>T9&lt;5</formula>
    </cfRule>
    <cfRule type="expression" dxfId="1068" priority="624">
      <formula>T9&gt;=90</formula>
    </cfRule>
    <cfRule type="expression" dxfId="1067" priority="625">
      <formula>T9&gt;=14</formula>
    </cfRule>
    <cfRule type="expression" dxfId="1066" priority="626">
      <formula>T9&gt;=5</formula>
    </cfRule>
  </conditionalFormatting>
  <conditionalFormatting sqref="S10:S34">
    <cfRule type="expression" dxfId="1065" priority="617" stopIfTrue="1">
      <formula>T10="NR"</formula>
    </cfRule>
    <cfRule type="expression" dxfId="1064" priority="618">
      <formula>T10&lt;5</formula>
    </cfRule>
    <cfRule type="expression" dxfId="1063" priority="619">
      <formula>T10&gt;=90</formula>
    </cfRule>
    <cfRule type="expression" dxfId="1062" priority="620">
      <formula>T10&gt;=14</formula>
    </cfRule>
    <cfRule type="expression" dxfId="1061" priority="621">
      <formula>T10&gt;=5</formula>
    </cfRule>
  </conditionalFormatting>
  <conditionalFormatting sqref="S10:S34">
    <cfRule type="expression" dxfId="1060" priority="612" stopIfTrue="1">
      <formula>T10="NR"</formula>
    </cfRule>
    <cfRule type="expression" dxfId="1059" priority="613">
      <formula>T10&lt;5</formula>
    </cfRule>
    <cfRule type="expression" dxfId="1058" priority="614">
      <formula>T10&gt;=90</formula>
    </cfRule>
    <cfRule type="expression" dxfId="1057" priority="615">
      <formula>T10&gt;=14</formula>
    </cfRule>
    <cfRule type="expression" dxfId="1056" priority="616">
      <formula>T10&gt;=5</formula>
    </cfRule>
  </conditionalFormatting>
  <conditionalFormatting sqref="S10:S34">
    <cfRule type="expression" dxfId="1055" priority="607" stopIfTrue="1">
      <formula>T10="NR"</formula>
    </cfRule>
    <cfRule type="expression" dxfId="1054" priority="608">
      <formula>T10&lt;5</formula>
    </cfRule>
    <cfRule type="expression" dxfId="1053" priority="609">
      <formula>T10&gt;=90</formula>
    </cfRule>
    <cfRule type="expression" dxfId="1052" priority="610">
      <formula>T10&gt;=14</formula>
    </cfRule>
    <cfRule type="expression" dxfId="1051" priority="611">
      <formula>T10&gt;=5</formula>
    </cfRule>
  </conditionalFormatting>
  <conditionalFormatting sqref="S34">
    <cfRule type="expression" dxfId="1050" priority="602" stopIfTrue="1">
      <formula>T34="NR"</formula>
    </cfRule>
    <cfRule type="expression" dxfId="1049" priority="603">
      <formula>T34&lt;5</formula>
    </cfRule>
    <cfRule type="expression" dxfId="1048" priority="604">
      <formula>T34&gt;=90</formula>
    </cfRule>
    <cfRule type="expression" dxfId="1047" priority="605">
      <formula>T34&gt;=14</formula>
    </cfRule>
    <cfRule type="expression" dxfId="1046" priority="606">
      <formula>T34&gt;=5</formula>
    </cfRule>
  </conditionalFormatting>
  <conditionalFormatting sqref="S34">
    <cfRule type="expression" dxfId="1045" priority="597" stopIfTrue="1">
      <formula>T34="NR"</formula>
    </cfRule>
    <cfRule type="expression" dxfId="1044" priority="598">
      <formula>T34&lt;5</formula>
    </cfRule>
    <cfRule type="expression" dxfId="1043" priority="599">
      <formula>T34&gt;=90</formula>
    </cfRule>
    <cfRule type="expression" dxfId="1042" priority="600">
      <formula>T34&gt;=14</formula>
    </cfRule>
    <cfRule type="expression" dxfId="1041" priority="601">
      <formula>T34&gt;=5</formula>
    </cfRule>
  </conditionalFormatting>
  <conditionalFormatting sqref="S34">
    <cfRule type="expression" dxfId="1040" priority="592" stopIfTrue="1">
      <formula>T34="NR"</formula>
    </cfRule>
    <cfRule type="expression" dxfId="1039" priority="593">
      <formula>T34&lt;5</formula>
    </cfRule>
    <cfRule type="expression" dxfId="1038" priority="594">
      <formula>T34&gt;=90</formula>
    </cfRule>
    <cfRule type="expression" dxfId="1037" priority="595">
      <formula>T34&gt;=14</formula>
    </cfRule>
    <cfRule type="expression" dxfId="1036" priority="596">
      <formula>T34&gt;=5</formula>
    </cfRule>
  </conditionalFormatting>
  <conditionalFormatting sqref="S35">
    <cfRule type="expression" dxfId="1035" priority="587" stopIfTrue="1">
      <formula>T35="NR"</formula>
    </cfRule>
    <cfRule type="expression" dxfId="1034" priority="588">
      <formula>T35&lt;5</formula>
    </cfRule>
    <cfRule type="expression" dxfId="1033" priority="589">
      <formula>T35&gt;=90</formula>
    </cfRule>
    <cfRule type="expression" dxfId="1032" priority="590">
      <formula>T35&gt;=14</formula>
    </cfRule>
    <cfRule type="expression" dxfId="1031" priority="591">
      <formula>T35&gt;=5</formula>
    </cfRule>
  </conditionalFormatting>
  <conditionalFormatting sqref="S35">
    <cfRule type="expression" dxfId="1030" priority="582" stopIfTrue="1">
      <formula>T35="NR"</formula>
    </cfRule>
    <cfRule type="expression" dxfId="1029" priority="583">
      <formula>T35&lt;5</formula>
    </cfRule>
    <cfRule type="expression" dxfId="1028" priority="584">
      <formula>T35&gt;=90</formula>
    </cfRule>
    <cfRule type="expression" dxfId="1027" priority="585">
      <formula>T35&gt;=14</formula>
    </cfRule>
    <cfRule type="expression" dxfId="1026" priority="586">
      <formula>T35&gt;=5</formula>
    </cfRule>
  </conditionalFormatting>
  <conditionalFormatting sqref="S35">
    <cfRule type="expression" dxfId="1025" priority="577" stopIfTrue="1">
      <formula>T35="NR"</formula>
    </cfRule>
    <cfRule type="expression" dxfId="1024" priority="578">
      <formula>T35&lt;5</formula>
    </cfRule>
    <cfRule type="expression" dxfId="1023" priority="579">
      <formula>T35&gt;=90</formula>
    </cfRule>
    <cfRule type="expression" dxfId="1022" priority="580">
      <formula>T35&gt;=14</formula>
    </cfRule>
    <cfRule type="expression" dxfId="1021" priority="581">
      <formula>T35&gt;=5</formula>
    </cfRule>
  </conditionalFormatting>
  <conditionalFormatting sqref="S35">
    <cfRule type="expression" dxfId="1020" priority="572" stopIfTrue="1">
      <formula>T35="NR"</formula>
    </cfRule>
    <cfRule type="expression" dxfId="1019" priority="573">
      <formula>T35&lt;5</formula>
    </cfRule>
    <cfRule type="expression" dxfId="1018" priority="574">
      <formula>T35&gt;=90</formula>
    </cfRule>
    <cfRule type="expression" dxfId="1017" priority="575">
      <formula>T35&gt;=14</formula>
    </cfRule>
    <cfRule type="expression" dxfId="1016" priority="576">
      <formula>T35&gt;=5</formula>
    </cfRule>
  </conditionalFormatting>
  <conditionalFormatting sqref="S36">
    <cfRule type="expression" dxfId="1015" priority="567" stopIfTrue="1">
      <formula>T36="NR"</formula>
    </cfRule>
    <cfRule type="expression" dxfId="1014" priority="568">
      <formula>T36&lt;5</formula>
    </cfRule>
    <cfRule type="expression" dxfId="1013" priority="569">
      <formula>T36&gt;=90</formula>
    </cfRule>
    <cfRule type="expression" dxfId="1012" priority="570">
      <formula>T36&gt;=14</formula>
    </cfRule>
    <cfRule type="expression" dxfId="1011" priority="571">
      <formula>T36&gt;=5</formula>
    </cfRule>
  </conditionalFormatting>
  <conditionalFormatting sqref="S36">
    <cfRule type="expression" dxfId="1010" priority="562" stopIfTrue="1">
      <formula>T36="NR"</formula>
    </cfRule>
    <cfRule type="expression" dxfId="1009" priority="563">
      <formula>T36&lt;5</formula>
    </cfRule>
    <cfRule type="expression" dxfId="1008" priority="564">
      <formula>T36&gt;=90</formula>
    </cfRule>
    <cfRule type="expression" dxfId="1007" priority="565">
      <formula>T36&gt;=14</formula>
    </cfRule>
    <cfRule type="expression" dxfId="1006" priority="566">
      <formula>T36&gt;=5</formula>
    </cfRule>
  </conditionalFormatting>
  <conditionalFormatting sqref="S36">
    <cfRule type="expression" dxfId="1005" priority="557" stopIfTrue="1">
      <formula>T36="NR"</formula>
    </cfRule>
    <cfRule type="expression" dxfId="1004" priority="558">
      <formula>T36&lt;5</formula>
    </cfRule>
    <cfRule type="expression" dxfId="1003" priority="559">
      <formula>T36&gt;=90</formula>
    </cfRule>
    <cfRule type="expression" dxfId="1002" priority="560">
      <formula>T36&gt;=14</formula>
    </cfRule>
    <cfRule type="expression" dxfId="1001" priority="561">
      <formula>T36&gt;=5</formula>
    </cfRule>
  </conditionalFormatting>
  <conditionalFormatting sqref="S36">
    <cfRule type="expression" dxfId="1000" priority="552" stopIfTrue="1">
      <formula>T36="NR"</formula>
    </cfRule>
    <cfRule type="expression" dxfId="999" priority="553">
      <formula>T36&lt;5</formula>
    </cfRule>
    <cfRule type="expression" dxfId="998" priority="554">
      <formula>T36&gt;=90</formula>
    </cfRule>
    <cfRule type="expression" dxfId="997" priority="555">
      <formula>T36&gt;=14</formula>
    </cfRule>
    <cfRule type="expression" dxfId="996" priority="556">
      <formula>T36&gt;=5</formula>
    </cfRule>
  </conditionalFormatting>
  <conditionalFormatting sqref="S34:S107">
    <cfRule type="expression" dxfId="995" priority="547" stopIfTrue="1">
      <formula>T34="NR"</formula>
    </cfRule>
    <cfRule type="expression" dxfId="994" priority="548">
      <formula>T34&lt;5</formula>
    </cfRule>
    <cfRule type="expression" dxfId="993" priority="549">
      <formula>T34&gt;=90</formula>
    </cfRule>
    <cfRule type="expression" dxfId="992" priority="550">
      <formula>T34&gt;=14</formula>
    </cfRule>
    <cfRule type="expression" dxfId="991" priority="551">
      <formula>T34&gt;=5</formula>
    </cfRule>
  </conditionalFormatting>
  <conditionalFormatting sqref="S34:S107">
    <cfRule type="expression" dxfId="990" priority="542" stopIfTrue="1">
      <formula>T34="NR"</formula>
    </cfRule>
    <cfRule type="expression" dxfId="989" priority="543">
      <formula>T34&lt;5</formula>
    </cfRule>
    <cfRule type="expression" dxfId="988" priority="544">
      <formula>T34&gt;=90</formula>
    </cfRule>
    <cfRule type="expression" dxfId="987" priority="545">
      <formula>T34&gt;=14</formula>
    </cfRule>
    <cfRule type="expression" dxfId="986" priority="546">
      <formula>T34&gt;=5</formula>
    </cfRule>
  </conditionalFormatting>
  <conditionalFormatting sqref="S34:S107">
    <cfRule type="expression" dxfId="985" priority="537" stopIfTrue="1">
      <formula>T34="NR"</formula>
    </cfRule>
    <cfRule type="expression" dxfId="984" priority="538">
      <formula>T34&lt;5</formula>
    </cfRule>
    <cfRule type="expression" dxfId="983" priority="539">
      <formula>T34&gt;=90</formula>
    </cfRule>
    <cfRule type="expression" dxfId="982" priority="540">
      <formula>T34&gt;=14</formula>
    </cfRule>
    <cfRule type="expression" dxfId="981" priority="541">
      <formula>T34&gt;=5</formula>
    </cfRule>
  </conditionalFormatting>
  <conditionalFormatting sqref="U8:U107">
    <cfRule type="expression" dxfId="980" priority="532" stopIfTrue="1">
      <formula>V8="NR"</formula>
    </cfRule>
    <cfRule type="expression" dxfId="979" priority="533">
      <formula>V8&lt;5</formula>
    </cfRule>
    <cfRule type="expression" dxfId="978" priority="534">
      <formula>V8&gt;=90</formula>
    </cfRule>
    <cfRule type="expression" dxfId="977" priority="535">
      <formula>V8&gt;=14</formula>
    </cfRule>
    <cfRule type="expression" dxfId="976" priority="536">
      <formula>V8&gt;=5</formula>
    </cfRule>
  </conditionalFormatting>
  <conditionalFormatting sqref="U9">
    <cfRule type="expression" dxfId="975" priority="527" stopIfTrue="1">
      <formula>V9="NR"</formula>
    </cfRule>
    <cfRule type="expression" dxfId="974" priority="528">
      <formula>V9&lt;5</formula>
    </cfRule>
    <cfRule type="expression" dxfId="973" priority="529">
      <formula>V9&gt;=90</formula>
    </cfRule>
    <cfRule type="expression" dxfId="972" priority="530">
      <formula>V9&gt;=14</formula>
    </cfRule>
    <cfRule type="expression" dxfId="971" priority="531">
      <formula>V9&gt;=5</formula>
    </cfRule>
  </conditionalFormatting>
  <conditionalFormatting sqref="U10">
    <cfRule type="expression" dxfId="970" priority="522" stopIfTrue="1">
      <formula>V10="NR"</formula>
    </cfRule>
    <cfRule type="expression" dxfId="969" priority="523">
      <formula>V10&lt;5</formula>
    </cfRule>
    <cfRule type="expression" dxfId="968" priority="524">
      <formula>V10&gt;=90</formula>
    </cfRule>
    <cfRule type="expression" dxfId="967" priority="525">
      <formula>V10&gt;=14</formula>
    </cfRule>
    <cfRule type="expression" dxfId="966" priority="526">
      <formula>V10&gt;=5</formula>
    </cfRule>
  </conditionalFormatting>
  <conditionalFormatting sqref="U8:U107">
    <cfRule type="expression" dxfId="965" priority="517" stopIfTrue="1">
      <formula>V8="NR"</formula>
    </cfRule>
    <cfRule type="expression" dxfId="964" priority="518">
      <formula>V8&lt;5</formula>
    </cfRule>
    <cfRule type="expression" dxfId="963" priority="519">
      <formula>V8&gt;=90</formula>
    </cfRule>
    <cfRule type="expression" dxfId="962" priority="520">
      <formula>V8&gt;=14</formula>
    </cfRule>
    <cfRule type="expression" dxfId="961" priority="521">
      <formula>V8&gt;=5</formula>
    </cfRule>
  </conditionalFormatting>
  <conditionalFormatting sqref="U12">
    <cfRule type="expression" dxfId="960" priority="512" stopIfTrue="1">
      <formula>V12="NR"</formula>
    </cfRule>
    <cfRule type="expression" dxfId="959" priority="513">
      <formula>V12&lt;5</formula>
    </cfRule>
    <cfRule type="expression" dxfId="958" priority="514">
      <formula>V12&gt;=90</formula>
    </cfRule>
    <cfRule type="expression" dxfId="957" priority="515">
      <formula>V12&gt;=14</formula>
    </cfRule>
    <cfRule type="expression" dxfId="956" priority="516">
      <formula>V12&gt;=5</formula>
    </cfRule>
  </conditionalFormatting>
  <conditionalFormatting sqref="U10">
    <cfRule type="expression" dxfId="955" priority="507" stopIfTrue="1">
      <formula>V10="NR"</formula>
    </cfRule>
    <cfRule type="expression" dxfId="954" priority="508">
      <formula>V10&lt;5</formula>
    </cfRule>
    <cfRule type="expression" dxfId="953" priority="509">
      <formula>V10&gt;=90</formula>
    </cfRule>
    <cfRule type="expression" dxfId="952" priority="510">
      <formula>V10&gt;=14</formula>
    </cfRule>
    <cfRule type="expression" dxfId="951" priority="511">
      <formula>V10&gt;=5</formula>
    </cfRule>
  </conditionalFormatting>
  <conditionalFormatting sqref="U9">
    <cfRule type="expression" dxfId="950" priority="502" stopIfTrue="1">
      <formula>V9="NR"</formula>
    </cfRule>
    <cfRule type="expression" dxfId="949" priority="503">
      <formula>V9&lt;5</formula>
    </cfRule>
    <cfRule type="expression" dxfId="948" priority="504">
      <formula>V9&gt;=90</formula>
    </cfRule>
    <cfRule type="expression" dxfId="947" priority="505">
      <formula>V9&gt;=14</formula>
    </cfRule>
    <cfRule type="expression" dxfId="946" priority="506">
      <formula>V9&gt;=5</formula>
    </cfRule>
  </conditionalFormatting>
  <conditionalFormatting sqref="U8:U107">
    <cfRule type="expression" dxfId="945" priority="497" stopIfTrue="1">
      <formula>V8="NR"</formula>
    </cfRule>
    <cfRule type="expression" dxfId="944" priority="498">
      <formula>V8&lt;5</formula>
    </cfRule>
    <cfRule type="expression" dxfId="943" priority="499">
      <formula>V8&gt;=90</formula>
    </cfRule>
    <cfRule type="expression" dxfId="942" priority="500">
      <formula>V8&gt;=14</formula>
    </cfRule>
    <cfRule type="expression" dxfId="941" priority="501">
      <formula>V8&gt;=5</formula>
    </cfRule>
  </conditionalFormatting>
  <conditionalFormatting sqref="U9">
    <cfRule type="expression" dxfId="940" priority="492" stopIfTrue="1">
      <formula>V9="NR"</formula>
    </cfRule>
    <cfRule type="expression" dxfId="939" priority="493">
      <formula>V9&lt;5</formula>
    </cfRule>
    <cfRule type="expression" dxfId="938" priority="494">
      <formula>V9&gt;=90</formula>
    </cfRule>
    <cfRule type="expression" dxfId="937" priority="495">
      <formula>V9&gt;=14</formula>
    </cfRule>
    <cfRule type="expression" dxfId="936" priority="496">
      <formula>V9&gt;=5</formula>
    </cfRule>
  </conditionalFormatting>
  <conditionalFormatting sqref="U10:U34">
    <cfRule type="expression" dxfId="935" priority="487" stopIfTrue="1">
      <formula>V10="NR"</formula>
    </cfRule>
    <cfRule type="expression" dxfId="934" priority="488">
      <formula>V10&lt;5</formula>
    </cfRule>
    <cfRule type="expression" dxfId="933" priority="489">
      <formula>V10&gt;=90</formula>
    </cfRule>
    <cfRule type="expression" dxfId="932" priority="490">
      <formula>V10&gt;=14</formula>
    </cfRule>
    <cfRule type="expression" dxfId="931" priority="491">
      <formula>V10&gt;=5</formula>
    </cfRule>
  </conditionalFormatting>
  <conditionalFormatting sqref="U10:U34">
    <cfRule type="expression" dxfId="930" priority="482" stopIfTrue="1">
      <formula>V10="NR"</formula>
    </cfRule>
    <cfRule type="expression" dxfId="929" priority="483">
      <formula>V10&lt;5</formula>
    </cfRule>
    <cfRule type="expression" dxfId="928" priority="484">
      <formula>V10&gt;=90</formula>
    </cfRule>
    <cfRule type="expression" dxfId="927" priority="485">
      <formula>V10&gt;=14</formula>
    </cfRule>
    <cfRule type="expression" dxfId="926" priority="486">
      <formula>V10&gt;=5</formula>
    </cfRule>
  </conditionalFormatting>
  <conditionalFormatting sqref="U10:U34">
    <cfRule type="expression" dxfId="925" priority="477" stopIfTrue="1">
      <formula>V10="NR"</formula>
    </cfRule>
    <cfRule type="expression" dxfId="924" priority="478">
      <formula>V10&lt;5</formula>
    </cfRule>
    <cfRule type="expression" dxfId="923" priority="479">
      <formula>V10&gt;=90</formula>
    </cfRule>
    <cfRule type="expression" dxfId="922" priority="480">
      <formula>V10&gt;=14</formula>
    </cfRule>
    <cfRule type="expression" dxfId="921" priority="481">
      <formula>V10&gt;=5</formula>
    </cfRule>
  </conditionalFormatting>
  <conditionalFormatting sqref="U34">
    <cfRule type="expression" dxfId="920" priority="472" stopIfTrue="1">
      <formula>V34="NR"</formula>
    </cfRule>
    <cfRule type="expression" dxfId="919" priority="473">
      <formula>V34&lt;5</formula>
    </cfRule>
    <cfRule type="expression" dxfId="918" priority="474">
      <formula>V34&gt;=90</formula>
    </cfRule>
    <cfRule type="expression" dxfId="917" priority="475">
      <formula>V34&gt;=14</formula>
    </cfRule>
    <cfRule type="expression" dxfId="916" priority="476">
      <formula>V34&gt;=5</formula>
    </cfRule>
  </conditionalFormatting>
  <conditionalFormatting sqref="U34">
    <cfRule type="expression" dxfId="915" priority="467" stopIfTrue="1">
      <formula>V34="NR"</formula>
    </cfRule>
    <cfRule type="expression" dxfId="914" priority="468">
      <formula>V34&lt;5</formula>
    </cfRule>
    <cfRule type="expression" dxfId="913" priority="469">
      <formula>V34&gt;=90</formula>
    </cfRule>
    <cfRule type="expression" dxfId="912" priority="470">
      <formula>V34&gt;=14</formula>
    </cfRule>
    <cfRule type="expression" dxfId="911" priority="471">
      <formula>V34&gt;=5</formula>
    </cfRule>
  </conditionalFormatting>
  <conditionalFormatting sqref="U34">
    <cfRule type="expression" dxfId="910" priority="462" stopIfTrue="1">
      <formula>V34="NR"</formula>
    </cfRule>
    <cfRule type="expression" dxfId="909" priority="463">
      <formula>V34&lt;5</formula>
    </cfRule>
    <cfRule type="expression" dxfId="908" priority="464">
      <formula>V34&gt;=90</formula>
    </cfRule>
    <cfRule type="expression" dxfId="907" priority="465">
      <formula>V34&gt;=14</formula>
    </cfRule>
    <cfRule type="expression" dxfId="906" priority="466">
      <formula>V34&gt;=5</formula>
    </cfRule>
  </conditionalFormatting>
  <conditionalFormatting sqref="U35">
    <cfRule type="expression" dxfId="905" priority="457" stopIfTrue="1">
      <formula>V35="NR"</formula>
    </cfRule>
    <cfRule type="expression" dxfId="904" priority="458">
      <formula>V35&lt;5</formula>
    </cfRule>
    <cfRule type="expression" dxfId="903" priority="459">
      <formula>V35&gt;=90</formula>
    </cfRule>
    <cfRule type="expression" dxfId="902" priority="460">
      <formula>V35&gt;=14</formula>
    </cfRule>
    <cfRule type="expression" dxfId="901" priority="461">
      <formula>V35&gt;=5</formula>
    </cfRule>
  </conditionalFormatting>
  <conditionalFormatting sqref="U35">
    <cfRule type="expression" dxfId="900" priority="452" stopIfTrue="1">
      <formula>V35="NR"</formula>
    </cfRule>
    <cfRule type="expression" dxfId="899" priority="453">
      <formula>V35&lt;5</formula>
    </cfRule>
    <cfRule type="expression" dxfId="898" priority="454">
      <formula>V35&gt;=90</formula>
    </cfRule>
    <cfRule type="expression" dxfId="897" priority="455">
      <formula>V35&gt;=14</formula>
    </cfRule>
    <cfRule type="expression" dxfId="896" priority="456">
      <formula>V35&gt;=5</formula>
    </cfRule>
  </conditionalFormatting>
  <conditionalFormatting sqref="U35">
    <cfRule type="expression" dxfId="895" priority="447" stopIfTrue="1">
      <formula>V35="NR"</formula>
    </cfRule>
    <cfRule type="expression" dxfId="894" priority="448">
      <formula>V35&lt;5</formula>
    </cfRule>
    <cfRule type="expression" dxfId="893" priority="449">
      <formula>V35&gt;=90</formula>
    </cfRule>
    <cfRule type="expression" dxfId="892" priority="450">
      <formula>V35&gt;=14</formula>
    </cfRule>
    <cfRule type="expression" dxfId="891" priority="451">
      <formula>V35&gt;=5</formula>
    </cfRule>
  </conditionalFormatting>
  <conditionalFormatting sqref="U35">
    <cfRule type="expression" dxfId="890" priority="442" stopIfTrue="1">
      <formula>V35="NR"</formula>
    </cfRule>
    <cfRule type="expression" dxfId="889" priority="443">
      <formula>V35&lt;5</formula>
    </cfRule>
    <cfRule type="expression" dxfId="888" priority="444">
      <formula>V35&gt;=90</formula>
    </cfRule>
    <cfRule type="expression" dxfId="887" priority="445">
      <formula>V35&gt;=14</formula>
    </cfRule>
    <cfRule type="expression" dxfId="886" priority="446">
      <formula>V35&gt;=5</formula>
    </cfRule>
  </conditionalFormatting>
  <conditionalFormatting sqref="U36">
    <cfRule type="expression" dxfId="885" priority="437" stopIfTrue="1">
      <formula>V36="NR"</formula>
    </cfRule>
    <cfRule type="expression" dxfId="884" priority="438">
      <formula>V36&lt;5</formula>
    </cfRule>
    <cfRule type="expression" dxfId="883" priority="439">
      <formula>V36&gt;=90</formula>
    </cfRule>
    <cfRule type="expression" dxfId="882" priority="440">
      <formula>V36&gt;=14</formula>
    </cfRule>
    <cfRule type="expression" dxfId="881" priority="441">
      <formula>V36&gt;=5</formula>
    </cfRule>
  </conditionalFormatting>
  <conditionalFormatting sqref="U36">
    <cfRule type="expression" dxfId="880" priority="432" stopIfTrue="1">
      <formula>V36="NR"</formula>
    </cfRule>
    <cfRule type="expression" dxfId="879" priority="433">
      <formula>V36&lt;5</formula>
    </cfRule>
    <cfRule type="expression" dxfId="878" priority="434">
      <formula>V36&gt;=90</formula>
    </cfRule>
    <cfRule type="expression" dxfId="877" priority="435">
      <formula>V36&gt;=14</formula>
    </cfRule>
    <cfRule type="expression" dxfId="876" priority="436">
      <formula>V36&gt;=5</formula>
    </cfRule>
  </conditionalFormatting>
  <conditionalFormatting sqref="U36">
    <cfRule type="expression" dxfId="875" priority="427" stopIfTrue="1">
      <formula>V36="NR"</formula>
    </cfRule>
    <cfRule type="expression" dxfId="874" priority="428">
      <formula>V36&lt;5</formula>
    </cfRule>
    <cfRule type="expression" dxfId="873" priority="429">
      <formula>V36&gt;=90</formula>
    </cfRule>
    <cfRule type="expression" dxfId="872" priority="430">
      <formula>V36&gt;=14</formula>
    </cfRule>
    <cfRule type="expression" dxfId="871" priority="431">
      <formula>V36&gt;=5</formula>
    </cfRule>
  </conditionalFormatting>
  <conditionalFormatting sqref="U36">
    <cfRule type="expression" dxfId="870" priority="422" stopIfTrue="1">
      <formula>V36="NR"</formula>
    </cfRule>
    <cfRule type="expression" dxfId="869" priority="423">
      <formula>V36&lt;5</formula>
    </cfRule>
    <cfRule type="expression" dxfId="868" priority="424">
      <formula>V36&gt;=90</formula>
    </cfRule>
    <cfRule type="expression" dxfId="867" priority="425">
      <formula>V36&gt;=14</formula>
    </cfRule>
    <cfRule type="expression" dxfId="866" priority="426">
      <formula>V36&gt;=5</formula>
    </cfRule>
  </conditionalFormatting>
  <conditionalFormatting sqref="U34:U107">
    <cfRule type="expression" dxfId="865" priority="417" stopIfTrue="1">
      <formula>V34="NR"</formula>
    </cfRule>
    <cfRule type="expression" dxfId="864" priority="418">
      <formula>V34&lt;5</formula>
    </cfRule>
    <cfRule type="expression" dxfId="863" priority="419">
      <formula>V34&gt;=90</formula>
    </cfRule>
    <cfRule type="expression" dxfId="862" priority="420">
      <formula>V34&gt;=14</formula>
    </cfRule>
    <cfRule type="expression" dxfId="861" priority="421">
      <formula>V34&gt;=5</formula>
    </cfRule>
  </conditionalFormatting>
  <conditionalFormatting sqref="U34:U107">
    <cfRule type="expression" dxfId="860" priority="412" stopIfTrue="1">
      <formula>V34="NR"</formula>
    </cfRule>
    <cfRule type="expression" dxfId="859" priority="413">
      <formula>V34&lt;5</formula>
    </cfRule>
    <cfRule type="expression" dxfId="858" priority="414">
      <formula>V34&gt;=90</formula>
    </cfRule>
    <cfRule type="expression" dxfId="857" priority="415">
      <formula>V34&gt;=14</formula>
    </cfRule>
    <cfRule type="expression" dxfId="856" priority="416">
      <formula>V34&gt;=5</formula>
    </cfRule>
  </conditionalFormatting>
  <conditionalFormatting sqref="U34:U107">
    <cfRule type="expression" dxfId="855" priority="407" stopIfTrue="1">
      <formula>V34="NR"</formula>
    </cfRule>
    <cfRule type="expression" dxfId="854" priority="408">
      <formula>V34&lt;5</formula>
    </cfRule>
    <cfRule type="expression" dxfId="853" priority="409">
      <formula>V34&gt;=90</formula>
    </cfRule>
    <cfRule type="expression" dxfId="852" priority="410">
      <formula>V34&gt;=14</formula>
    </cfRule>
    <cfRule type="expression" dxfId="851" priority="411">
      <formula>V34&gt;=5</formula>
    </cfRule>
  </conditionalFormatting>
  <conditionalFormatting sqref="W8:W107">
    <cfRule type="expression" dxfId="850" priority="402" stopIfTrue="1">
      <formula>X8="NR"</formula>
    </cfRule>
    <cfRule type="expression" dxfId="849" priority="403">
      <formula>X8&lt;5</formula>
    </cfRule>
    <cfRule type="expression" dxfId="848" priority="404">
      <formula>X8&gt;=90</formula>
    </cfRule>
    <cfRule type="expression" dxfId="847" priority="405">
      <formula>X8&gt;=14</formula>
    </cfRule>
    <cfRule type="expression" dxfId="846" priority="406">
      <formula>X8&gt;=5</formula>
    </cfRule>
  </conditionalFormatting>
  <conditionalFormatting sqref="W9">
    <cfRule type="expression" dxfId="845" priority="397" stopIfTrue="1">
      <formula>X9="NR"</formula>
    </cfRule>
    <cfRule type="expression" dxfId="844" priority="398">
      <formula>X9&lt;5</formula>
    </cfRule>
    <cfRule type="expression" dxfId="843" priority="399">
      <formula>X9&gt;=90</formula>
    </cfRule>
    <cfRule type="expression" dxfId="842" priority="400">
      <formula>X9&gt;=14</formula>
    </cfRule>
    <cfRule type="expression" dxfId="841" priority="401">
      <formula>X9&gt;=5</formula>
    </cfRule>
  </conditionalFormatting>
  <conditionalFormatting sqref="W10">
    <cfRule type="expression" dxfId="840" priority="392" stopIfTrue="1">
      <formula>X10="NR"</formula>
    </cfRule>
    <cfRule type="expression" dxfId="839" priority="393">
      <formula>X10&lt;5</formula>
    </cfRule>
    <cfRule type="expression" dxfId="838" priority="394">
      <formula>X10&gt;=90</formula>
    </cfRule>
    <cfRule type="expression" dxfId="837" priority="395">
      <formula>X10&gt;=14</formula>
    </cfRule>
    <cfRule type="expression" dxfId="836" priority="396">
      <formula>X10&gt;=5</formula>
    </cfRule>
  </conditionalFormatting>
  <conditionalFormatting sqref="W8:W107">
    <cfRule type="expression" dxfId="835" priority="387" stopIfTrue="1">
      <formula>X8="NR"</formula>
    </cfRule>
    <cfRule type="expression" dxfId="834" priority="388">
      <formula>X8&lt;5</formula>
    </cfRule>
    <cfRule type="expression" dxfId="833" priority="389">
      <formula>X8&gt;=90</formula>
    </cfRule>
    <cfRule type="expression" dxfId="832" priority="390">
      <formula>X8&gt;=14</formula>
    </cfRule>
    <cfRule type="expression" dxfId="831" priority="391">
      <formula>X8&gt;=5</formula>
    </cfRule>
  </conditionalFormatting>
  <conditionalFormatting sqref="W12">
    <cfRule type="expression" dxfId="830" priority="382" stopIfTrue="1">
      <formula>X12="NR"</formula>
    </cfRule>
    <cfRule type="expression" dxfId="829" priority="383">
      <formula>X12&lt;5</formula>
    </cfRule>
    <cfRule type="expression" dxfId="828" priority="384">
      <formula>X12&gt;=90</formula>
    </cfRule>
    <cfRule type="expression" dxfId="827" priority="385">
      <formula>X12&gt;=14</formula>
    </cfRule>
    <cfRule type="expression" dxfId="826" priority="386">
      <formula>X12&gt;=5</formula>
    </cfRule>
  </conditionalFormatting>
  <conditionalFormatting sqref="W10">
    <cfRule type="expression" dxfId="825" priority="377" stopIfTrue="1">
      <formula>X10="NR"</formula>
    </cfRule>
    <cfRule type="expression" dxfId="824" priority="378">
      <formula>X10&lt;5</formula>
    </cfRule>
    <cfRule type="expression" dxfId="823" priority="379">
      <formula>X10&gt;=90</formula>
    </cfRule>
    <cfRule type="expression" dxfId="822" priority="380">
      <formula>X10&gt;=14</formula>
    </cfRule>
    <cfRule type="expression" dxfId="821" priority="381">
      <formula>X10&gt;=5</formula>
    </cfRule>
  </conditionalFormatting>
  <conditionalFormatting sqref="W9">
    <cfRule type="expression" dxfId="820" priority="372" stopIfTrue="1">
      <formula>X9="NR"</formula>
    </cfRule>
    <cfRule type="expression" dxfId="819" priority="373">
      <formula>X9&lt;5</formula>
    </cfRule>
    <cfRule type="expression" dxfId="818" priority="374">
      <formula>X9&gt;=90</formula>
    </cfRule>
    <cfRule type="expression" dxfId="817" priority="375">
      <formula>X9&gt;=14</formula>
    </cfRule>
    <cfRule type="expression" dxfId="816" priority="376">
      <formula>X9&gt;=5</formula>
    </cfRule>
  </conditionalFormatting>
  <conditionalFormatting sqref="W8:W107">
    <cfRule type="expression" dxfId="815" priority="367" stopIfTrue="1">
      <formula>X8="NR"</formula>
    </cfRule>
    <cfRule type="expression" dxfId="814" priority="368">
      <formula>X8&lt;5</formula>
    </cfRule>
    <cfRule type="expression" dxfId="813" priority="369">
      <formula>X8&gt;=90</formula>
    </cfRule>
    <cfRule type="expression" dxfId="812" priority="370">
      <formula>X8&gt;=14</formula>
    </cfRule>
    <cfRule type="expression" dxfId="811" priority="371">
      <formula>X8&gt;=5</formula>
    </cfRule>
  </conditionalFormatting>
  <conditionalFormatting sqref="W9">
    <cfRule type="expression" dxfId="810" priority="362" stopIfTrue="1">
      <formula>X9="NR"</formula>
    </cfRule>
    <cfRule type="expression" dxfId="809" priority="363">
      <formula>X9&lt;5</formula>
    </cfRule>
    <cfRule type="expression" dxfId="808" priority="364">
      <formula>X9&gt;=90</formula>
    </cfRule>
    <cfRule type="expression" dxfId="807" priority="365">
      <formula>X9&gt;=14</formula>
    </cfRule>
    <cfRule type="expression" dxfId="806" priority="366">
      <formula>X9&gt;=5</formula>
    </cfRule>
  </conditionalFormatting>
  <conditionalFormatting sqref="W10:W34">
    <cfRule type="expression" dxfId="805" priority="357" stopIfTrue="1">
      <formula>X10="NR"</formula>
    </cfRule>
    <cfRule type="expression" dxfId="804" priority="358">
      <formula>X10&lt;5</formula>
    </cfRule>
    <cfRule type="expression" dxfId="803" priority="359">
      <formula>X10&gt;=90</formula>
    </cfRule>
    <cfRule type="expression" dxfId="802" priority="360">
      <formula>X10&gt;=14</formula>
    </cfRule>
    <cfRule type="expression" dxfId="801" priority="361">
      <formula>X10&gt;=5</formula>
    </cfRule>
  </conditionalFormatting>
  <conditionalFormatting sqref="W10:W34">
    <cfRule type="expression" dxfId="800" priority="352" stopIfTrue="1">
      <formula>X10="NR"</formula>
    </cfRule>
    <cfRule type="expression" dxfId="799" priority="353">
      <formula>X10&lt;5</formula>
    </cfRule>
    <cfRule type="expression" dxfId="798" priority="354">
      <formula>X10&gt;=90</formula>
    </cfRule>
    <cfRule type="expression" dxfId="797" priority="355">
      <formula>X10&gt;=14</formula>
    </cfRule>
    <cfRule type="expression" dxfId="796" priority="356">
      <formula>X10&gt;=5</formula>
    </cfRule>
  </conditionalFormatting>
  <conditionalFormatting sqref="W10:W34">
    <cfRule type="expression" dxfId="795" priority="347" stopIfTrue="1">
      <formula>X10="NR"</formula>
    </cfRule>
    <cfRule type="expression" dxfId="794" priority="348">
      <formula>X10&lt;5</formula>
    </cfRule>
    <cfRule type="expression" dxfId="793" priority="349">
      <formula>X10&gt;=90</formula>
    </cfRule>
    <cfRule type="expression" dxfId="792" priority="350">
      <formula>X10&gt;=14</formula>
    </cfRule>
    <cfRule type="expression" dxfId="791" priority="351">
      <formula>X10&gt;=5</formula>
    </cfRule>
  </conditionalFormatting>
  <conditionalFormatting sqref="W34">
    <cfRule type="expression" dxfId="790" priority="342" stopIfTrue="1">
      <formula>X34="NR"</formula>
    </cfRule>
    <cfRule type="expression" dxfId="789" priority="343">
      <formula>X34&lt;5</formula>
    </cfRule>
    <cfRule type="expression" dxfId="788" priority="344">
      <formula>X34&gt;=90</formula>
    </cfRule>
    <cfRule type="expression" dxfId="787" priority="345">
      <formula>X34&gt;=14</formula>
    </cfRule>
    <cfRule type="expression" dxfId="786" priority="346">
      <formula>X34&gt;=5</formula>
    </cfRule>
  </conditionalFormatting>
  <conditionalFormatting sqref="W34">
    <cfRule type="expression" dxfId="785" priority="337" stopIfTrue="1">
      <formula>X34="NR"</formula>
    </cfRule>
    <cfRule type="expression" dxfId="784" priority="338">
      <formula>X34&lt;5</formula>
    </cfRule>
    <cfRule type="expression" dxfId="783" priority="339">
      <formula>X34&gt;=90</formula>
    </cfRule>
    <cfRule type="expression" dxfId="782" priority="340">
      <formula>X34&gt;=14</formula>
    </cfRule>
    <cfRule type="expression" dxfId="781" priority="341">
      <formula>X34&gt;=5</formula>
    </cfRule>
  </conditionalFormatting>
  <conditionalFormatting sqref="W34">
    <cfRule type="expression" dxfId="780" priority="332" stopIfTrue="1">
      <formula>X34="NR"</formula>
    </cfRule>
    <cfRule type="expression" dxfId="779" priority="333">
      <formula>X34&lt;5</formula>
    </cfRule>
    <cfRule type="expression" dxfId="778" priority="334">
      <formula>X34&gt;=90</formula>
    </cfRule>
    <cfRule type="expression" dxfId="777" priority="335">
      <formula>X34&gt;=14</formula>
    </cfRule>
    <cfRule type="expression" dxfId="776" priority="336">
      <formula>X34&gt;=5</formula>
    </cfRule>
  </conditionalFormatting>
  <conditionalFormatting sqref="W35">
    <cfRule type="expression" dxfId="775" priority="327" stopIfTrue="1">
      <formula>X35="NR"</formula>
    </cfRule>
    <cfRule type="expression" dxfId="774" priority="328">
      <formula>X35&lt;5</formula>
    </cfRule>
    <cfRule type="expression" dxfId="773" priority="329">
      <formula>X35&gt;=90</formula>
    </cfRule>
    <cfRule type="expression" dxfId="772" priority="330">
      <formula>X35&gt;=14</formula>
    </cfRule>
    <cfRule type="expression" dxfId="771" priority="331">
      <formula>X35&gt;=5</formula>
    </cfRule>
  </conditionalFormatting>
  <conditionalFormatting sqref="W35">
    <cfRule type="expression" dxfId="770" priority="322" stopIfTrue="1">
      <formula>X35="NR"</formula>
    </cfRule>
    <cfRule type="expression" dxfId="769" priority="323">
      <formula>X35&lt;5</formula>
    </cfRule>
    <cfRule type="expression" dxfId="768" priority="324">
      <formula>X35&gt;=90</formula>
    </cfRule>
    <cfRule type="expression" dxfId="767" priority="325">
      <formula>X35&gt;=14</formula>
    </cfRule>
    <cfRule type="expression" dxfId="766" priority="326">
      <formula>X35&gt;=5</formula>
    </cfRule>
  </conditionalFormatting>
  <conditionalFormatting sqref="W35">
    <cfRule type="expression" dxfId="765" priority="317" stopIfTrue="1">
      <formula>X35="NR"</formula>
    </cfRule>
    <cfRule type="expression" dxfId="764" priority="318">
      <formula>X35&lt;5</formula>
    </cfRule>
    <cfRule type="expression" dxfId="763" priority="319">
      <formula>X35&gt;=90</formula>
    </cfRule>
    <cfRule type="expression" dxfId="762" priority="320">
      <formula>X35&gt;=14</formula>
    </cfRule>
    <cfRule type="expression" dxfId="761" priority="321">
      <formula>X35&gt;=5</formula>
    </cfRule>
  </conditionalFormatting>
  <conditionalFormatting sqref="W35">
    <cfRule type="expression" dxfId="760" priority="312" stopIfTrue="1">
      <formula>X35="NR"</formula>
    </cfRule>
    <cfRule type="expression" dxfId="759" priority="313">
      <formula>X35&lt;5</formula>
    </cfRule>
    <cfRule type="expression" dxfId="758" priority="314">
      <formula>X35&gt;=90</formula>
    </cfRule>
    <cfRule type="expression" dxfId="757" priority="315">
      <formula>X35&gt;=14</formula>
    </cfRule>
    <cfRule type="expression" dxfId="756" priority="316">
      <formula>X35&gt;=5</formula>
    </cfRule>
  </conditionalFormatting>
  <conditionalFormatting sqref="W36">
    <cfRule type="expression" dxfId="755" priority="307" stopIfTrue="1">
      <formula>X36="NR"</formula>
    </cfRule>
    <cfRule type="expression" dxfId="754" priority="308">
      <formula>X36&lt;5</formula>
    </cfRule>
    <cfRule type="expression" dxfId="753" priority="309">
      <formula>X36&gt;=90</formula>
    </cfRule>
    <cfRule type="expression" dxfId="752" priority="310">
      <formula>X36&gt;=14</formula>
    </cfRule>
    <cfRule type="expression" dxfId="751" priority="311">
      <formula>X36&gt;=5</formula>
    </cfRule>
  </conditionalFormatting>
  <conditionalFormatting sqref="W36">
    <cfRule type="expression" dxfId="750" priority="302" stopIfTrue="1">
      <formula>X36="NR"</formula>
    </cfRule>
    <cfRule type="expression" dxfId="749" priority="303">
      <formula>X36&lt;5</formula>
    </cfRule>
    <cfRule type="expression" dxfId="748" priority="304">
      <formula>X36&gt;=90</formula>
    </cfRule>
    <cfRule type="expression" dxfId="747" priority="305">
      <formula>X36&gt;=14</formula>
    </cfRule>
    <cfRule type="expression" dxfId="746" priority="306">
      <formula>X36&gt;=5</formula>
    </cfRule>
  </conditionalFormatting>
  <conditionalFormatting sqref="W36">
    <cfRule type="expression" dxfId="745" priority="297" stopIfTrue="1">
      <formula>X36="NR"</formula>
    </cfRule>
    <cfRule type="expression" dxfId="744" priority="298">
      <formula>X36&lt;5</formula>
    </cfRule>
    <cfRule type="expression" dxfId="743" priority="299">
      <formula>X36&gt;=90</formula>
    </cfRule>
    <cfRule type="expression" dxfId="742" priority="300">
      <formula>X36&gt;=14</formula>
    </cfRule>
    <cfRule type="expression" dxfId="741" priority="301">
      <formula>X36&gt;=5</formula>
    </cfRule>
  </conditionalFormatting>
  <conditionalFormatting sqref="W36">
    <cfRule type="expression" dxfId="740" priority="292" stopIfTrue="1">
      <formula>X36="NR"</formula>
    </cfRule>
    <cfRule type="expression" dxfId="739" priority="293">
      <formula>X36&lt;5</formula>
    </cfRule>
    <cfRule type="expression" dxfId="738" priority="294">
      <formula>X36&gt;=90</formula>
    </cfRule>
    <cfRule type="expression" dxfId="737" priority="295">
      <formula>X36&gt;=14</formula>
    </cfRule>
    <cfRule type="expression" dxfId="736" priority="296">
      <formula>X36&gt;=5</formula>
    </cfRule>
  </conditionalFormatting>
  <conditionalFormatting sqref="W34:W107">
    <cfRule type="expression" dxfId="735" priority="287" stopIfTrue="1">
      <formula>X34="NR"</formula>
    </cfRule>
    <cfRule type="expression" dxfId="734" priority="288">
      <formula>X34&lt;5</formula>
    </cfRule>
    <cfRule type="expression" dxfId="733" priority="289">
      <formula>X34&gt;=90</formula>
    </cfRule>
    <cfRule type="expression" dxfId="732" priority="290">
      <formula>X34&gt;=14</formula>
    </cfRule>
    <cfRule type="expression" dxfId="731" priority="291">
      <formula>X34&gt;=5</formula>
    </cfRule>
  </conditionalFormatting>
  <conditionalFormatting sqref="W34:W107">
    <cfRule type="expression" dxfId="730" priority="282" stopIfTrue="1">
      <formula>X34="NR"</formula>
    </cfRule>
    <cfRule type="expression" dxfId="729" priority="283">
      <formula>X34&lt;5</formula>
    </cfRule>
    <cfRule type="expression" dxfId="728" priority="284">
      <formula>X34&gt;=90</formula>
    </cfRule>
    <cfRule type="expression" dxfId="727" priority="285">
      <formula>X34&gt;=14</formula>
    </cfRule>
    <cfRule type="expression" dxfId="726" priority="286">
      <formula>X34&gt;=5</formula>
    </cfRule>
  </conditionalFormatting>
  <conditionalFormatting sqref="W34:W107">
    <cfRule type="expression" dxfId="725" priority="277" stopIfTrue="1">
      <formula>X34="NR"</formula>
    </cfRule>
    <cfRule type="expression" dxfId="724" priority="278">
      <formula>X34&lt;5</formula>
    </cfRule>
    <cfRule type="expression" dxfId="723" priority="279">
      <formula>X34&gt;=90</formula>
    </cfRule>
    <cfRule type="expression" dxfId="722" priority="280">
      <formula>X34&gt;=14</formula>
    </cfRule>
    <cfRule type="expression" dxfId="721" priority="281">
      <formula>X34&gt;=5</formula>
    </cfRule>
  </conditionalFormatting>
  <conditionalFormatting sqref="Y8:Y10 Y21:Y107 Y12:Y19">
    <cfRule type="expression" dxfId="720" priority="272" stopIfTrue="1">
      <formula>Z8="NR"</formula>
    </cfRule>
    <cfRule type="expression" dxfId="719" priority="273">
      <formula>Z8&lt;5</formula>
    </cfRule>
    <cfRule type="expression" dxfId="718" priority="274">
      <formula>Z8&gt;=90</formula>
    </cfRule>
    <cfRule type="expression" dxfId="717" priority="275">
      <formula>Z8&gt;=14</formula>
    </cfRule>
    <cfRule type="expression" dxfId="716" priority="276">
      <formula>Z8&gt;=5</formula>
    </cfRule>
  </conditionalFormatting>
  <conditionalFormatting sqref="Y9">
    <cfRule type="expression" dxfId="715" priority="267" stopIfTrue="1">
      <formula>Z9="NR"</formula>
    </cfRule>
    <cfRule type="expression" dxfId="714" priority="268">
      <formula>Z9&lt;5</formula>
    </cfRule>
    <cfRule type="expression" dxfId="713" priority="269">
      <formula>Z9&gt;=90</formula>
    </cfRule>
    <cfRule type="expression" dxfId="712" priority="270">
      <formula>Z9&gt;=14</formula>
    </cfRule>
    <cfRule type="expression" dxfId="711" priority="271">
      <formula>Z9&gt;=5</formula>
    </cfRule>
  </conditionalFormatting>
  <conditionalFormatting sqref="Y10">
    <cfRule type="expression" dxfId="710" priority="262" stopIfTrue="1">
      <formula>Z10="NR"</formula>
    </cfRule>
    <cfRule type="expression" dxfId="709" priority="263">
      <formula>Z10&lt;5</formula>
    </cfRule>
    <cfRule type="expression" dxfId="708" priority="264">
      <formula>Z10&gt;=90</formula>
    </cfRule>
    <cfRule type="expression" dxfId="707" priority="265">
      <formula>Z10&gt;=14</formula>
    </cfRule>
    <cfRule type="expression" dxfId="706" priority="266">
      <formula>Z10&gt;=5</formula>
    </cfRule>
  </conditionalFormatting>
  <conditionalFormatting sqref="Y8:Y10 Y21:Y107 Y12:Y19">
    <cfRule type="expression" dxfId="705" priority="257" stopIfTrue="1">
      <formula>Z8="NR"</formula>
    </cfRule>
    <cfRule type="expression" dxfId="704" priority="258">
      <formula>Z8&lt;5</formula>
    </cfRule>
    <cfRule type="expression" dxfId="703" priority="259">
      <formula>Z8&gt;=90</formula>
    </cfRule>
    <cfRule type="expression" dxfId="702" priority="260">
      <formula>Z8&gt;=14</formula>
    </cfRule>
    <cfRule type="expression" dxfId="701" priority="261">
      <formula>Z8&gt;=5</formula>
    </cfRule>
  </conditionalFormatting>
  <conditionalFormatting sqref="Y12">
    <cfRule type="expression" dxfId="700" priority="252" stopIfTrue="1">
      <formula>Z12="NR"</formula>
    </cfRule>
    <cfRule type="expression" dxfId="699" priority="253">
      <formula>Z12&lt;5</formula>
    </cfRule>
    <cfRule type="expression" dxfId="698" priority="254">
      <formula>Z12&gt;=90</formula>
    </cfRule>
    <cfRule type="expression" dxfId="697" priority="255">
      <formula>Z12&gt;=14</formula>
    </cfRule>
    <cfRule type="expression" dxfId="696" priority="256">
      <formula>Z12&gt;=5</formula>
    </cfRule>
  </conditionalFormatting>
  <conditionalFormatting sqref="Y10">
    <cfRule type="expression" dxfId="695" priority="247" stopIfTrue="1">
      <formula>Z10="NR"</formula>
    </cfRule>
    <cfRule type="expression" dxfId="694" priority="248">
      <formula>Z10&lt;5</formula>
    </cfRule>
    <cfRule type="expression" dxfId="693" priority="249">
      <formula>Z10&gt;=90</formula>
    </cfRule>
    <cfRule type="expression" dxfId="692" priority="250">
      <formula>Z10&gt;=14</formula>
    </cfRule>
    <cfRule type="expression" dxfId="691" priority="251">
      <formula>Z10&gt;=5</formula>
    </cfRule>
  </conditionalFormatting>
  <conditionalFormatting sqref="Y9">
    <cfRule type="expression" dxfId="690" priority="242" stopIfTrue="1">
      <formula>Z9="NR"</formula>
    </cfRule>
    <cfRule type="expression" dxfId="689" priority="243">
      <formula>Z9&lt;5</formula>
    </cfRule>
    <cfRule type="expression" dxfId="688" priority="244">
      <formula>Z9&gt;=90</formula>
    </cfRule>
    <cfRule type="expression" dxfId="687" priority="245">
      <formula>Z9&gt;=14</formula>
    </cfRule>
    <cfRule type="expression" dxfId="686" priority="246">
      <formula>Z9&gt;=5</formula>
    </cfRule>
  </conditionalFormatting>
  <conditionalFormatting sqref="Y8:Y10 Y21:Y107 Y12:Y19">
    <cfRule type="expression" dxfId="685" priority="237" stopIfTrue="1">
      <formula>Z8="NR"</formula>
    </cfRule>
    <cfRule type="expression" dxfId="684" priority="238">
      <formula>Z8&lt;5</formula>
    </cfRule>
    <cfRule type="expression" dxfId="683" priority="239">
      <formula>Z8&gt;=90</formula>
    </cfRule>
    <cfRule type="expression" dxfId="682" priority="240">
      <formula>Z8&gt;=14</formula>
    </cfRule>
    <cfRule type="expression" dxfId="681" priority="241">
      <formula>Z8&gt;=5</formula>
    </cfRule>
  </conditionalFormatting>
  <conditionalFormatting sqref="Y9">
    <cfRule type="expression" dxfId="680" priority="232" stopIfTrue="1">
      <formula>Z9="NR"</formula>
    </cfRule>
    <cfRule type="expression" dxfId="679" priority="233">
      <formula>Z9&lt;5</formula>
    </cfRule>
    <cfRule type="expression" dxfId="678" priority="234">
      <formula>Z9&gt;=90</formula>
    </cfRule>
    <cfRule type="expression" dxfId="677" priority="235">
      <formula>Z9&gt;=14</formula>
    </cfRule>
    <cfRule type="expression" dxfId="676" priority="236">
      <formula>Z9&gt;=5</formula>
    </cfRule>
  </conditionalFormatting>
  <conditionalFormatting sqref="Y10 Y21:Y34 Y12:Y19">
    <cfRule type="expression" dxfId="675" priority="227" stopIfTrue="1">
      <formula>Z10="NR"</formula>
    </cfRule>
    <cfRule type="expression" dxfId="674" priority="228">
      <formula>Z10&lt;5</formula>
    </cfRule>
    <cfRule type="expression" dxfId="673" priority="229">
      <formula>Z10&gt;=90</formula>
    </cfRule>
    <cfRule type="expression" dxfId="672" priority="230">
      <formula>Z10&gt;=14</formula>
    </cfRule>
    <cfRule type="expression" dxfId="671" priority="231">
      <formula>Z10&gt;=5</formula>
    </cfRule>
  </conditionalFormatting>
  <conditionalFormatting sqref="Y10 Y21:Y34 Y12:Y19">
    <cfRule type="expression" dxfId="670" priority="222" stopIfTrue="1">
      <formula>Z10="NR"</formula>
    </cfRule>
    <cfRule type="expression" dxfId="669" priority="223">
      <formula>Z10&lt;5</formula>
    </cfRule>
    <cfRule type="expression" dxfId="668" priority="224">
      <formula>Z10&gt;=90</formula>
    </cfRule>
    <cfRule type="expression" dxfId="667" priority="225">
      <formula>Z10&gt;=14</formula>
    </cfRule>
    <cfRule type="expression" dxfId="666" priority="226">
      <formula>Z10&gt;=5</formula>
    </cfRule>
  </conditionalFormatting>
  <conditionalFormatting sqref="Y10 Y21:Y34 Y12:Y19">
    <cfRule type="expression" dxfId="665" priority="217" stopIfTrue="1">
      <formula>Z10="NR"</formula>
    </cfRule>
    <cfRule type="expression" dxfId="664" priority="218">
      <formula>Z10&lt;5</formula>
    </cfRule>
    <cfRule type="expression" dxfId="663" priority="219">
      <formula>Z10&gt;=90</formula>
    </cfRule>
    <cfRule type="expression" dxfId="662" priority="220">
      <formula>Z10&gt;=14</formula>
    </cfRule>
    <cfRule type="expression" dxfId="661" priority="221">
      <formula>Z10&gt;=5</formula>
    </cfRule>
  </conditionalFormatting>
  <conditionalFormatting sqref="Y34">
    <cfRule type="expression" dxfId="660" priority="212" stopIfTrue="1">
      <formula>Z34="NR"</formula>
    </cfRule>
    <cfRule type="expression" dxfId="659" priority="213">
      <formula>Z34&lt;5</formula>
    </cfRule>
    <cfRule type="expression" dxfId="658" priority="214">
      <formula>Z34&gt;=90</formula>
    </cfRule>
    <cfRule type="expression" dxfId="657" priority="215">
      <formula>Z34&gt;=14</formula>
    </cfRule>
    <cfRule type="expression" dxfId="656" priority="216">
      <formula>Z34&gt;=5</formula>
    </cfRule>
  </conditionalFormatting>
  <conditionalFormatting sqref="Y34">
    <cfRule type="expression" dxfId="655" priority="207" stopIfTrue="1">
      <formula>Z34="NR"</formula>
    </cfRule>
    <cfRule type="expression" dxfId="654" priority="208">
      <formula>Z34&lt;5</formula>
    </cfRule>
    <cfRule type="expression" dxfId="653" priority="209">
      <formula>Z34&gt;=90</formula>
    </cfRule>
    <cfRule type="expression" dxfId="652" priority="210">
      <formula>Z34&gt;=14</formula>
    </cfRule>
    <cfRule type="expression" dxfId="651" priority="211">
      <formula>Z34&gt;=5</formula>
    </cfRule>
  </conditionalFormatting>
  <conditionalFormatting sqref="Y34">
    <cfRule type="expression" dxfId="650" priority="202" stopIfTrue="1">
      <formula>Z34="NR"</formula>
    </cfRule>
    <cfRule type="expression" dxfId="649" priority="203">
      <formula>Z34&lt;5</formula>
    </cfRule>
    <cfRule type="expression" dxfId="648" priority="204">
      <formula>Z34&gt;=90</formula>
    </cfRule>
    <cfRule type="expression" dxfId="647" priority="205">
      <formula>Z34&gt;=14</formula>
    </cfRule>
    <cfRule type="expression" dxfId="646" priority="206">
      <formula>Z34&gt;=5</formula>
    </cfRule>
  </conditionalFormatting>
  <conditionalFormatting sqref="Y35">
    <cfRule type="expression" dxfId="645" priority="197" stopIfTrue="1">
      <formula>Z35="NR"</formula>
    </cfRule>
    <cfRule type="expression" dxfId="644" priority="198">
      <formula>Z35&lt;5</formula>
    </cfRule>
    <cfRule type="expression" dxfId="643" priority="199">
      <formula>Z35&gt;=90</formula>
    </cfRule>
    <cfRule type="expression" dxfId="642" priority="200">
      <formula>Z35&gt;=14</formula>
    </cfRule>
    <cfRule type="expression" dxfId="641" priority="201">
      <formula>Z35&gt;=5</formula>
    </cfRule>
  </conditionalFormatting>
  <conditionalFormatting sqref="Y35">
    <cfRule type="expression" dxfId="640" priority="192" stopIfTrue="1">
      <formula>Z35="NR"</formula>
    </cfRule>
    <cfRule type="expression" dxfId="639" priority="193">
      <formula>Z35&lt;5</formula>
    </cfRule>
    <cfRule type="expression" dxfId="638" priority="194">
      <formula>Z35&gt;=90</formula>
    </cfRule>
    <cfRule type="expression" dxfId="637" priority="195">
      <formula>Z35&gt;=14</formula>
    </cfRule>
    <cfRule type="expression" dxfId="636" priority="196">
      <formula>Z35&gt;=5</formula>
    </cfRule>
  </conditionalFormatting>
  <conditionalFormatting sqref="Y35">
    <cfRule type="expression" dxfId="635" priority="187" stopIfTrue="1">
      <formula>Z35="NR"</formula>
    </cfRule>
    <cfRule type="expression" dxfId="634" priority="188">
      <formula>Z35&lt;5</formula>
    </cfRule>
    <cfRule type="expression" dxfId="633" priority="189">
      <formula>Z35&gt;=90</formula>
    </cfRule>
    <cfRule type="expression" dxfId="632" priority="190">
      <formula>Z35&gt;=14</formula>
    </cfRule>
    <cfRule type="expression" dxfId="631" priority="191">
      <formula>Z35&gt;=5</formula>
    </cfRule>
  </conditionalFormatting>
  <conditionalFormatting sqref="Y35">
    <cfRule type="expression" dxfId="630" priority="182" stopIfTrue="1">
      <formula>Z35="NR"</formula>
    </cfRule>
    <cfRule type="expression" dxfId="629" priority="183">
      <formula>Z35&lt;5</formula>
    </cfRule>
    <cfRule type="expression" dxfId="628" priority="184">
      <formula>Z35&gt;=90</formula>
    </cfRule>
    <cfRule type="expression" dxfId="627" priority="185">
      <formula>Z35&gt;=14</formula>
    </cfRule>
    <cfRule type="expression" dxfId="626" priority="186">
      <formula>Z35&gt;=5</formula>
    </cfRule>
  </conditionalFormatting>
  <conditionalFormatting sqref="Y36">
    <cfRule type="expression" dxfId="625" priority="177" stopIfTrue="1">
      <formula>Z36="NR"</formula>
    </cfRule>
    <cfRule type="expression" dxfId="624" priority="178">
      <formula>Z36&lt;5</formula>
    </cfRule>
    <cfRule type="expression" dxfId="623" priority="179">
      <formula>Z36&gt;=90</formula>
    </cfRule>
    <cfRule type="expression" dxfId="622" priority="180">
      <formula>Z36&gt;=14</formula>
    </cfRule>
    <cfRule type="expression" dxfId="621" priority="181">
      <formula>Z36&gt;=5</formula>
    </cfRule>
  </conditionalFormatting>
  <conditionalFormatting sqref="Y36">
    <cfRule type="expression" dxfId="620" priority="172" stopIfTrue="1">
      <formula>Z36="NR"</formula>
    </cfRule>
    <cfRule type="expression" dxfId="619" priority="173">
      <formula>Z36&lt;5</formula>
    </cfRule>
    <cfRule type="expression" dxfId="618" priority="174">
      <formula>Z36&gt;=90</formula>
    </cfRule>
    <cfRule type="expression" dxfId="617" priority="175">
      <formula>Z36&gt;=14</formula>
    </cfRule>
    <cfRule type="expression" dxfId="616" priority="176">
      <formula>Z36&gt;=5</formula>
    </cfRule>
  </conditionalFormatting>
  <conditionalFormatting sqref="Y36">
    <cfRule type="expression" dxfId="615" priority="167" stopIfTrue="1">
      <formula>Z36="NR"</formula>
    </cfRule>
    <cfRule type="expression" dxfId="614" priority="168">
      <formula>Z36&lt;5</formula>
    </cfRule>
    <cfRule type="expression" dxfId="613" priority="169">
      <formula>Z36&gt;=90</formula>
    </cfRule>
    <cfRule type="expression" dxfId="612" priority="170">
      <formula>Z36&gt;=14</formula>
    </cfRule>
    <cfRule type="expression" dxfId="611" priority="171">
      <formula>Z36&gt;=5</formula>
    </cfRule>
  </conditionalFormatting>
  <conditionalFormatting sqref="Y36">
    <cfRule type="expression" dxfId="610" priority="162" stopIfTrue="1">
      <formula>Z36="NR"</formula>
    </cfRule>
    <cfRule type="expression" dxfId="609" priority="163">
      <formula>Z36&lt;5</formula>
    </cfRule>
    <cfRule type="expression" dxfId="608" priority="164">
      <formula>Z36&gt;=90</formula>
    </cfRule>
    <cfRule type="expression" dxfId="607" priority="165">
      <formula>Z36&gt;=14</formula>
    </cfRule>
    <cfRule type="expression" dxfId="606" priority="166">
      <formula>Z36&gt;=5</formula>
    </cfRule>
  </conditionalFormatting>
  <conditionalFormatting sqref="Y34:Y107">
    <cfRule type="expression" dxfId="605" priority="157" stopIfTrue="1">
      <formula>Z34="NR"</formula>
    </cfRule>
    <cfRule type="expression" dxfId="604" priority="158">
      <formula>Z34&lt;5</formula>
    </cfRule>
    <cfRule type="expression" dxfId="603" priority="159">
      <formula>Z34&gt;=90</formula>
    </cfRule>
    <cfRule type="expression" dxfId="602" priority="160">
      <formula>Z34&gt;=14</formula>
    </cfRule>
    <cfRule type="expression" dxfId="601" priority="161">
      <formula>Z34&gt;=5</formula>
    </cfRule>
  </conditionalFormatting>
  <conditionalFormatting sqref="Y34:Y107">
    <cfRule type="expression" dxfId="600" priority="152" stopIfTrue="1">
      <formula>Z34="NR"</formula>
    </cfRule>
    <cfRule type="expression" dxfId="599" priority="153">
      <formula>Z34&lt;5</formula>
    </cfRule>
    <cfRule type="expression" dxfId="598" priority="154">
      <formula>Z34&gt;=90</formula>
    </cfRule>
    <cfRule type="expression" dxfId="597" priority="155">
      <formula>Z34&gt;=14</formula>
    </cfRule>
    <cfRule type="expression" dxfId="596" priority="156">
      <formula>Z34&gt;=5</formula>
    </cfRule>
  </conditionalFormatting>
  <conditionalFormatting sqref="Y34:Y107">
    <cfRule type="expression" dxfId="595" priority="147" stopIfTrue="1">
      <formula>Z34="NR"</formula>
    </cfRule>
    <cfRule type="expression" dxfId="594" priority="148">
      <formula>Z34&lt;5</formula>
    </cfRule>
    <cfRule type="expression" dxfId="593" priority="149">
      <formula>Z34&gt;=90</formula>
    </cfRule>
    <cfRule type="expression" dxfId="592" priority="150">
      <formula>Z34&gt;=14</formula>
    </cfRule>
    <cfRule type="expression" dxfId="591" priority="151">
      <formula>Z34&gt;=5</formula>
    </cfRule>
  </conditionalFormatting>
  <conditionalFormatting sqref="Y20">
    <cfRule type="expression" dxfId="590" priority="142" stopIfTrue="1">
      <formula>Z20="NR"</formula>
    </cfRule>
    <cfRule type="expression" dxfId="589" priority="143">
      <formula>Z20&lt;5</formula>
    </cfRule>
    <cfRule type="expression" dxfId="588" priority="144">
      <formula>Z20&gt;=90</formula>
    </cfRule>
    <cfRule type="expression" dxfId="587" priority="145">
      <formula>Z20&gt;=14</formula>
    </cfRule>
    <cfRule type="expression" dxfId="586" priority="146">
      <formula>Z20&gt;=5</formula>
    </cfRule>
  </conditionalFormatting>
  <conditionalFormatting sqref="Y20">
    <cfRule type="expression" dxfId="585" priority="137" stopIfTrue="1">
      <formula>Z20="NR"</formula>
    </cfRule>
    <cfRule type="expression" dxfId="584" priority="138">
      <formula>Z20&lt;5</formula>
    </cfRule>
    <cfRule type="expression" dxfId="583" priority="139">
      <formula>Z20&gt;=90</formula>
    </cfRule>
    <cfRule type="expression" dxfId="582" priority="140">
      <formula>Z20&gt;=14</formula>
    </cfRule>
    <cfRule type="expression" dxfId="581" priority="141">
      <formula>Z20&gt;=5</formula>
    </cfRule>
  </conditionalFormatting>
  <conditionalFormatting sqref="Y20">
    <cfRule type="expression" dxfId="580" priority="132" stopIfTrue="1">
      <formula>Z20="NR"</formula>
    </cfRule>
    <cfRule type="expression" dxfId="579" priority="133">
      <formula>Z20&lt;5</formula>
    </cfRule>
    <cfRule type="expression" dxfId="578" priority="134">
      <formula>Z20&gt;=90</formula>
    </cfRule>
    <cfRule type="expression" dxfId="577" priority="135">
      <formula>Z20&gt;=14</formula>
    </cfRule>
    <cfRule type="expression" dxfId="576" priority="136">
      <formula>Z20&gt;=5</formula>
    </cfRule>
  </conditionalFormatting>
  <conditionalFormatting sqref="Y20">
    <cfRule type="expression" dxfId="575" priority="127" stopIfTrue="1">
      <formula>Z20="NR"</formula>
    </cfRule>
    <cfRule type="expression" dxfId="574" priority="128">
      <formula>Z20&lt;5</formula>
    </cfRule>
    <cfRule type="expression" dxfId="573" priority="129">
      <formula>Z20&gt;=90</formula>
    </cfRule>
    <cfRule type="expression" dxfId="572" priority="130">
      <formula>Z20&gt;=14</formula>
    </cfRule>
    <cfRule type="expression" dxfId="571" priority="131">
      <formula>Z20&gt;=5</formula>
    </cfRule>
  </conditionalFormatting>
  <conditionalFormatting sqref="Y20">
    <cfRule type="expression" dxfId="570" priority="122" stopIfTrue="1">
      <formula>Z20="NR"</formula>
    </cfRule>
    <cfRule type="expression" dxfId="569" priority="123">
      <formula>Z20&lt;5</formula>
    </cfRule>
    <cfRule type="expression" dxfId="568" priority="124">
      <formula>Z20&gt;=90</formula>
    </cfRule>
    <cfRule type="expression" dxfId="567" priority="125">
      <formula>Z20&gt;=14</formula>
    </cfRule>
    <cfRule type="expression" dxfId="566" priority="126">
      <formula>Z20&gt;=5</formula>
    </cfRule>
  </conditionalFormatting>
  <conditionalFormatting sqref="Y20">
    <cfRule type="expression" dxfId="565" priority="117" stopIfTrue="1">
      <formula>Z20="NR"</formula>
    </cfRule>
    <cfRule type="expression" dxfId="564" priority="118">
      <formula>Z20&lt;5</formula>
    </cfRule>
    <cfRule type="expression" dxfId="563" priority="119">
      <formula>Z20&gt;=90</formula>
    </cfRule>
    <cfRule type="expression" dxfId="562" priority="120">
      <formula>Z20&gt;=14</formula>
    </cfRule>
    <cfRule type="expression" dxfId="561" priority="121">
      <formula>Z20&gt;=5</formula>
    </cfRule>
  </conditionalFormatting>
  <conditionalFormatting sqref="Y11">
    <cfRule type="expression" dxfId="560" priority="112" stopIfTrue="1">
      <formula>Z11="NR"</formula>
    </cfRule>
    <cfRule type="expression" dxfId="559" priority="113">
      <formula>Z11&lt;5</formula>
    </cfRule>
    <cfRule type="expression" dxfId="558" priority="114">
      <formula>Z11&gt;=90</formula>
    </cfRule>
    <cfRule type="expression" dxfId="557" priority="115">
      <formula>Z11&gt;=14</formula>
    </cfRule>
    <cfRule type="expression" dxfId="556" priority="116">
      <formula>Z11&gt;=5</formula>
    </cfRule>
  </conditionalFormatting>
  <conditionalFormatting sqref="Y11">
    <cfRule type="expression" dxfId="555" priority="107" stopIfTrue="1">
      <formula>Z11="NR"</formula>
    </cfRule>
    <cfRule type="expression" dxfId="554" priority="108">
      <formula>Z11&lt;5</formula>
    </cfRule>
    <cfRule type="expression" dxfId="553" priority="109">
      <formula>Z11&gt;=90</formula>
    </cfRule>
    <cfRule type="expression" dxfId="552" priority="110">
      <formula>Z11&gt;=14</formula>
    </cfRule>
    <cfRule type="expression" dxfId="551" priority="111">
      <formula>Z11&gt;=5</formula>
    </cfRule>
  </conditionalFormatting>
  <conditionalFormatting sqref="Y11">
    <cfRule type="expression" dxfId="550" priority="102" stopIfTrue="1">
      <formula>Z11="NR"</formula>
    </cfRule>
    <cfRule type="expression" dxfId="549" priority="103">
      <formula>Z11&lt;5</formula>
    </cfRule>
    <cfRule type="expression" dxfId="548" priority="104">
      <formula>Z11&gt;=90</formula>
    </cfRule>
    <cfRule type="expression" dxfId="547" priority="105">
      <formula>Z11&gt;=14</formula>
    </cfRule>
    <cfRule type="expression" dxfId="546" priority="106">
      <formula>Z11&gt;=5</formula>
    </cfRule>
  </conditionalFormatting>
  <conditionalFormatting sqref="Y11">
    <cfRule type="expression" dxfId="545" priority="97" stopIfTrue="1">
      <formula>Z11="NR"</formula>
    </cfRule>
    <cfRule type="expression" dxfId="544" priority="98">
      <formula>Z11&lt;5</formula>
    </cfRule>
    <cfRule type="expression" dxfId="543" priority="99">
      <formula>Z11&gt;=90</formula>
    </cfRule>
    <cfRule type="expression" dxfId="542" priority="100">
      <formula>Z11&gt;=14</formula>
    </cfRule>
    <cfRule type="expression" dxfId="541" priority="101">
      <formula>Z11&gt;=5</formula>
    </cfRule>
  </conditionalFormatting>
  <conditionalFormatting sqref="Y11">
    <cfRule type="expression" dxfId="540" priority="92" stopIfTrue="1">
      <formula>Z11="NR"</formula>
    </cfRule>
    <cfRule type="expression" dxfId="539" priority="93">
      <formula>Z11&lt;5</formula>
    </cfRule>
    <cfRule type="expression" dxfId="538" priority="94">
      <formula>Z11&gt;=90</formula>
    </cfRule>
    <cfRule type="expression" dxfId="537" priority="95">
      <formula>Z11&gt;=14</formula>
    </cfRule>
    <cfRule type="expression" dxfId="536" priority="96">
      <formula>Z11&gt;=5</formula>
    </cfRule>
  </conditionalFormatting>
  <conditionalFormatting sqref="Y11">
    <cfRule type="expression" dxfId="535" priority="87" stopIfTrue="1">
      <formula>Z11="NR"</formula>
    </cfRule>
    <cfRule type="expression" dxfId="534" priority="88">
      <formula>Z11&lt;5</formula>
    </cfRule>
    <cfRule type="expression" dxfId="533" priority="89">
      <formula>Z11&gt;=90</formula>
    </cfRule>
    <cfRule type="expression" dxfId="532" priority="90">
      <formula>Z11&gt;=14</formula>
    </cfRule>
    <cfRule type="expression" dxfId="531" priority="91">
      <formula>Z11&gt;=5</formula>
    </cfRule>
  </conditionalFormatting>
  <conditionalFormatting sqref="Z8">
    <cfRule type="containsText" dxfId="530" priority="67" stopIfTrue="1" operator="containsText" text="NR">
      <formula>NOT(ISERROR(SEARCH("NR",Z8)))</formula>
    </cfRule>
    <cfRule type="cellIs" dxfId="529" priority="68" operator="greaterThan">
      <formula>-1</formula>
    </cfRule>
  </conditionalFormatting>
  <conditionalFormatting sqref="Z9:Z31">
    <cfRule type="containsText" dxfId="528" priority="65" stopIfTrue="1" operator="containsText" text="NR">
      <formula>NOT(ISERROR(SEARCH("NR",Z9)))</formula>
    </cfRule>
    <cfRule type="cellIs" dxfId="527" priority="66" operator="greaterThan">
      <formula>-1</formula>
    </cfRule>
  </conditionalFormatting>
  <conditionalFormatting sqref="V8">
    <cfRule type="containsText" dxfId="526" priority="63" stopIfTrue="1" operator="containsText" text="NR">
      <formula>NOT(ISERROR(SEARCH("NR",V8)))</formula>
    </cfRule>
    <cfRule type="cellIs" dxfId="525" priority="64" operator="greaterThan">
      <formula>-1</formula>
    </cfRule>
  </conditionalFormatting>
  <conditionalFormatting sqref="V9:V31">
    <cfRule type="containsText" dxfId="524" priority="61" stopIfTrue="1" operator="containsText" text="NR">
      <formula>NOT(ISERROR(SEARCH("NR",V9)))</formula>
    </cfRule>
    <cfRule type="cellIs" dxfId="523" priority="62" operator="greaterThan">
      <formula>-1</formula>
    </cfRule>
  </conditionalFormatting>
  <conditionalFormatting sqref="T8">
    <cfRule type="containsText" dxfId="522" priority="59" stopIfTrue="1" operator="containsText" text="NR">
      <formula>NOT(ISERROR(SEARCH("NR",T8)))</formula>
    </cfRule>
    <cfRule type="cellIs" dxfId="521" priority="60" operator="greaterThan">
      <formula>-1</formula>
    </cfRule>
  </conditionalFormatting>
  <conditionalFormatting sqref="T9:T31">
    <cfRule type="containsText" dxfId="520" priority="57" stopIfTrue="1" operator="containsText" text="NR">
      <formula>NOT(ISERROR(SEARCH("NR",T9)))</formula>
    </cfRule>
    <cfRule type="cellIs" dxfId="519" priority="58" operator="greaterThan">
      <formula>-1</formula>
    </cfRule>
  </conditionalFormatting>
  <conditionalFormatting sqref="R8">
    <cfRule type="containsText" dxfId="518" priority="55" stopIfTrue="1" operator="containsText" text="NR">
      <formula>NOT(ISERROR(SEARCH("NR",R8)))</formula>
    </cfRule>
    <cfRule type="cellIs" dxfId="517" priority="56" operator="greaterThan">
      <formula>-1</formula>
    </cfRule>
  </conditionalFormatting>
  <conditionalFormatting sqref="R9:R31">
    <cfRule type="containsText" dxfId="516" priority="53" stopIfTrue="1" operator="containsText" text="NR">
      <formula>NOT(ISERROR(SEARCH("NR",R9)))</formula>
    </cfRule>
    <cfRule type="cellIs" dxfId="515" priority="54" operator="greaterThan">
      <formula>-1</formula>
    </cfRule>
  </conditionalFormatting>
  <conditionalFormatting sqref="P8">
    <cfRule type="containsText" dxfId="514" priority="51" stopIfTrue="1" operator="containsText" text="NR">
      <formula>NOT(ISERROR(SEARCH("NR",P8)))</formula>
    </cfRule>
    <cfRule type="cellIs" dxfId="513" priority="52" operator="greaterThan">
      <formula>-1</formula>
    </cfRule>
  </conditionalFormatting>
  <conditionalFormatting sqref="P9:P31">
    <cfRule type="containsText" dxfId="512" priority="49" stopIfTrue="1" operator="containsText" text="NR">
      <formula>NOT(ISERROR(SEARCH("NR",P9)))</formula>
    </cfRule>
    <cfRule type="cellIs" dxfId="511" priority="50" operator="greaterThan">
      <formula>-1</formula>
    </cfRule>
  </conditionalFormatting>
  <conditionalFormatting sqref="N8">
    <cfRule type="containsText" dxfId="510" priority="47" stopIfTrue="1" operator="containsText" text="NR">
      <formula>NOT(ISERROR(SEARCH("NR",N8)))</formula>
    </cfRule>
    <cfRule type="cellIs" dxfId="509" priority="48" operator="greaterThan">
      <formula>-1</formula>
    </cfRule>
  </conditionalFormatting>
  <conditionalFormatting sqref="N9:N31">
    <cfRule type="containsText" dxfId="508" priority="45" stopIfTrue="1" operator="containsText" text="NR">
      <formula>NOT(ISERROR(SEARCH("NR",N9)))</formula>
    </cfRule>
    <cfRule type="cellIs" dxfId="507" priority="46" operator="greaterThan">
      <formula>-1</formula>
    </cfRule>
  </conditionalFormatting>
  <conditionalFormatting sqref="L8">
    <cfRule type="containsText" dxfId="506" priority="43" stopIfTrue="1" operator="containsText" text="NR">
      <formula>NOT(ISERROR(SEARCH("NR",L8)))</formula>
    </cfRule>
    <cfRule type="cellIs" dxfId="505" priority="44" operator="greaterThan">
      <formula>-1</formula>
    </cfRule>
  </conditionalFormatting>
  <conditionalFormatting sqref="L9:L31">
    <cfRule type="containsText" dxfId="504" priority="41" stopIfTrue="1" operator="containsText" text="NR">
      <formula>NOT(ISERROR(SEARCH("NR",L9)))</formula>
    </cfRule>
    <cfRule type="cellIs" dxfId="503" priority="42" operator="greaterThan">
      <formula>-1</formula>
    </cfRule>
  </conditionalFormatting>
  <conditionalFormatting sqref="J9:J31">
    <cfRule type="containsText" dxfId="502" priority="37" stopIfTrue="1" operator="containsText" text="NR">
      <formula>NOT(ISERROR(SEARCH("NR",J9)))</formula>
    </cfRule>
    <cfRule type="cellIs" dxfId="501" priority="38" operator="greaterThan">
      <formula>-1</formula>
    </cfRule>
  </conditionalFormatting>
  <conditionalFormatting sqref="H8">
    <cfRule type="containsText" dxfId="500" priority="35" stopIfTrue="1" operator="containsText" text="NR">
      <formula>NOT(ISERROR(SEARCH("NR",H8)))</formula>
    </cfRule>
    <cfRule type="cellIs" dxfId="499" priority="36" operator="greaterThan">
      <formula>-1</formula>
    </cfRule>
  </conditionalFormatting>
  <conditionalFormatting sqref="H9:H31">
    <cfRule type="containsText" dxfId="498" priority="33" stopIfTrue="1" operator="containsText" text="NR">
      <formula>NOT(ISERROR(SEARCH("NR",H9)))</formula>
    </cfRule>
    <cfRule type="cellIs" dxfId="497" priority="34" operator="greaterThan">
      <formula>-1</formula>
    </cfRule>
  </conditionalFormatting>
  <conditionalFormatting sqref="K12">
    <cfRule type="expression" dxfId="496" priority="28" stopIfTrue="1">
      <formula>L12="NR"</formula>
    </cfRule>
    <cfRule type="expression" dxfId="495" priority="29">
      <formula>L12&lt;5</formula>
    </cfRule>
    <cfRule type="expression" dxfId="494" priority="30">
      <formula>L12&gt;=90</formula>
    </cfRule>
    <cfRule type="expression" dxfId="493" priority="31">
      <formula>L12&gt;=14</formula>
    </cfRule>
    <cfRule type="expression" dxfId="492" priority="32">
      <formula>L12&gt;=5</formula>
    </cfRule>
  </conditionalFormatting>
  <conditionalFormatting sqref="K12">
    <cfRule type="expression" dxfId="491" priority="23" stopIfTrue="1">
      <formula>L12="NR"</formula>
    </cfRule>
    <cfRule type="expression" dxfId="490" priority="24">
      <formula>L12&lt;5</formula>
    </cfRule>
    <cfRule type="expression" dxfId="489" priority="25">
      <formula>L12&gt;=90</formula>
    </cfRule>
    <cfRule type="expression" dxfId="488" priority="26">
      <formula>L12&gt;=14</formula>
    </cfRule>
    <cfRule type="expression" dxfId="487" priority="27">
      <formula>L12&gt;=5</formula>
    </cfRule>
  </conditionalFormatting>
  <conditionalFormatting sqref="K12">
    <cfRule type="expression" dxfId="486" priority="18" stopIfTrue="1">
      <formula>L12="NR"</formula>
    </cfRule>
    <cfRule type="expression" dxfId="485" priority="19">
      <formula>L12&lt;5</formula>
    </cfRule>
    <cfRule type="expression" dxfId="484" priority="20">
      <formula>L12&gt;=90</formula>
    </cfRule>
    <cfRule type="expression" dxfId="483" priority="21">
      <formula>L12&gt;=14</formula>
    </cfRule>
    <cfRule type="expression" dxfId="482" priority="22">
      <formula>L12&gt;=5</formula>
    </cfRule>
  </conditionalFormatting>
  <conditionalFormatting sqref="K12">
    <cfRule type="expression" dxfId="481" priority="13" stopIfTrue="1">
      <formula>L12="NR"</formula>
    </cfRule>
    <cfRule type="expression" dxfId="480" priority="14">
      <formula>L12&lt;5</formula>
    </cfRule>
    <cfRule type="expression" dxfId="479" priority="15">
      <formula>L12&gt;=90</formula>
    </cfRule>
    <cfRule type="expression" dxfId="478" priority="16">
      <formula>L12&gt;=14</formula>
    </cfRule>
    <cfRule type="expression" dxfId="477" priority="17">
      <formula>L12&gt;=5</formula>
    </cfRule>
  </conditionalFormatting>
  <conditionalFormatting sqref="K12">
    <cfRule type="expression" dxfId="476" priority="8" stopIfTrue="1">
      <formula>L12="NR"</formula>
    </cfRule>
    <cfRule type="expression" dxfId="475" priority="9">
      <formula>L12&lt;5</formula>
    </cfRule>
    <cfRule type="expression" dxfId="474" priority="10">
      <formula>L12&gt;=90</formula>
    </cfRule>
    <cfRule type="expression" dxfId="473" priority="11">
      <formula>L12&gt;=14</formula>
    </cfRule>
    <cfRule type="expression" dxfId="472" priority="12">
      <formula>L12&gt;=5</formula>
    </cfRule>
  </conditionalFormatting>
  <conditionalFormatting sqref="K12">
    <cfRule type="expression" dxfId="471" priority="3" stopIfTrue="1">
      <formula>L12="NR"</formula>
    </cfRule>
    <cfRule type="expression" dxfId="470" priority="4">
      <formula>L12&lt;5</formula>
    </cfRule>
    <cfRule type="expression" dxfId="469" priority="5">
      <formula>L12&gt;=90</formula>
    </cfRule>
    <cfRule type="expression" dxfId="468" priority="6">
      <formula>L12&gt;=14</formula>
    </cfRule>
    <cfRule type="expression" dxfId="467" priority="7">
      <formula>L12&gt;=5</formula>
    </cfRule>
  </conditionalFormatting>
  <conditionalFormatting sqref="J8">
    <cfRule type="containsText" dxfId="466" priority="1" stopIfTrue="1" operator="containsText" text="NR">
      <formula>NOT(ISERROR(SEARCH("NR",J8)))</formula>
    </cfRule>
    <cfRule type="cellIs" dxfId="465" priority="2" operator="greaterThan">
      <formula>-1</formula>
    </cfRule>
  </conditionalFormatting>
  <printOptions horizontalCentered="1"/>
  <pageMargins left="0.25" right="0.25" top="0.25" bottom="0.25" header="0.3" footer="0.3"/>
  <pageSetup scale="8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DDD1A-38EE-4959-85CD-8592AB44060F}">
  <sheetPr codeName="Sheet7"/>
  <dimension ref="A1:AK60"/>
  <sheetViews>
    <sheetView workbookViewId="0">
      <selection activeCell="B4" sqref="B4"/>
    </sheetView>
  </sheetViews>
  <sheetFormatPr baseColWidth="10" defaultColWidth="8.83203125" defaultRowHeight="15"/>
  <cols>
    <col min="1" max="1" width="15.83203125" bestFit="1" customWidth="1"/>
    <col min="2" max="2" width="10.83203125" style="7" bestFit="1" customWidth="1"/>
    <col min="3" max="3" width="7.6640625" bestFit="1" customWidth="1"/>
    <col min="4" max="4" width="31.1640625" bestFit="1" customWidth="1"/>
    <col min="5" max="5" width="7.6640625" bestFit="1" customWidth="1"/>
    <col min="6" max="6" width="12.33203125" customWidth="1"/>
    <col min="7" max="7" width="20.6640625" style="40" customWidth="1"/>
    <col min="8" max="8" width="18.6640625" style="40" customWidth="1"/>
    <col min="9" max="9" width="13.33203125" style="40" customWidth="1"/>
    <col min="10" max="10" width="22" style="40" customWidth="1"/>
    <col min="11" max="12" width="32.5" style="40" hidden="1" customWidth="1"/>
    <col min="13" max="13" width="11.6640625" style="320" customWidth="1"/>
    <col min="14" max="14" width="10.5" style="40" bestFit="1" customWidth="1"/>
    <col min="15" max="15" width="32.5" style="40" customWidth="1"/>
    <col min="16" max="16" width="20.5" style="40" customWidth="1"/>
    <col min="17" max="17" width="1.5" style="40" customWidth="1"/>
    <col min="18" max="18" width="17.83203125" style="40" customWidth="1"/>
    <col min="19" max="19" width="4.6640625" bestFit="1" customWidth="1"/>
    <col min="20" max="20" width="31.1640625" bestFit="1" customWidth="1"/>
    <col min="21" max="21" width="20.6640625" bestFit="1" customWidth="1"/>
    <col min="22" max="22" width="15.33203125" bestFit="1" customWidth="1"/>
    <col min="23" max="28" width="7" bestFit="1" customWidth="1"/>
    <col min="29" max="29" width="8.5" bestFit="1" customWidth="1"/>
    <col min="30" max="30" width="7" bestFit="1" customWidth="1"/>
    <col min="31" max="31" width="10.33203125" bestFit="1" customWidth="1"/>
    <col min="32" max="32" width="7" bestFit="1" customWidth="1"/>
    <col min="33" max="33" width="1.5" customWidth="1"/>
    <col min="34" max="34" width="12.5" bestFit="1" customWidth="1"/>
    <col min="35" max="35" width="15.6640625" bestFit="1" customWidth="1"/>
    <col min="36" max="36" width="32.5" bestFit="1" customWidth="1"/>
    <col min="37" max="37" width="21.5" customWidth="1"/>
  </cols>
  <sheetData>
    <row r="1" spans="1:37" ht="16" thickBot="1">
      <c r="V1" s="10" t="s">
        <v>23</v>
      </c>
      <c r="W1" s="10" t="s">
        <v>24</v>
      </c>
      <c r="X1" s="10" t="s">
        <v>25</v>
      </c>
      <c r="Y1" s="10" t="s">
        <v>26</v>
      </c>
      <c r="Z1" s="10" t="s">
        <v>27</v>
      </c>
      <c r="AA1" s="10" t="s">
        <v>28</v>
      </c>
      <c r="AB1" s="10" t="s">
        <v>29</v>
      </c>
      <c r="AC1" s="10" t="s">
        <v>30</v>
      </c>
      <c r="AD1" s="10" t="s">
        <v>31</v>
      </c>
      <c r="AE1" s="10" t="s">
        <v>32</v>
      </c>
      <c r="AF1" s="10" t="s">
        <v>33</v>
      </c>
      <c r="AG1" s="132"/>
      <c r="AH1" s="10" t="s">
        <v>44</v>
      </c>
      <c r="AI1" s="10" t="s">
        <v>45</v>
      </c>
      <c r="AJ1" s="446" t="s">
        <v>46</v>
      </c>
      <c r="AK1" s="10"/>
    </row>
    <row r="2" spans="1:37" ht="20" thickBot="1">
      <c r="A2" s="40" t="s">
        <v>47</v>
      </c>
      <c r="B2" s="292">
        <v>44057</v>
      </c>
      <c r="C2" s="448" t="s">
        <v>48</v>
      </c>
      <c r="D2" s="449"/>
      <c r="E2" s="449"/>
      <c r="F2" s="449"/>
      <c r="G2" s="449"/>
      <c r="H2" s="449"/>
      <c r="I2" s="449"/>
      <c r="J2" s="450"/>
      <c r="K2" s="283"/>
      <c r="L2" s="283"/>
      <c r="M2" s="321"/>
      <c r="N2" s="283"/>
      <c r="O2" s="283"/>
      <c r="Q2" s="136"/>
      <c r="T2" s="134" t="s">
        <v>49</v>
      </c>
      <c r="U2" s="12" t="s">
        <v>50</v>
      </c>
      <c r="V2" s="124">
        <f>_xlfn.SINGLE(SUMIF(EmployeesSupported[[#All],[Dept]],Projection!V1,EmployeesSupported[[#All],[Employees Supported]]))</f>
        <v>12989</v>
      </c>
      <c r="W2" s="124">
        <f>_xlfn.SINGLE(SUMIF(EmployeesSupported[[#All],[Dept]],Projection!W1,EmployeesSupported[[#All],[Employees Supported]]))</f>
        <v>1100</v>
      </c>
      <c r="X2" s="124">
        <f>_xlfn.SINGLE(SUMIF(EmployeesSupported[[#All],[Dept]],Projection!X1,EmployeesSupported[[#All],[Employees Supported]]))</f>
        <v>1500</v>
      </c>
      <c r="Y2" s="124">
        <f>_xlfn.SINGLE(SUMIF(EmployeesSupported[[#All],[Dept]],Projection!Y1,EmployeesSupported[[#All],[Employees Supported]]))</f>
        <v>400</v>
      </c>
      <c r="Z2" s="124">
        <f>_xlfn.SINGLE(SUMIF(EmployeesSupported[[#All],[Dept]],Projection!Z1,EmployeesSupported[[#All],[Employees Supported]]))</f>
        <v>400</v>
      </c>
      <c r="AA2" s="124">
        <f>_xlfn.SINGLE(SUMIF(EmployeesSupported[[#All],[Dept]],Projection!AA1,EmployeesSupported[[#All],[Employees Supported]]))</f>
        <v>1100</v>
      </c>
      <c r="AB2" s="124">
        <f>_xlfn.SINGLE(SUMIF(EmployeesSupported[[#All],[Dept]],Projection!AB1,EmployeesSupported[[#All],[Employees Supported]]))</f>
        <v>550</v>
      </c>
      <c r="AC2" s="124">
        <f>_xlfn.SINGLE(SUMIF(EmployeesSupported[[#All],[Dept]],Projection!AC1,EmployeesSupported[[#All],[Employees Supported]]))</f>
        <v>300</v>
      </c>
      <c r="AD2" s="124">
        <f>_xlfn.SINGLE(SUMIF(EmployeesSupported[[#All],[Dept]],Projection!AD1,EmployeesSupported[[#All],[Employees Supported]]))</f>
        <v>700</v>
      </c>
      <c r="AE2" s="124">
        <f>_xlfn.SINGLE(SUMIF(EmployeesSupported[[#All],[Dept]],Projection!AE1,EmployeesSupported[[#All],[Employees Supported]]))</f>
        <v>400</v>
      </c>
      <c r="AF2" s="124">
        <f>_xlfn.SINGLE(SUMIF(EmployeesSupported[[#All],[Dept]],Projection!AF1,EmployeesSupported[[#All],[Employees Supported]]))</f>
        <v>400</v>
      </c>
      <c r="AG2" s="132"/>
      <c r="AI2" s="135" t="str">
        <f>_xlfn.SINGLE(TEXT(SUM(V2:AF2),"##,###"))</f>
        <v>19,839</v>
      </c>
      <c r="AJ2" s="446"/>
    </row>
    <row r="3" spans="1:37">
      <c r="A3" s="40" t="s">
        <v>51</v>
      </c>
      <c r="B3" s="292">
        <v>44286</v>
      </c>
      <c r="Q3" s="136"/>
      <c r="AG3" s="132"/>
    </row>
    <row r="4" spans="1:37" ht="32">
      <c r="A4" s="40" t="s">
        <v>52</v>
      </c>
      <c r="B4" s="141">
        <v>3</v>
      </c>
      <c r="C4" s="29" t="s">
        <v>41</v>
      </c>
      <c r="D4" s="29" t="s">
        <v>53</v>
      </c>
      <c r="E4" s="30" t="s">
        <v>22</v>
      </c>
      <c r="F4" s="145" t="s">
        <v>54</v>
      </c>
      <c r="G4" s="145" t="s">
        <v>55</v>
      </c>
      <c r="H4" s="145" t="s">
        <v>56</v>
      </c>
      <c r="I4" s="145" t="s">
        <v>57</v>
      </c>
      <c r="J4" s="145" t="s">
        <v>58</v>
      </c>
      <c r="K4" s="128"/>
      <c r="L4" s="128"/>
      <c r="M4" s="323" t="s">
        <v>59</v>
      </c>
      <c r="N4" s="324" t="s">
        <v>60</v>
      </c>
      <c r="O4" s="128"/>
      <c r="Q4" s="136"/>
      <c r="S4" t="s">
        <v>41</v>
      </c>
      <c r="T4" s="29" t="s">
        <v>53</v>
      </c>
      <c r="U4" s="10" t="s">
        <v>22</v>
      </c>
      <c r="V4" s="10" t="s">
        <v>34</v>
      </c>
      <c r="W4" s="10" t="s">
        <v>34</v>
      </c>
      <c r="X4" s="10" t="s">
        <v>34</v>
      </c>
      <c r="Y4" s="10" t="s">
        <v>34</v>
      </c>
      <c r="Z4" s="10" t="s">
        <v>34</v>
      </c>
      <c r="AA4" s="10" t="s">
        <v>34</v>
      </c>
      <c r="AB4" s="10" t="s">
        <v>34</v>
      </c>
      <c r="AC4" s="10" t="s">
        <v>34</v>
      </c>
      <c r="AD4" s="10" t="s">
        <v>34</v>
      </c>
      <c r="AE4" s="10" t="s">
        <v>34</v>
      </c>
      <c r="AF4" s="10" t="s">
        <v>34</v>
      </c>
      <c r="AG4" s="132"/>
      <c r="AH4" s="10" t="s">
        <v>34</v>
      </c>
    </row>
    <row r="5" spans="1:37">
      <c r="C5" s="2">
        <v>1</v>
      </c>
      <c r="D5" t="str">
        <f>+Dashboard!C8</f>
        <v>Masks (N95)</v>
      </c>
      <c r="E5" t="str">
        <f>+Dashboard!D8</f>
        <v>each</v>
      </c>
      <c r="F5" s="122">
        <f>+AH5</f>
        <v>11800</v>
      </c>
      <c r="G5" s="129">
        <f t="shared" ref="G5:G28" si="0">+F5*$B$4</f>
        <v>35400</v>
      </c>
      <c r="H5" s="129">
        <f>SUM(Dashboard!E8,Dashboard!G8,Dashboard!I8,Dashboard!K8,Dashboard!M8,Dashboard!O8,Dashboard!Q8,Dashboard!S8,Dashboard!U8,Dashboard!W8,Dashboard!Y8)</f>
        <v>148865</v>
      </c>
      <c r="I5" s="129">
        <f>+Dashboard!E113</f>
        <v>1180960</v>
      </c>
      <c r="J5" s="129">
        <f>IF((G5-H5-I5)&gt;0,(G5-H5-I5),0)</f>
        <v>0</v>
      </c>
      <c r="K5" s="129"/>
      <c r="L5" s="129"/>
      <c r="M5" s="320">
        <v>0.98</v>
      </c>
      <c r="N5" s="129">
        <f t="shared" ref="N5:N11" si="1">+J5*M5</f>
        <v>0</v>
      </c>
      <c r="O5" s="129"/>
      <c r="Q5" s="136"/>
      <c r="S5">
        <v>1</v>
      </c>
      <c r="T5" s="12" t="str">
        <f>+Dashboard!C8</f>
        <v>Masks (N95)</v>
      </c>
      <c r="U5" s="42" t="str">
        <f>+Dashboard!D8</f>
        <v>each</v>
      </c>
      <c r="V5" s="122">
        <f>IF(VLOOKUP(_xlfn.CONCAT(V$1,$T5),BurnRate!$G$3:$P$1102,9,FALSE)="NR",0,SUM(VLOOKUP(_xlfn.CONCAT(V$1,$T5),BurnRate!$G$3:$P$1102,10,FALSE)/90))</f>
        <v>6500</v>
      </c>
      <c r="W5" s="122">
        <f>IF(VLOOKUP(_xlfn.CONCAT(W$1,$T5),BurnRate!$G$3:$P$1102,9,FALSE)="NR",0,SUM(VLOOKUP(_xlfn.CONCAT(W$1,$T5),BurnRate!$G$3:$P$1102,10,FALSE)/90))</f>
        <v>650</v>
      </c>
      <c r="X5" s="122">
        <f>IF(VLOOKUP(_xlfn.CONCAT(X$1,$T5),BurnRate!$G$3:$P$1102,9,FALSE)="NR",0,SUM(VLOOKUP(_xlfn.CONCAT(X$1,$T5),BurnRate!$G$3:$P$1102,10,FALSE)/90))</f>
        <v>400</v>
      </c>
      <c r="Y5" s="122">
        <f>IF(VLOOKUP(_xlfn.CONCAT(Y$1,$T5),BurnRate!$G$3:$P$1102,9,FALSE)="NR",0,SUM(VLOOKUP(_xlfn.CONCAT(Y$1,$T5),BurnRate!$G$3:$P$1102,10,FALSE)/90))</f>
        <v>400</v>
      </c>
      <c r="Z5" s="122">
        <f>IF(VLOOKUP(_xlfn.CONCAT(Z$1,$T5),BurnRate!$G$3:$P$1102,9,FALSE)="NR",0,SUM(VLOOKUP(_xlfn.CONCAT(Z$1,$T5),BurnRate!$G$3:$P$1102,10,FALSE)/90))</f>
        <v>400</v>
      </c>
      <c r="AA5" s="122">
        <f>IF(VLOOKUP(_xlfn.CONCAT(AA$1,$T5),BurnRate!$G$3:$P$1102,9,FALSE)="NR",0,SUM(VLOOKUP(_xlfn.CONCAT(AA$1,$T5),BurnRate!$G$3:$P$1102,10,FALSE)/90))</f>
        <v>1100</v>
      </c>
      <c r="AB5" s="122">
        <f>IF(VLOOKUP(_xlfn.CONCAT(AB$1,$T5),BurnRate!$G$3:$P$1102,9,FALSE)="NR",0,SUM(VLOOKUP(_xlfn.CONCAT(AB$1,$T5),BurnRate!$G$3:$P$1102,10,FALSE)/90))</f>
        <v>550</v>
      </c>
      <c r="AC5" s="122">
        <f>IF(VLOOKUP(_xlfn.CONCAT(AC$1,$T5),BurnRate!$G$3:$P$1102,9,FALSE)="NR",0,SUM(VLOOKUP(_xlfn.CONCAT(AC$1,$T5),BurnRate!$G$3:$P$1102,10,FALSE)/90))</f>
        <v>300</v>
      </c>
      <c r="AD5" s="122">
        <f>IF(VLOOKUP(_xlfn.CONCAT(AD$1,$T5),BurnRate!$G$3:$P$1102,9,FALSE)="NR",0,SUM(VLOOKUP(_xlfn.CONCAT(AD$1,$T5),BurnRate!$G$3:$P$1102,10,FALSE)/90))</f>
        <v>700</v>
      </c>
      <c r="AE5" s="122">
        <f>IF(VLOOKUP(_xlfn.CONCAT(AE$1,$T5),BurnRate!$G$3:$P$1102,9,FALSE)="NR",0,SUM(VLOOKUP(_xlfn.CONCAT(AE$1,$T5),BurnRate!$G$3:$P$1102,10,FALSE)/90))</f>
        <v>400</v>
      </c>
      <c r="AF5" s="122">
        <f>IF(VLOOKUP(_xlfn.CONCAT(AF$1,$T5),BurnRate!$G$3:$P$1102,9,FALSE)="NR",0,SUM(VLOOKUP(_xlfn.CONCAT(AF$1,$T5),BurnRate!$G$3:$P$1102,10,FALSE)/90))</f>
        <v>400</v>
      </c>
      <c r="AG5" s="132"/>
      <c r="AH5" s="118">
        <f>SUM(V5:AG5)</f>
        <v>11800</v>
      </c>
      <c r="AJ5" s="118">
        <f t="shared" ref="AJ5:AJ28" si="2">+AH5*$B$4</f>
        <v>35400</v>
      </c>
    </row>
    <row r="6" spans="1:37">
      <c r="A6" s="40"/>
      <c r="B6" s="141"/>
      <c r="C6" s="2">
        <v>2</v>
      </c>
      <c r="D6" t="str">
        <f>+Dashboard!C9</f>
        <v>Masks (Surgical)</v>
      </c>
      <c r="E6" t="str">
        <f>+Dashboard!D9</f>
        <v>each</v>
      </c>
      <c r="F6" s="122">
        <f t="shared" ref="F6:F28" si="3">+AH6</f>
        <v>58650</v>
      </c>
      <c r="G6" s="129">
        <f t="shared" si="0"/>
        <v>175950</v>
      </c>
      <c r="H6" s="129">
        <f>SUM(Dashboard!E9,Dashboard!G9,Dashboard!I9,Dashboard!K9,Dashboard!M9,Dashboard!O9,Dashboard!Q9,Dashboard!S9,Dashboard!U9,Dashboard!W9,Dashboard!Y9)</f>
        <v>6603669</v>
      </c>
      <c r="I6" s="129">
        <f>+Dashboard!E114</f>
        <v>1244800</v>
      </c>
      <c r="J6" s="129">
        <f>IF((G6-H6-I6)&gt;0,(G6-H6-I6),0)</f>
        <v>0</v>
      </c>
      <c r="K6" s="129"/>
      <c r="L6" s="129"/>
      <c r="M6" s="320">
        <f>7.62/50</f>
        <v>0.15240000000000001</v>
      </c>
      <c r="N6" s="129">
        <f t="shared" si="1"/>
        <v>0</v>
      </c>
      <c r="O6" s="129"/>
      <c r="Q6" s="136"/>
      <c r="S6">
        <v>2</v>
      </c>
      <c r="T6" s="12" t="str">
        <f>+Dashboard!C9</f>
        <v>Masks (Surgical)</v>
      </c>
      <c r="U6" s="42" t="str">
        <f>+Dashboard!D9</f>
        <v>each</v>
      </c>
      <c r="V6" s="122">
        <f>IF(VLOOKUP(_xlfn.CONCAT(V$1,$T6),BurnRate!$G$3:$P$1102,9,FALSE)="NR",0,SUM(VLOOKUP(_xlfn.CONCAT(V$1,$T6),BurnRate!$G$3:$P$1102,10,FALSE)/90))</f>
        <v>45500</v>
      </c>
      <c r="W6" s="122">
        <f>IF(VLOOKUP(_xlfn.CONCAT(W$1,$T6),BurnRate!$G$3:$P$1102,9,FALSE)="NR",0,SUM(VLOOKUP(_xlfn.CONCAT(W$1,$T6),BurnRate!$G$3:$P$1102,10,FALSE)/90))</f>
        <v>600</v>
      </c>
      <c r="X6" s="122">
        <f>IF(VLOOKUP(_xlfn.CONCAT(X$1,$T6),BurnRate!$G$3:$P$1102,9,FALSE)="NR",0,SUM(VLOOKUP(_xlfn.CONCAT(X$1,$T6),BurnRate!$G$3:$P$1102,10,FALSE)/90))</f>
        <v>1000</v>
      </c>
      <c r="Y6" s="122">
        <f>IF(VLOOKUP(_xlfn.CONCAT(Y$1,$T6),BurnRate!$G$3:$P$1102,9,FALSE)="NR",0,SUM(VLOOKUP(_xlfn.CONCAT(Y$1,$T6),BurnRate!$G$3:$P$1102,10,FALSE)/90))</f>
        <v>1200</v>
      </c>
      <c r="Z6" s="122">
        <f>IF(VLOOKUP(_xlfn.CONCAT(Z$1,$T6),BurnRate!$G$3:$P$1102,9,FALSE)="NR",0,SUM(VLOOKUP(_xlfn.CONCAT(Z$1,$T6),BurnRate!$G$3:$P$1102,10,FALSE)/90))</f>
        <v>0</v>
      </c>
      <c r="AA6" s="122">
        <f>IF(VLOOKUP(_xlfn.CONCAT(AA$1,$T6),BurnRate!$G$3:$P$1102,9,FALSE)="NR",0,SUM(VLOOKUP(_xlfn.CONCAT(AA$1,$T6),BurnRate!$G$3:$P$1102,10,FALSE)/90))</f>
        <v>3300</v>
      </c>
      <c r="AB6" s="122">
        <f>IF(VLOOKUP(_xlfn.CONCAT(AB$1,$T6),BurnRate!$G$3:$P$1102,9,FALSE)="NR",0,SUM(VLOOKUP(_xlfn.CONCAT(AB$1,$T6),BurnRate!$G$3:$P$1102,10,FALSE)/90))</f>
        <v>1650</v>
      </c>
      <c r="AC6" s="122">
        <f>IF(VLOOKUP(_xlfn.CONCAT(AC$1,$T6),BurnRate!$G$3:$P$1102,9,FALSE)="NR",0,SUM(VLOOKUP(_xlfn.CONCAT(AC$1,$T6),BurnRate!$G$3:$P$1102,10,FALSE)/90))</f>
        <v>900</v>
      </c>
      <c r="AD6" s="122">
        <f>IF(VLOOKUP(_xlfn.CONCAT(AD$1,$T6),BurnRate!$G$3:$P$1102,9,FALSE)="NR",0,SUM(VLOOKUP(_xlfn.CONCAT(AD$1,$T6),BurnRate!$G$3:$P$1102,10,FALSE)/90))</f>
        <v>2100</v>
      </c>
      <c r="AE6" s="122">
        <f>IF(VLOOKUP(_xlfn.CONCAT(AE$1,$T6),BurnRate!$G$3:$P$1102,9,FALSE)="NR",0,SUM(VLOOKUP(_xlfn.CONCAT(AE$1,$T6),BurnRate!$G$3:$P$1102,10,FALSE)/90))</f>
        <v>1200</v>
      </c>
      <c r="AF6" s="122">
        <f>IF(VLOOKUP(_xlfn.CONCAT(AF$1,$T6),BurnRate!$G$3:$P$1102,9,FALSE)="NR",0,SUM(VLOOKUP(_xlfn.CONCAT(AF$1,$T6),BurnRate!$G$3:$P$1102,10,FALSE)/90))</f>
        <v>1200</v>
      </c>
      <c r="AG6" s="132"/>
      <c r="AH6" s="118">
        <f t="shared" ref="AH6:AH24" si="4">SUM(V6:AG6)</f>
        <v>58650</v>
      </c>
      <c r="AJ6" s="118">
        <f t="shared" si="2"/>
        <v>175950</v>
      </c>
    </row>
    <row r="7" spans="1:37">
      <c r="C7" s="2">
        <v>3</v>
      </c>
      <c r="D7" t="str">
        <f>+Dashboard!C10</f>
        <v>Masks (Cloth)</v>
      </c>
      <c r="E7" t="str">
        <f>+Dashboard!D10</f>
        <v>each</v>
      </c>
      <c r="F7" s="122">
        <f t="shared" si="3"/>
        <v>0</v>
      </c>
      <c r="G7" s="129">
        <f t="shared" si="0"/>
        <v>0</v>
      </c>
      <c r="H7" s="129">
        <f>SUM(Dashboard!E10,Dashboard!G10,Dashboard!I10,Dashboard!K10,Dashboard!M10,Dashboard!O10,Dashboard!Q10,Dashboard!S10,Dashboard!U10,Dashboard!W10,Dashboard!Y10)</f>
        <v>0</v>
      </c>
      <c r="I7" s="129">
        <f>+Dashboard!E115</f>
        <v>182000</v>
      </c>
      <c r="J7" s="129">
        <f>IF((G7-H7-I7)&gt;0,(G7-H7-I7),0)</f>
        <v>0</v>
      </c>
      <c r="K7" s="129"/>
      <c r="L7" s="129"/>
      <c r="M7" s="320">
        <v>1.25</v>
      </c>
      <c r="N7" s="129">
        <f t="shared" si="1"/>
        <v>0</v>
      </c>
      <c r="O7" s="129"/>
      <c r="Q7" s="136"/>
      <c r="S7">
        <v>3</v>
      </c>
      <c r="T7" s="12" t="str">
        <f>+Dashboard!C10</f>
        <v>Masks (Cloth)</v>
      </c>
      <c r="U7" s="42" t="str">
        <f>+Dashboard!D10</f>
        <v>each</v>
      </c>
      <c r="V7" s="122">
        <f>IF(VLOOKUP(_xlfn.CONCAT(V$1,$T7),BurnRate!$G$3:$P$1102,9,FALSE)="NR",0,SUM(VLOOKUP(_xlfn.CONCAT(V$1,$T7),BurnRate!$G$3:$P$1102,10,FALSE)/90))</f>
        <v>0</v>
      </c>
      <c r="W7" s="122">
        <f>IF(VLOOKUP(_xlfn.CONCAT(W$1,$T7),BurnRate!$G$3:$P$1102,9,FALSE)="NR",0,SUM(VLOOKUP(_xlfn.CONCAT(W$1,$T7),BurnRate!$G$3:$P$1102,10,FALSE)/90))</f>
        <v>0</v>
      </c>
      <c r="X7" s="122">
        <f>IF(VLOOKUP(_xlfn.CONCAT(X$1,$T7),BurnRate!$G$3:$P$1102,9,FALSE)="NR",0,SUM(VLOOKUP(_xlfn.CONCAT(X$1,$T7),BurnRate!$G$3:$P$1102,10,FALSE)/90))</f>
        <v>0</v>
      </c>
      <c r="Y7" s="122">
        <f>IF(VLOOKUP(_xlfn.CONCAT(Y$1,$T7),BurnRate!$G$3:$P$1102,9,FALSE)="NR",0,SUM(VLOOKUP(_xlfn.CONCAT(Y$1,$T7),BurnRate!$G$3:$P$1102,10,FALSE)/90))</f>
        <v>0</v>
      </c>
      <c r="Z7" s="122">
        <f>IF(VLOOKUP(_xlfn.CONCAT(Z$1,$T7),BurnRate!$G$3:$P$1102,9,FALSE)="NR",0,SUM(VLOOKUP(_xlfn.CONCAT(Z$1,$T7),BurnRate!$G$3:$P$1102,10,FALSE)/90))</f>
        <v>0</v>
      </c>
      <c r="AA7" s="122">
        <f>IF(VLOOKUP(_xlfn.CONCAT(AA$1,$T7),BurnRate!$G$3:$P$1102,9,FALSE)="NR",0,SUM(VLOOKUP(_xlfn.CONCAT(AA$1,$T7),BurnRate!$G$3:$P$1102,10,FALSE)/90))</f>
        <v>0</v>
      </c>
      <c r="AB7" s="122">
        <f>IF(VLOOKUP(_xlfn.CONCAT(AB$1,$T7),BurnRate!$G$3:$P$1102,9,FALSE)="NR",0,SUM(VLOOKUP(_xlfn.CONCAT(AB$1,$T7),BurnRate!$G$3:$P$1102,10,FALSE)/90))</f>
        <v>0</v>
      </c>
      <c r="AC7" s="122">
        <f>IF(VLOOKUP(_xlfn.CONCAT(AC$1,$T7),BurnRate!$G$3:$P$1102,9,FALSE)="NR",0,SUM(VLOOKUP(_xlfn.CONCAT(AC$1,$T7),BurnRate!$G$3:$P$1102,10,FALSE)/90))</f>
        <v>0</v>
      </c>
      <c r="AD7" s="122">
        <f>IF(VLOOKUP(_xlfn.CONCAT(AD$1,$T7),BurnRate!$G$3:$P$1102,9,FALSE)="NR",0,SUM(VLOOKUP(_xlfn.CONCAT(AD$1,$T7),BurnRate!$G$3:$P$1102,10,FALSE)/90))</f>
        <v>0</v>
      </c>
      <c r="AE7" s="122">
        <f>IF(VLOOKUP(_xlfn.CONCAT(AE$1,$T7),BurnRate!$G$3:$P$1102,9,FALSE)="NR",0,SUM(VLOOKUP(_xlfn.CONCAT(AE$1,$T7),BurnRate!$G$3:$P$1102,10,FALSE)/90))</f>
        <v>0</v>
      </c>
      <c r="AF7" s="122">
        <f>IF(VLOOKUP(_xlfn.CONCAT(AF$1,$T7),BurnRate!$G$3:$P$1102,9,FALSE)="NR",0,SUM(VLOOKUP(_xlfn.CONCAT(AF$1,$T7),BurnRate!$G$3:$P$1102,10,FALSE)/90))</f>
        <v>0</v>
      </c>
      <c r="AG7" s="132"/>
      <c r="AH7" s="118">
        <f t="shared" si="4"/>
        <v>0</v>
      </c>
      <c r="AJ7" s="118">
        <f t="shared" si="2"/>
        <v>0</v>
      </c>
    </row>
    <row r="8" spans="1:37">
      <c r="C8" s="2">
        <v>4</v>
      </c>
      <c r="D8" t="str">
        <f>+Dashboard!C11</f>
        <v>Nitrile Gloves (Public Safety)</v>
      </c>
      <c r="E8" t="str">
        <f>+Dashboard!D11</f>
        <v>pair</v>
      </c>
      <c r="F8" s="122">
        <f t="shared" si="3"/>
        <v>23300</v>
      </c>
      <c r="G8" s="129">
        <f t="shared" si="0"/>
        <v>69900</v>
      </c>
      <c r="H8" s="129">
        <f>SUM(Dashboard!E11,Dashboard!G11,Dashboard!I11,Dashboard!K11,Dashboard!M11,Dashboard!O11,Dashboard!Q11,Dashboard!S11,Dashboard!U11,Dashboard!W11,Dashboard!Y11)</f>
        <v>764750</v>
      </c>
      <c r="I8" s="129">
        <f>+Dashboard!E116</f>
        <v>3500000</v>
      </c>
      <c r="J8" s="129">
        <f>IF((G8-H8-I8)&gt;0,(G8-H8-I8),0)</f>
        <v>0</v>
      </c>
      <c r="K8" s="129"/>
      <c r="L8" s="129"/>
      <c r="M8" s="320">
        <v>0.24</v>
      </c>
      <c r="N8" s="129">
        <f t="shared" si="1"/>
        <v>0</v>
      </c>
      <c r="O8" s="129"/>
      <c r="P8" s="129"/>
      <c r="Q8" s="137"/>
      <c r="R8" s="129"/>
      <c r="S8">
        <v>4</v>
      </c>
      <c r="T8" s="12" t="str">
        <f>+Dashboard!C11</f>
        <v>Nitrile Gloves (Public Safety)</v>
      </c>
      <c r="U8" s="42" t="str">
        <f>+Dashboard!D11</f>
        <v>pair</v>
      </c>
      <c r="V8" s="122">
        <f>IF(VLOOKUP(_xlfn.CONCAT(V$1,$T8),BurnRate!$G$3:$P$1102,9,FALSE)="NR",0,SUM(VLOOKUP(_xlfn.CONCAT(V$1,$T8),BurnRate!$G$3:$P$1102,10,FALSE)/90))</f>
        <v>19500</v>
      </c>
      <c r="W8" s="122">
        <f>IF(VLOOKUP(_xlfn.CONCAT(W$1,$T8),BurnRate!$G$3:$P$1102,9,FALSE)="NR",0,SUM(VLOOKUP(_xlfn.CONCAT(W$1,$T8),BurnRate!$G$3:$P$1102,10,FALSE)/90))</f>
        <v>3000</v>
      </c>
      <c r="X8" s="122">
        <f>IF(VLOOKUP(_xlfn.CONCAT(X$1,$T8),BurnRate!$G$3:$P$1102,9,FALSE)="NR",0,SUM(VLOOKUP(_xlfn.CONCAT(X$1,$T8),BurnRate!$G$3:$P$1102,10,FALSE)/90))</f>
        <v>800</v>
      </c>
      <c r="Y8" s="122">
        <f>IF(VLOOKUP(_xlfn.CONCAT(Y$1,$T8),BurnRate!$G$3:$P$1102,9,FALSE)="NR",0,SUM(VLOOKUP(_xlfn.CONCAT(Y$1,$T8),BurnRate!$G$3:$P$1102,10,FALSE)/90))</f>
        <v>0</v>
      </c>
      <c r="Z8" s="122">
        <f>IF(VLOOKUP(_xlfn.CONCAT(Z$1,$T8),BurnRate!$G$3:$P$1102,9,FALSE)="NR",0,SUM(VLOOKUP(_xlfn.CONCAT(Z$1,$T8),BurnRate!$G$3:$P$1102,10,FALSE)/90))</f>
        <v>0</v>
      </c>
      <c r="AA8" s="122">
        <f>IF(VLOOKUP(_xlfn.CONCAT(AA$1,$T8),BurnRate!$G$3:$P$1102,9,FALSE)="NR",0,SUM(VLOOKUP(_xlfn.CONCAT(AA$1,$T8),BurnRate!$G$3:$P$1102,10,FALSE)/90))</f>
        <v>0</v>
      </c>
      <c r="AB8" s="122">
        <f>IF(VLOOKUP(_xlfn.CONCAT(AB$1,$T8),BurnRate!$G$3:$P$1102,9,FALSE)="NR",0,SUM(VLOOKUP(_xlfn.CONCAT(AB$1,$T8),BurnRate!$G$3:$P$1102,10,FALSE)/90))</f>
        <v>0</v>
      </c>
      <c r="AC8" s="122">
        <f>IF(VLOOKUP(_xlfn.CONCAT(AC$1,$T8),BurnRate!$G$3:$P$1102,9,FALSE)="NR",0,SUM(VLOOKUP(_xlfn.CONCAT(AC$1,$T8),BurnRate!$G$3:$P$1102,10,FALSE)/90))</f>
        <v>0</v>
      </c>
      <c r="AD8" s="122">
        <f>IF(VLOOKUP(_xlfn.CONCAT(AD$1,$T8),BurnRate!$G$3:$P$1102,9,FALSE)="NR",0,SUM(VLOOKUP(_xlfn.CONCAT(AD$1,$T8),BurnRate!$G$3:$P$1102,10,FALSE)/90))</f>
        <v>0</v>
      </c>
      <c r="AE8" s="122">
        <f>IF(VLOOKUP(_xlfn.CONCAT(AE$1,$T8),BurnRate!$G$3:$P$1102,9,FALSE)="NR",0,SUM(VLOOKUP(_xlfn.CONCAT(AE$1,$T8),BurnRate!$G$3:$P$1102,10,FALSE)/90))</f>
        <v>0</v>
      </c>
      <c r="AF8" s="122">
        <f>IF(VLOOKUP(_xlfn.CONCAT(AF$1,$T8),BurnRate!$G$3:$P$1102,9,FALSE)="NR",0,SUM(VLOOKUP(_xlfn.CONCAT(AF$1,$T8),BurnRate!$G$3:$P$1102,10,FALSE)/90))</f>
        <v>0</v>
      </c>
      <c r="AG8" s="132"/>
      <c r="AH8" s="118">
        <f t="shared" si="4"/>
        <v>23300</v>
      </c>
      <c r="AJ8" s="118">
        <f t="shared" si="2"/>
        <v>69900</v>
      </c>
    </row>
    <row r="9" spans="1:37">
      <c r="C9" s="2">
        <v>5</v>
      </c>
      <c r="D9" t="str">
        <f>+Dashboard!C12</f>
        <v>Nitrile Gloves (General Use)</v>
      </c>
      <c r="E9" t="str">
        <f>+Dashboard!D12</f>
        <v>pair</v>
      </c>
      <c r="F9" s="122">
        <f t="shared" si="3"/>
        <v>30410</v>
      </c>
      <c r="G9" s="129">
        <f t="shared" si="0"/>
        <v>91230</v>
      </c>
      <c r="H9" s="129">
        <f>SUM(Dashboard!E12,Dashboard!G12,Dashboard!I12,Dashboard!K12,Dashboard!M12,Dashboard!O12,Dashboard!Q12,Dashboard!S12,Dashboard!U12,Dashboard!W12,Dashboard!Y12)</f>
        <v>457647</v>
      </c>
      <c r="I9" s="129">
        <f>+Dashboard!E117</f>
        <v>100</v>
      </c>
      <c r="J9" s="129">
        <f>IF((G9-H9-I9)&gt;0,(G9-H9-I9),0)</f>
        <v>0</v>
      </c>
      <c r="K9" s="129"/>
      <c r="L9" s="129"/>
      <c r="M9" s="320">
        <v>0.3</v>
      </c>
      <c r="N9" s="129">
        <f t="shared" si="1"/>
        <v>0</v>
      </c>
      <c r="O9" s="129"/>
      <c r="P9" s="129"/>
      <c r="Q9" s="137"/>
      <c r="R9" s="129"/>
      <c r="S9">
        <v>5</v>
      </c>
      <c r="T9" s="12" t="str">
        <f>+Dashboard!C12</f>
        <v>Nitrile Gloves (General Use)</v>
      </c>
      <c r="U9" s="42" t="str">
        <f>+Dashboard!D12</f>
        <v>pair</v>
      </c>
      <c r="V9" s="122">
        <f>IF(VLOOKUP(_xlfn.CONCAT(V$1,$T9),BurnRate!$G$3:$P$1102,9,FALSE)="NR",0,SUM(VLOOKUP(_xlfn.CONCAT(V$1,$T9),BurnRate!$G$3:$P$1102,10,FALSE)/90))</f>
        <v>19500</v>
      </c>
      <c r="W9" s="122">
        <f>IF(VLOOKUP(_xlfn.CONCAT(W$1,$T9),BurnRate!$G$3:$P$1102,9,FALSE)="NR",0,SUM(VLOOKUP(_xlfn.CONCAT(W$1,$T9),BurnRate!$G$3:$P$1102,10,FALSE)/90))</f>
        <v>0</v>
      </c>
      <c r="X9" s="122">
        <f>IF(VLOOKUP(_xlfn.CONCAT(X$1,$T9),BurnRate!$G$3:$P$1102,9,FALSE)="NR",0,SUM(VLOOKUP(_xlfn.CONCAT(X$1,$T9),BurnRate!$G$3:$P$1102,10,FALSE)/90))</f>
        <v>400</v>
      </c>
      <c r="Y9" s="122">
        <f>IF(VLOOKUP(_xlfn.CONCAT(Y$1,$T9),BurnRate!$G$3:$P$1102,9,FALSE)="NR",0,SUM(VLOOKUP(_xlfn.CONCAT(Y$1,$T9),BurnRate!$G$3:$P$1102,10,FALSE)/90))</f>
        <v>80</v>
      </c>
      <c r="Z9" s="122">
        <f>IF(VLOOKUP(_xlfn.CONCAT(Z$1,$T9),BurnRate!$G$3:$P$1102,9,FALSE)="NR",0,SUM(VLOOKUP(_xlfn.CONCAT(Z$1,$T9),BurnRate!$G$3:$P$1102,10,FALSE)/90))</f>
        <v>1200</v>
      </c>
      <c r="AA9" s="122">
        <f>IF(VLOOKUP(_xlfn.CONCAT(AA$1,$T9),BurnRate!$G$3:$P$1102,9,FALSE)="NR",0,SUM(VLOOKUP(_xlfn.CONCAT(AA$1,$T9),BurnRate!$G$3:$P$1102,10,FALSE)/90))</f>
        <v>3300</v>
      </c>
      <c r="AB9" s="122">
        <f>IF(VLOOKUP(_xlfn.CONCAT(AB$1,$T9),BurnRate!$G$3:$P$1102,9,FALSE)="NR",0,SUM(VLOOKUP(_xlfn.CONCAT(AB$1,$T9),BurnRate!$G$3:$P$1102,10,FALSE)/90))</f>
        <v>1650</v>
      </c>
      <c r="AC9" s="122">
        <f>IF(VLOOKUP(_xlfn.CONCAT(AC$1,$T9),BurnRate!$G$3:$P$1102,9,FALSE)="NR",0,SUM(VLOOKUP(_xlfn.CONCAT(AC$1,$T9),BurnRate!$G$3:$P$1102,10,FALSE)/90))</f>
        <v>900</v>
      </c>
      <c r="AD9" s="122">
        <f>IF(VLOOKUP(_xlfn.CONCAT(AD$1,$T9),BurnRate!$G$3:$P$1102,9,FALSE)="NR",0,SUM(VLOOKUP(_xlfn.CONCAT(AD$1,$T9),BurnRate!$G$3:$P$1102,10,FALSE)/90))</f>
        <v>2100</v>
      </c>
      <c r="AE9" s="122">
        <f>IF(VLOOKUP(_xlfn.CONCAT(AE$1,$T9),BurnRate!$G$3:$P$1102,9,FALSE)="NR",0,SUM(VLOOKUP(_xlfn.CONCAT(AE$1,$T9),BurnRate!$G$3:$P$1102,10,FALSE)/90))</f>
        <v>80</v>
      </c>
      <c r="AF9" s="122">
        <f>IF(VLOOKUP(_xlfn.CONCAT(AF$1,$T9),BurnRate!$G$3:$P$1102,9,FALSE)="NR",0,SUM(VLOOKUP(_xlfn.CONCAT(AF$1,$T9),BurnRate!$G$3:$P$1102,10,FALSE)/90))</f>
        <v>1200</v>
      </c>
      <c r="AG9" s="132"/>
      <c r="AH9" s="118">
        <f t="shared" si="4"/>
        <v>30410</v>
      </c>
      <c r="AJ9" s="118">
        <f t="shared" si="2"/>
        <v>91230</v>
      </c>
    </row>
    <row r="10" spans="1:37">
      <c r="C10" s="2">
        <v>6</v>
      </c>
      <c r="D10" t="str">
        <f>+Dashboard!C13</f>
        <v>Surgical Gowns</v>
      </c>
      <c r="E10" t="str">
        <f>+Dashboard!D13</f>
        <v>each</v>
      </c>
      <c r="F10" s="122">
        <f t="shared" si="3"/>
        <v>1666</v>
      </c>
      <c r="G10" s="129">
        <f t="shared" si="0"/>
        <v>4998</v>
      </c>
      <c r="H10" s="129">
        <f>SUM(Dashboard!E13,Dashboard!G13,Dashboard!I13,Dashboard!K13,Dashboard!M13,Dashboard!O13,Dashboard!Q13,Dashboard!S13,Dashboard!U13,Dashboard!W13,Dashboard!Y13)</f>
        <v>79334</v>
      </c>
      <c r="I10" s="129">
        <f>+Dashboard!E118</f>
        <v>398495</v>
      </c>
      <c r="J10" s="129">
        <f t="shared" ref="J10:J28" si="5">IF((G10-H10-I10)&gt;0,(G10-H10-I10),0)</f>
        <v>0</v>
      </c>
      <c r="K10" s="129"/>
      <c r="L10" s="129"/>
      <c r="M10" s="320">
        <v>6.8</v>
      </c>
      <c r="N10" s="129">
        <f t="shared" si="1"/>
        <v>0</v>
      </c>
      <c r="O10" s="129"/>
      <c r="P10" s="129"/>
      <c r="Q10" s="137"/>
      <c r="R10" s="129"/>
      <c r="S10">
        <v>6</v>
      </c>
      <c r="T10" s="12" t="str">
        <f>+Dashboard!C13</f>
        <v>Surgical Gowns</v>
      </c>
      <c r="U10" s="42" t="str">
        <f>+Dashboard!D13</f>
        <v>each</v>
      </c>
      <c r="V10" s="122">
        <f>IF(VLOOKUP(_xlfn.CONCAT(V$1,$T10),BurnRate!$G$3:$P$1102,9,FALSE)="NR",0,SUM(VLOOKUP(_xlfn.CONCAT(V$1,$T10),BurnRate!$G$3:$P$1102,10,FALSE)/90))</f>
        <v>1000</v>
      </c>
      <c r="W10" s="122">
        <f>IF(VLOOKUP(_xlfn.CONCAT(W$1,$T10),BurnRate!$G$3:$P$1102,9,FALSE)="NR",0,SUM(VLOOKUP(_xlfn.CONCAT(W$1,$T10),BurnRate!$G$3:$P$1102,10,FALSE)/90))</f>
        <v>650</v>
      </c>
      <c r="X10" s="122">
        <f>IF(VLOOKUP(_xlfn.CONCAT(X$1,$T10),BurnRate!$G$3:$P$1102,9,FALSE)="NR",0,SUM(VLOOKUP(_xlfn.CONCAT(X$1,$T10),BurnRate!$G$3:$P$1102,10,FALSE)/90))</f>
        <v>16</v>
      </c>
      <c r="Y10" s="122">
        <f>IF(VLOOKUP(_xlfn.CONCAT(Y$1,$T10),BurnRate!$G$3:$P$1102,9,FALSE)="NR",0,SUM(VLOOKUP(_xlfn.CONCAT(Y$1,$T10),BurnRate!$G$3:$P$1102,10,FALSE)/90))</f>
        <v>0</v>
      </c>
      <c r="Z10" s="122">
        <f>IF(VLOOKUP(_xlfn.CONCAT(Z$1,$T10),BurnRate!$G$3:$P$1102,9,FALSE)="NR",0,SUM(VLOOKUP(_xlfn.CONCAT(Z$1,$T10),BurnRate!$G$3:$P$1102,10,FALSE)/90))</f>
        <v>0</v>
      </c>
      <c r="AA10" s="122">
        <f>IF(VLOOKUP(_xlfn.CONCAT(AA$1,$T10),BurnRate!$G$3:$P$1102,9,FALSE)="NR",0,SUM(VLOOKUP(_xlfn.CONCAT(AA$1,$T10),BurnRate!$G$3:$P$1102,10,FALSE)/90))</f>
        <v>0</v>
      </c>
      <c r="AB10" s="122">
        <f>IF(VLOOKUP(_xlfn.CONCAT(AB$1,$T10),BurnRate!$G$3:$P$1102,9,FALSE)="NR",0,SUM(VLOOKUP(_xlfn.CONCAT(AB$1,$T10),BurnRate!$G$3:$P$1102,10,FALSE)/90))</f>
        <v>0</v>
      </c>
      <c r="AC10" s="122">
        <f>IF(VLOOKUP(_xlfn.CONCAT(AC$1,$T10),BurnRate!$G$3:$P$1102,9,FALSE)="NR",0,SUM(VLOOKUP(_xlfn.CONCAT(AC$1,$T10),BurnRate!$G$3:$P$1102,10,FALSE)/90))</f>
        <v>0</v>
      </c>
      <c r="AD10" s="122">
        <f>IF(VLOOKUP(_xlfn.CONCAT(AD$1,$T10),BurnRate!$G$3:$P$1102,9,FALSE)="NR",0,SUM(VLOOKUP(_xlfn.CONCAT(AD$1,$T10),BurnRate!$G$3:$P$1102,10,FALSE)/90))</f>
        <v>0</v>
      </c>
      <c r="AE10" s="122">
        <f>IF(VLOOKUP(_xlfn.CONCAT(AE$1,$T10),BurnRate!$G$3:$P$1102,9,FALSE)="NR",0,SUM(VLOOKUP(_xlfn.CONCAT(AE$1,$T10),BurnRate!$G$3:$P$1102,10,FALSE)/90))</f>
        <v>0</v>
      </c>
      <c r="AF10" s="122">
        <f>IF(VLOOKUP(_xlfn.CONCAT(AF$1,$T10),BurnRate!$G$3:$P$1102,9,FALSE)="NR",0,SUM(VLOOKUP(_xlfn.CONCAT(AF$1,$T10),BurnRate!$G$3:$P$1102,10,FALSE)/90))</f>
        <v>0</v>
      </c>
      <c r="AG10" s="132"/>
      <c r="AH10" s="118">
        <f t="shared" si="4"/>
        <v>1666</v>
      </c>
      <c r="AJ10" s="118">
        <f t="shared" si="2"/>
        <v>4998</v>
      </c>
    </row>
    <row r="11" spans="1:37">
      <c r="C11" s="2">
        <v>7</v>
      </c>
      <c r="D11" t="str">
        <f>+Dashboard!C14</f>
        <v>Tyvek Suits</v>
      </c>
      <c r="E11" t="str">
        <f>+Dashboard!D14</f>
        <v>each</v>
      </c>
      <c r="F11" s="122">
        <f t="shared" si="3"/>
        <v>6.666666666666667</v>
      </c>
      <c r="G11" s="129">
        <f t="shared" si="0"/>
        <v>20</v>
      </c>
      <c r="H11" s="129">
        <f>SUM(Dashboard!E14,Dashboard!G14,Dashboard!I14,Dashboard!K14,Dashboard!M14,Dashboard!O14,Dashboard!Q14,Dashboard!S14,Dashboard!U14,Dashboard!W14,Dashboard!Y14)</f>
        <v>3420</v>
      </c>
      <c r="I11" s="129">
        <f>+Dashboard!E119</f>
        <v>1100</v>
      </c>
      <c r="J11" s="129">
        <f t="shared" si="5"/>
        <v>0</v>
      </c>
      <c r="K11" s="129"/>
      <c r="L11" s="129"/>
      <c r="M11" s="320">
        <v>7.75</v>
      </c>
      <c r="N11" s="129">
        <f t="shared" si="1"/>
        <v>0</v>
      </c>
      <c r="O11" s="129"/>
      <c r="P11" s="129"/>
      <c r="Q11" s="137"/>
      <c r="R11" s="129"/>
      <c r="S11">
        <v>7</v>
      </c>
      <c r="T11" s="12" t="str">
        <f>+Dashboard!C14</f>
        <v>Tyvek Suits</v>
      </c>
      <c r="U11" s="42" t="str">
        <f>+Dashboard!D14</f>
        <v>each</v>
      </c>
      <c r="V11" s="122">
        <f>IF(VLOOKUP(_xlfn.CONCAT(V$1,$T11),BurnRate!$G$3:$P$1102,9,FALSE)="NR",0,SUM(VLOOKUP(_xlfn.CONCAT(V$1,$T11),BurnRate!$G$3:$P$1102,10,FALSE)/90))</f>
        <v>6.666666666666667</v>
      </c>
      <c r="W11" s="122">
        <f>IF(VLOOKUP(_xlfn.CONCAT(W$1,$T11),BurnRate!$G$3:$P$1102,9,FALSE)="NR",0,SUM(VLOOKUP(_xlfn.CONCAT(W$1,$T11),BurnRate!$G$3:$P$1102,10,FALSE)/90))</f>
        <v>0</v>
      </c>
      <c r="X11" s="122">
        <f>IF(VLOOKUP(_xlfn.CONCAT(X$1,$T11),BurnRate!$G$3:$P$1102,9,FALSE)="NR",0,SUM(VLOOKUP(_xlfn.CONCAT(X$1,$T11),BurnRate!$G$3:$P$1102,10,FALSE)/90))</f>
        <v>0</v>
      </c>
      <c r="Y11" s="122">
        <f>IF(VLOOKUP(_xlfn.CONCAT(Y$1,$T11),BurnRate!$G$3:$P$1102,9,FALSE)="NR",0,SUM(VLOOKUP(_xlfn.CONCAT(Y$1,$T11),BurnRate!$G$3:$P$1102,10,FALSE)/90))</f>
        <v>0</v>
      </c>
      <c r="Z11" s="122">
        <f>IF(VLOOKUP(_xlfn.CONCAT(Z$1,$T11),BurnRate!$G$3:$P$1102,9,FALSE)="NR",0,SUM(VLOOKUP(_xlfn.CONCAT(Z$1,$T11),BurnRate!$G$3:$P$1102,10,FALSE)/90))</f>
        <v>0</v>
      </c>
      <c r="AA11" s="122">
        <f>IF(VLOOKUP(_xlfn.CONCAT(AA$1,$T11),BurnRate!$G$3:$P$1102,9,FALSE)="NR",0,SUM(VLOOKUP(_xlfn.CONCAT(AA$1,$T11),BurnRate!$G$3:$P$1102,10,FALSE)/90))</f>
        <v>0</v>
      </c>
      <c r="AB11" s="122">
        <f>IF(VLOOKUP(_xlfn.CONCAT(AB$1,$T11),BurnRate!$G$3:$P$1102,9,FALSE)="NR",0,SUM(VLOOKUP(_xlfn.CONCAT(AB$1,$T11),BurnRate!$G$3:$P$1102,10,FALSE)/90))</f>
        <v>0</v>
      </c>
      <c r="AC11" s="122">
        <f>IF(VLOOKUP(_xlfn.CONCAT(AC$1,$T11),BurnRate!$G$3:$P$1102,9,FALSE)="NR",0,SUM(VLOOKUP(_xlfn.CONCAT(AC$1,$T11),BurnRate!$G$3:$P$1102,10,FALSE)/90))</f>
        <v>0</v>
      </c>
      <c r="AD11" s="122">
        <f>IF(VLOOKUP(_xlfn.CONCAT(AD$1,$T11),BurnRate!$G$3:$P$1102,9,FALSE)="NR",0,SUM(VLOOKUP(_xlfn.CONCAT(AD$1,$T11),BurnRate!$G$3:$P$1102,10,FALSE)/90))</f>
        <v>0</v>
      </c>
      <c r="AE11" s="122">
        <f>IF(VLOOKUP(_xlfn.CONCAT(AE$1,$T11),BurnRate!$G$3:$P$1102,9,FALSE)="NR",0,SUM(VLOOKUP(_xlfn.CONCAT(AE$1,$T11),BurnRate!$G$3:$P$1102,10,FALSE)/90))</f>
        <v>0</v>
      </c>
      <c r="AF11" s="122">
        <f>IF(VLOOKUP(_xlfn.CONCAT(AF$1,$T11),BurnRate!$G$3:$P$1102,9,FALSE)="NR",0,SUM(VLOOKUP(_xlfn.CONCAT(AF$1,$T11),BurnRate!$G$3:$P$1102,10,FALSE)/90))</f>
        <v>0</v>
      </c>
      <c r="AG11" s="132"/>
      <c r="AH11" s="118">
        <f t="shared" si="4"/>
        <v>6.666666666666667</v>
      </c>
      <c r="AJ11" s="118">
        <f t="shared" si="2"/>
        <v>20</v>
      </c>
    </row>
    <row r="12" spans="1:37">
      <c r="C12" s="2">
        <v>8</v>
      </c>
      <c r="D12" t="str">
        <f>+Dashboard!C15</f>
        <v>Tyvek Suits w/hoods</v>
      </c>
      <c r="E12" t="str">
        <f>+Dashboard!D15</f>
        <v>each</v>
      </c>
      <c r="F12" s="122">
        <f t="shared" si="3"/>
        <v>6.666666666666667</v>
      </c>
      <c r="G12" s="129">
        <f t="shared" si="0"/>
        <v>20</v>
      </c>
      <c r="H12" s="129">
        <f>SUM(Dashboard!E15,Dashboard!G15,Dashboard!I15,Dashboard!K15,Dashboard!M15,Dashboard!O15,Dashboard!Q15,Dashboard!S15,Dashboard!U15,Dashboard!W15,Dashboard!Y15)</f>
        <v>17914</v>
      </c>
      <c r="I12" s="129">
        <f>+Dashboard!E120</f>
        <v>0</v>
      </c>
      <c r="J12" s="129">
        <f t="shared" si="5"/>
        <v>0</v>
      </c>
      <c r="K12" s="129"/>
      <c r="L12" s="129"/>
      <c r="M12" s="320">
        <v>12.47</v>
      </c>
      <c r="N12" s="129">
        <f t="shared" ref="N12:N28" si="6">+J12*M12</f>
        <v>0</v>
      </c>
      <c r="O12" s="129"/>
      <c r="P12" s="129"/>
      <c r="Q12" s="137"/>
      <c r="R12" s="129"/>
      <c r="S12">
        <v>8</v>
      </c>
      <c r="T12" s="12" t="str">
        <f>+Dashboard!C15</f>
        <v>Tyvek Suits w/hoods</v>
      </c>
      <c r="U12" s="42" t="str">
        <f>+Dashboard!D15</f>
        <v>each</v>
      </c>
      <c r="V12" s="122">
        <f>IF(VLOOKUP(_xlfn.CONCAT(V$1,$T12),BurnRate!$G$3:$P$1102,9,FALSE)="NR",0,SUM(VLOOKUP(_xlfn.CONCAT(V$1,$T12),BurnRate!$G$3:$P$1102,10,FALSE)/90))</f>
        <v>6.666666666666667</v>
      </c>
      <c r="W12" s="122">
        <f>IF(VLOOKUP(_xlfn.CONCAT(W$1,$T12),BurnRate!$G$3:$P$1102,9,FALSE)="NR",0,SUM(VLOOKUP(_xlfn.CONCAT(W$1,$T12),BurnRate!$G$3:$P$1102,10,FALSE)/90))</f>
        <v>0</v>
      </c>
      <c r="X12" s="122">
        <f>IF(VLOOKUP(_xlfn.CONCAT(X$1,$T12),BurnRate!$G$3:$P$1102,9,FALSE)="NR",0,SUM(VLOOKUP(_xlfn.CONCAT(X$1,$T12),BurnRate!$G$3:$P$1102,10,FALSE)/90))</f>
        <v>0</v>
      </c>
      <c r="Y12" s="122">
        <f>IF(VLOOKUP(_xlfn.CONCAT(Y$1,$T12),BurnRate!$G$3:$P$1102,9,FALSE)="NR",0,SUM(VLOOKUP(_xlfn.CONCAT(Y$1,$T12),BurnRate!$G$3:$P$1102,10,FALSE)/90))</f>
        <v>0</v>
      </c>
      <c r="Z12" s="122">
        <f>IF(VLOOKUP(_xlfn.CONCAT(Z$1,$T12),BurnRate!$G$3:$P$1102,9,FALSE)="NR",0,SUM(VLOOKUP(_xlfn.CONCAT(Z$1,$T12),BurnRate!$G$3:$P$1102,10,FALSE)/90))</f>
        <v>0</v>
      </c>
      <c r="AA12" s="122">
        <f>IF(VLOOKUP(_xlfn.CONCAT(AA$1,$T12),BurnRate!$G$3:$P$1102,9,FALSE)="NR",0,SUM(VLOOKUP(_xlfn.CONCAT(AA$1,$T12),BurnRate!$G$3:$P$1102,10,FALSE)/90))</f>
        <v>0</v>
      </c>
      <c r="AB12" s="122">
        <f>IF(VLOOKUP(_xlfn.CONCAT(AB$1,$T12),BurnRate!$G$3:$P$1102,9,FALSE)="NR",0,SUM(VLOOKUP(_xlfn.CONCAT(AB$1,$T12),BurnRate!$G$3:$P$1102,10,FALSE)/90))</f>
        <v>0</v>
      </c>
      <c r="AC12" s="122">
        <f>IF(VLOOKUP(_xlfn.CONCAT(AC$1,$T12),BurnRate!$G$3:$P$1102,9,FALSE)="NR",0,SUM(VLOOKUP(_xlfn.CONCAT(AC$1,$T12),BurnRate!$G$3:$P$1102,10,FALSE)/90))</f>
        <v>0</v>
      </c>
      <c r="AD12" s="122">
        <f>IF(VLOOKUP(_xlfn.CONCAT(AD$1,$T12),BurnRate!$G$3:$P$1102,9,FALSE)="NR",0,SUM(VLOOKUP(_xlfn.CONCAT(AD$1,$T12),BurnRate!$G$3:$P$1102,10,FALSE)/90))</f>
        <v>0</v>
      </c>
      <c r="AE12" s="122">
        <f>IF(VLOOKUP(_xlfn.CONCAT(AE$1,$T12),BurnRate!$G$3:$P$1102,9,FALSE)="NR",0,SUM(VLOOKUP(_xlfn.CONCAT(AE$1,$T12),BurnRate!$G$3:$P$1102,10,FALSE)/90))</f>
        <v>0</v>
      </c>
      <c r="AF12" s="122">
        <f>IF(VLOOKUP(_xlfn.CONCAT(AF$1,$T12),BurnRate!$G$3:$P$1102,9,FALSE)="NR",0,SUM(VLOOKUP(_xlfn.CONCAT(AF$1,$T12),BurnRate!$G$3:$P$1102,10,FALSE)/90))</f>
        <v>0</v>
      </c>
      <c r="AG12" s="132"/>
      <c r="AH12" s="118">
        <f t="shared" si="4"/>
        <v>6.666666666666667</v>
      </c>
      <c r="AJ12" s="118">
        <f t="shared" si="2"/>
        <v>20</v>
      </c>
    </row>
    <row r="13" spans="1:37">
      <c r="C13" s="2">
        <v>9</v>
      </c>
      <c r="D13" t="str">
        <f>+Dashboard!C16</f>
        <v>Face Shields</v>
      </c>
      <c r="E13" t="str">
        <f>+Dashboard!D16</f>
        <v>each</v>
      </c>
      <c r="F13" s="122">
        <f t="shared" si="3"/>
        <v>0</v>
      </c>
      <c r="G13" s="129">
        <f t="shared" si="0"/>
        <v>0</v>
      </c>
      <c r="H13" s="129">
        <f>SUM(Dashboard!E16,Dashboard!G16,Dashboard!I16,Dashboard!K16,Dashboard!M16,Dashboard!O16,Dashboard!Q16,Dashboard!S16,Dashboard!U16,Dashboard!W16,Dashboard!Y16)</f>
        <v>3562</v>
      </c>
      <c r="I13" s="129">
        <f>+Dashboard!E121</f>
        <v>0</v>
      </c>
      <c r="J13" s="129">
        <f t="shared" si="5"/>
        <v>0</v>
      </c>
      <c r="K13" s="129"/>
      <c r="L13" s="129"/>
      <c r="M13" s="320">
        <v>5.12</v>
      </c>
      <c r="N13" s="129">
        <f t="shared" si="6"/>
        <v>0</v>
      </c>
      <c r="O13" s="129"/>
      <c r="P13" s="129"/>
      <c r="Q13" s="137"/>
      <c r="R13" s="129"/>
      <c r="S13">
        <v>9</v>
      </c>
      <c r="T13" s="12" t="str">
        <f>+Dashboard!C16</f>
        <v>Face Shields</v>
      </c>
      <c r="U13" s="42" t="str">
        <f>+Dashboard!D16</f>
        <v>each</v>
      </c>
      <c r="V13" s="122">
        <f>IF(VLOOKUP(_xlfn.CONCAT(V$1,$T13),BurnRate!$G$3:$P$1102,9,FALSE)="NR",0,SUM(VLOOKUP(_xlfn.CONCAT(V$1,$T13),BurnRate!$G$3:$P$1102,10,FALSE)/90))</f>
        <v>0</v>
      </c>
      <c r="W13" s="122">
        <f>IF(VLOOKUP(_xlfn.CONCAT(W$1,$T13),BurnRate!$G$3:$P$1102,9,FALSE)="NR",0,SUM(VLOOKUP(_xlfn.CONCAT(W$1,$T13),BurnRate!$G$3:$P$1102,10,FALSE)/90))</f>
        <v>0</v>
      </c>
      <c r="X13" s="122">
        <f>IF(VLOOKUP(_xlfn.CONCAT(X$1,$T13),BurnRate!$G$3:$P$1102,9,FALSE)="NR",0,SUM(VLOOKUP(_xlfn.CONCAT(X$1,$T13),BurnRate!$G$3:$P$1102,10,FALSE)/90))</f>
        <v>0</v>
      </c>
      <c r="Y13" s="122">
        <f>IF(VLOOKUP(_xlfn.CONCAT(Y$1,$T13),BurnRate!$G$3:$P$1102,9,FALSE)="NR",0,SUM(VLOOKUP(_xlfn.CONCAT(Y$1,$T13),BurnRate!$G$3:$P$1102,10,FALSE)/90))</f>
        <v>0</v>
      </c>
      <c r="Z13" s="122">
        <f>IF(VLOOKUP(_xlfn.CONCAT(Z$1,$T13),BurnRate!$G$3:$P$1102,9,FALSE)="NR",0,SUM(VLOOKUP(_xlfn.CONCAT(Z$1,$T13),BurnRate!$G$3:$P$1102,10,FALSE)/90))</f>
        <v>0</v>
      </c>
      <c r="AA13" s="122">
        <f>IF(VLOOKUP(_xlfn.CONCAT(AA$1,$T13),BurnRate!$G$3:$P$1102,9,FALSE)="NR",0,SUM(VLOOKUP(_xlfn.CONCAT(AA$1,$T13),BurnRate!$G$3:$P$1102,10,FALSE)/90))</f>
        <v>0</v>
      </c>
      <c r="AB13" s="122">
        <f>IF(VLOOKUP(_xlfn.CONCAT(AB$1,$T13),BurnRate!$G$3:$P$1102,9,FALSE)="NR",0,SUM(VLOOKUP(_xlfn.CONCAT(AB$1,$T13),BurnRate!$G$3:$P$1102,10,FALSE)/90))</f>
        <v>0</v>
      </c>
      <c r="AC13" s="122">
        <f>IF(VLOOKUP(_xlfn.CONCAT(AC$1,$T13),BurnRate!$G$3:$P$1102,9,FALSE)="NR",0,SUM(VLOOKUP(_xlfn.CONCAT(AC$1,$T13),BurnRate!$G$3:$P$1102,10,FALSE)/90))</f>
        <v>0</v>
      </c>
      <c r="AD13" s="122">
        <f>IF(VLOOKUP(_xlfn.CONCAT(AD$1,$T13),BurnRate!$G$3:$P$1102,9,FALSE)="NR",0,SUM(VLOOKUP(_xlfn.CONCAT(AD$1,$T13),BurnRate!$G$3:$P$1102,10,FALSE)/90))</f>
        <v>0</v>
      </c>
      <c r="AE13" s="122">
        <f>IF(VLOOKUP(_xlfn.CONCAT(AE$1,$T13),BurnRate!$G$3:$P$1102,9,FALSE)="NR",0,SUM(VLOOKUP(_xlfn.CONCAT(AE$1,$T13),BurnRate!$G$3:$P$1102,10,FALSE)/90))</f>
        <v>0</v>
      </c>
      <c r="AF13" s="122">
        <f>IF(VLOOKUP(_xlfn.CONCAT(AF$1,$T13),BurnRate!$G$3:$P$1102,9,FALSE)="NR",0,SUM(VLOOKUP(_xlfn.CONCAT(AF$1,$T13),BurnRate!$G$3:$P$1102,10,FALSE)/90))</f>
        <v>0</v>
      </c>
      <c r="AG13" s="132"/>
      <c r="AH13" s="118">
        <f t="shared" si="4"/>
        <v>0</v>
      </c>
      <c r="AJ13" s="118">
        <f t="shared" si="2"/>
        <v>0</v>
      </c>
    </row>
    <row r="14" spans="1:37">
      <c r="C14" s="2">
        <v>10</v>
      </c>
      <c r="D14" t="str">
        <f>+Dashboard!C17</f>
        <v>Goggles</v>
      </c>
      <c r="E14" t="str">
        <f>+Dashboard!D17</f>
        <v>each</v>
      </c>
      <c r="F14" s="122">
        <f t="shared" si="3"/>
        <v>80</v>
      </c>
      <c r="G14" s="129">
        <f t="shared" si="0"/>
        <v>240</v>
      </c>
      <c r="H14" s="129">
        <f>SUM(Dashboard!E17,Dashboard!G17,Dashboard!I17,Dashboard!K17,Dashboard!M17,Dashboard!O17,Dashboard!Q17,Dashboard!S17,Dashboard!U17,Dashboard!W17,Dashboard!Y17)</f>
        <v>13133</v>
      </c>
      <c r="I14" s="129">
        <f>+Dashboard!E122</f>
        <v>0</v>
      </c>
      <c r="J14" s="129">
        <f t="shared" si="5"/>
        <v>0</v>
      </c>
      <c r="K14" s="129"/>
      <c r="L14" s="129"/>
      <c r="M14" s="320">
        <v>3.29</v>
      </c>
      <c r="N14" s="129">
        <f t="shared" si="6"/>
        <v>0</v>
      </c>
      <c r="O14" s="129"/>
      <c r="P14" s="129"/>
      <c r="Q14" s="137"/>
      <c r="R14" s="129"/>
      <c r="S14">
        <v>10</v>
      </c>
      <c r="T14" s="12" t="str">
        <f>+Dashboard!C17</f>
        <v>Goggles</v>
      </c>
      <c r="U14" s="42" t="str">
        <f>+Dashboard!D17</f>
        <v>each</v>
      </c>
      <c r="V14" s="122">
        <f>IF(VLOOKUP(_xlfn.CONCAT(V$1,$T14),BurnRate!$G$3:$P$1102,9,FALSE)="NR",0,SUM(VLOOKUP(_xlfn.CONCAT(V$1,$T14),BurnRate!$G$3:$P$1102,10,FALSE)/90))</f>
        <v>0</v>
      </c>
      <c r="W14" s="122">
        <f>IF(VLOOKUP(_xlfn.CONCAT(W$1,$T14),BurnRate!$G$3:$P$1102,9,FALSE)="NR",0,SUM(VLOOKUP(_xlfn.CONCAT(W$1,$T14),BurnRate!$G$3:$P$1102,10,FALSE)/90))</f>
        <v>50</v>
      </c>
      <c r="X14" s="122">
        <f>IF(VLOOKUP(_xlfn.CONCAT(X$1,$T14),BurnRate!$G$3:$P$1102,9,FALSE)="NR",0,SUM(VLOOKUP(_xlfn.CONCAT(X$1,$T14),BurnRate!$G$3:$P$1102,10,FALSE)/90))</f>
        <v>30</v>
      </c>
      <c r="Y14" s="122">
        <f>IF(VLOOKUP(_xlfn.CONCAT(Y$1,$T14),BurnRate!$G$3:$P$1102,9,FALSE)="NR",0,SUM(VLOOKUP(_xlfn.CONCAT(Y$1,$T14),BurnRate!$G$3:$P$1102,10,FALSE)/90))</f>
        <v>0</v>
      </c>
      <c r="Z14" s="122">
        <f>IF(VLOOKUP(_xlfn.CONCAT(Z$1,$T14),BurnRate!$G$3:$P$1102,9,FALSE)="NR",0,SUM(VLOOKUP(_xlfn.CONCAT(Z$1,$T14),BurnRate!$G$3:$P$1102,10,FALSE)/90))</f>
        <v>0</v>
      </c>
      <c r="AA14" s="122">
        <f>IF(VLOOKUP(_xlfn.CONCAT(AA$1,$T14),BurnRate!$G$3:$P$1102,9,FALSE)="NR",0,SUM(VLOOKUP(_xlfn.CONCAT(AA$1,$T14),BurnRate!$G$3:$P$1102,10,FALSE)/90))</f>
        <v>0</v>
      </c>
      <c r="AB14" s="122">
        <f>IF(VLOOKUP(_xlfn.CONCAT(AB$1,$T14),BurnRate!$G$3:$P$1102,9,FALSE)="NR",0,SUM(VLOOKUP(_xlfn.CONCAT(AB$1,$T14),BurnRate!$G$3:$P$1102,10,FALSE)/90))</f>
        <v>0</v>
      </c>
      <c r="AC14" s="122">
        <f>IF(VLOOKUP(_xlfn.CONCAT(AC$1,$T14),BurnRate!$G$3:$P$1102,9,FALSE)="NR",0,SUM(VLOOKUP(_xlfn.CONCAT(AC$1,$T14),BurnRate!$G$3:$P$1102,10,FALSE)/90))</f>
        <v>0</v>
      </c>
      <c r="AD14" s="122">
        <f>IF(VLOOKUP(_xlfn.CONCAT(AD$1,$T14),BurnRate!$G$3:$P$1102,9,FALSE)="NR",0,SUM(VLOOKUP(_xlfn.CONCAT(AD$1,$T14),BurnRate!$G$3:$P$1102,10,FALSE)/90))</f>
        <v>0</v>
      </c>
      <c r="AE14" s="122">
        <f>IF(VLOOKUP(_xlfn.CONCAT(AE$1,$T14),BurnRate!$G$3:$P$1102,9,FALSE)="NR",0,SUM(VLOOKUP(_xlfn.CONCAT(AE$1,$T14),BurnRate!$G$3:$P$1102,10,FALSE)/90))</f>
        <v>0</v>
      </c>
      <c r="AF14" s="122">
        <f>IF(VLOOKUP(_xlfn.CONCAT(AF$1,$T14),BurnRate!$G$3:$P$1102,9,FALSE)="NR",0,SUM(VLOOKUP(_xlfn.CONCAT(AF$1,$T14),BurnRate!$G$3:$P$1102,10,FALSE)/90))</f>
        <v>0</v>
      </c>
      <c r="AG14" s="132"/>
      <c r="AH14" s="118">
        <f t="shared" si="4"/>
        <v>80</v>
      </c>
      <c r="AJ14" s="118">
        <f t="shared" si="2"/>
        <v>240</v>
      </c>
    </row>
    <row r="15" spans="1:37">
      <c r="C15" s="2">
        <v>11</v>
      </c>
      <c r="D15" t="str">
        <f>+Dashboard!C18</f>
        <v>Disinfectant Wipes</v>
      </c>
      <c r="E15" t="str">
        <f>+Dashboard!D18</f>
        <v>tube</v>
      </c>
      <c r="F15" s="122">
        <f t="shared" si="3"/>
        <v>395.99999999999989</v>
      </c>
      <c r="G15" s="129">
        <f t="shared" si="0"/>
        <v>1187.9999999999995</v>
      </c>
      <c r="H15" s="129">
        <f>SUM(Dashboard!E18,Dashboard!G18,Dashboard!I18,Dashboard!K18,Dashboard!M18,Dashboard!O18,Dashboard!Q18,Dashboard!S18,Dashboard!U18,Dashboard!W18,Dashboard!Y18)</f>
        <v>18298</v>
      </c>
      <c r="I15" s="129">
        <f>+Dashboard!E123</f>
        <v>74206</v>
      </c>
      <c r="J15" s="129">
        <f t="shared" si="5"/>
        <v>0</v>
      </c>
      <c r="K15" s="129"/>
      <c r="L15" s="129"/>
      <c r="M15" s="320">
        <v>3.59</v>
      </c>
      <c r="N15" s="129">
        <f t="shared" si="6"/>
        <v>0</v>
      </c>
      <c r="O15" s="129"/>
      <c r="P15" s="129"/>
      <c r="Q15" s="137"/>
      <c r="R15" s="129"/>
      <c r="S15">
        <v>11</v>
      </c>
      <c r="T15" s="12" t="str">
        <f>+Dashboard!C18</f>
        <v>Disinfectant Wipes</v>
      </c>
      <c r="U15" s="42" t="str">
        <f>+Dashboard!D18</f>
        <v>tube</v>
      </c>
      <c r="V15" s="122">
        <f>IF(VLOOKUP(_xlfn.CONCAT(V$1,$T15),BurnRate!$G$3:$P$1102,9,FALSE)="NR",0,SUM(VLOOKUP(_xlfn.CONCAT(V$1,$T15),BurnRate!$G$3:$P$1102,10,FALSE)/90))</f>
        <v>216.66666666666666</v>
      </c>
      <c r="W15" s="122">
        <f>IF(VLOOKUP(_xlfn.CONCAT(W$1,$T15),BurnRate!$G$3:$P$1102,9,FALSE)="NR",0,SUM(VLOOKUP(_xlfn.CONCAT(W$1,$T15),BurnRate!$G$3:$P$1102,10,FALSE)/90))</f>
        <v>36.666666666666664</v>
      </c>
      <c r="X15" s="122">
        <f>IF(VLOOKUP(_xlfn.CONCAT(X$1,$T15),BurnRate!$G$3:$P$1102,9,FALSE)="NR",0,SUM(VLOOKUP(_xlfn.CONCAT(X$1,$T15),BurnRate!$G$3:$P$1102,10,FALSE)/90))</f>
        <v>1</v>
      </c>
      <c r="Y15" s="122">
        <f>IF(VLOOKUP(_xlfn.CONCAT(Y$1,$T15),BurnRate!$G$3:$P$1102,9,FALSE)="NR",0,SUM(VLOOKUP(_xlfn.CONCAT(Y$1,$T15),BurnRate!$G$3:$P$1102,10,FALSE)/90))</f>
        <v>13.333333333333334</v>
      </c>
      <c r="Z15" s="122">
        <f>IF(VLOOKUP(_xlfn.CONCAT(Z$1,$T15),BurnRate!$G$3:$P$1102,9,FALSE)="NR",0,SUM(VLOOKUP(_xlfn.CONCAT(Z$1,$T15),BurnRate!$G$3:$P$1102,10,FALSE)/90))</f>
        <v>13.333333333333334</v>
      </c>
      <c r="AA15" s="122">
        <f>IF(VLOOKUP(_xlfn.CONCAT(AA$1,$T15),BurnRate!$G$3:$P$1102,9,FALSE)="NR",0,SUM(VLOOKUP(_xlfn.CONCAT(AA$1,$T15),BurnRate!$G$3:$P$1102,10,FALSE)/90))</f>
        <v>36.666666666666664</v>
      </c>
      <c r="AB15" s="122">
        <f>IF(VLOOKUP(_xlfn.CONCAT(AB$1,$T15),BurnRate!$G$3:$P$1102,9,FALSE)="NR",0,SUM(VLOOKUP(_xlfn.CONCAT(AB$1,$T15),BurnRate!$G$3:$P$1102,10,FALSE)/90))</f>
        <v>18.333333333333332</v>
      </c>
      <c r="AC15" s="122">
        <f>IF(VLOOKUP(_xlfn.CONCAT(AC$1,$T15),BurnRate!$G$3:$P$1102,9,FALSE)="NR",0,SUM(VLOOKUP(_xlfn.CONCAT(AC$1,$T15),BurnRate!$G$3:$P$1102,10,FALSE)/90))</f>
        <v>10</v>
      </c>
      <c r="AD15" s="122">
        <f>IF(VLOOKUP(_xlfn.CONCAT(AD$1,$T15),BurnRate!$G$3:$P$1102,9,FALSE)="NR",0,SUM(VLOOKUP(_xlfn.CONCAT(AD$1,$T15),BurnRate!$G$3:$P$1102,10,FALSE)/90))</f>
        <v>23.333333333333332</v>
      </c>
      <c r="AE15" s="122">
        <f>IF(VLOOKUP(_xlfn.CONCAT(AE$1,$T15),BurnRate!$G$3:$P$1102,9,FALSE)="NR",0,SUM(VLOOKUP(_xlfn.CONCAT(AE$1,$T15),BurnRate!$G$3:$P$1102,10,FALSE)/90))</f>
        <v>13.333333333333334</v>
      </c>
      <c r="AF15" s="122">
        <f>IF(VLOOKUP(_xlfn.CONCAT(AF$1,$T15),BurnRate!$G$3:$P$1102,9,FALSE)="NR",0,SUM(VLOOKUP(_xlfn.CONCAT(AF$1,$T15),BurnRate!$G$3:$P$1102,10,FALSE)/90))</f>
        <v>13.333333333333334</v>
      </c>
      <c r="AG15" s="132"/>
      <c r="AH15" s="118">
        <f t="shared" si="4"/>
        <v>395.99999999999989</v>
      </c>
      <c r="AJ15" s="118">
        <f t="shared" si="2"/>
        <v>1187.9999999999995</v>
      </c>
    </row>
    <row r="16" spans="1:37">
      <c r="C16" s="2">
        <v>12</v>
      </c>
      <c r="D16" t="str">
        <f>+Dashboard!C19</f>
        <v>Antimicrobial (PAWS) Wipes</v>
      </c>
      <c r="E16" t="str">
        <f>+Dashboard!D19</f>
        <v>packets</v>
      </c>
      <c r="F16" s="122">
        <f t="shared" si="3"/>
        <v>853.33333333333326</v>
      </c>
      <c r="G16" s="129">
        <f t="shared" si="0"/>
        <v>2560</v>
      </c>
      <c r="H16" s="129">
        <f>SUM(Dashboard!E19,Dashboard!G19,Dashboard!I19,Dashboard!K19,Dashboard!M19,Dashboard!O19,Dashboard!Q19,Dashboard!S19,Dashboard!U19,Dashboard!W19,Dashboard!Y19)</f>
        <v>101676</v>
      </c>
      <c r="I16" s="129">
        <f>+Dashboard!E124</f>
        <v>22000</v>
      </c>
      <c r="J16" s="129">
        <f t="shared" si="5"/>
        <v>0</v>
      </c>
      <c r="K16" s="129"/>
      <c r="L16" s="129"/>
      <c r="M16" s="320">
        <v>0.09</v>
      </c>
      <c r="N16" s="129">
        <f t="shared" si="6"/>
        <v>0</v>
      </c>
      <c r="O16" s="129"/>
      <c r="P16" s="129"/>
      <c r="Q16" s="137"/>
      <c r="R16" s="129"/>
      <c r="S16">
        <v>12</v>
      </c>
      <c r="T16" s="12" t="str">
        <f>+Dashboard!C19</f>
        <v>Antimicrobial (PAWS) Wipes</v>
      </c>
      <c r="U16" s="42" t="str">
        <f>+Dashboard!D19</f>
        <v>packets</v>
      </c>
      <c r="V16" s="122">
        <f>IF(VLOOKUP(_xlfn.CONCAT(V$1,$T16),BurnRate!$G$3:$P$1102,9,FALSE)="NR",0,SUM(VLOOKUP(_xlfn.CONCAT(V$1,$T16),BurnRate!$G$3:$P$1102,10,FALSE)/90))</f>
        <v>216.66666666666666</v>
      </c>
      <c r="W16" s="122">
        <f>IF(VLOOKUP(_xlfn.CONCAT(W$1,$T16),BurnRate!$G$3:$P$1102,9,FALSE)="NR",0,SUM(VLOOKUP(_xlfn.CONCAT(W$1,$T16),BurnRate!$G$3:$P$1102,10,FALSE)/90))</f>
        <v>36.666666666666664</v>
      </c>
      <c r="X16" s="122">
        <f>IF(VLOOKUP(_xlfn.CONCAT(X$1,$T16),BurnRate!$G$3:$P$1102,9,FALSE)="NR",0,SUM(VLOOKUP(_xlfn.CONCAT(X$1,$T16),BurnRate!$G$3:$P$1102,10,FALSE)/90))</f>
        <v>600</v>
      </c>
      <c r="Y16" s="122">
        <f>IF(VLOOKUP(_xlfn.CONCAT(Y$1,$T16),BurnRate!$G$3:$P$1102,9,FALSE)="NR",0,SUM(VLOOKUP(_xlfn.CONCAT(Y$1,$T16),BurnRate!$G$3:$P$1102,10,FALSE)/90))</f>
        <v>0</v>
      </c>
      <c r="Z16" s="122">
        <f>IF(VLOOKUP(_xlfn.CONCAT(Z$1,$T16),BurnRate!$G$3:$P$1102,9,FALSE)="NR",0,SUM(VLOOKUP(_xlfn.CONCAT(Z$1,$T16),BurnRate!$G$3:$P$1102,10,FALSE)/90))</f>
        <v>0</v>
      </c>
      <c r="AA16" s="122">
        <f>IF(VLOOKUP(_xlfn.CONCAT(AA$1,$T16),BurnRate!$G$3:$P$1102,9,FALSE)="NR",0,SUM(VLOOKUP(_xlfn.CONCAT(AA$1,$T16),BurnRate!$G$3:$P$1102,10,FALSE)/90))</f>
        <v>0</v>
      </c>
      <c r="AB16" s="122">
        <f>IF(VLOOKUP(_xlfn.CONCAT(AB$1,$T16),BurnRate!$G$3:$P$1102,9,FALSE)="NR",0,SUM(VLOOKUP(_xlfn.CONCAT(AB$1,$T16),BurnRate!$G$3:$P$1102,10,FALSE)/90))</f>
        <v>0</v>
      </c>
      <c r="AC16" s="122">
        <f>IF(VLOOKUP(_xlfn.CONCAT(AC$1,$T16),BurnRate!$G$3:$P$1102,9,FALSE)="NR",0,SUM(VLOOKUP(_xlfn.CONCAT(AC$1,$T16),BurnRate!$G$3:$P$1102,10,FALSE)/90))</f>
        <v>0</v>
      </c>
      <c r="AD16" s="122">
        <f>IF(VLOOKUP(_xlfn.CONCAT(AD$1,$T16),BurnRate!$G$3:$P$1102,9,FALSE)="NR",0,SUM(VLOOKUP(_xlfn.CONCAT(AD$1,$T16),BurnRate!$G$3:$P$1102,10,FALSE)/90))</f>
        <v>0</v>
      </c>
      <c r="AE16" s="122">
        <f>IF(VLOOKUP(_xlfn.CONCAT(AE$1,$T16),BurnRate!$G$3:$P$1102,9,FALSE)="NR",0,SUM(VLOOKUP(_xlfn.CONCAT(AE$1,$T16),BurnRate!$G$3:$P$1102,10,FALSE)/90))</f>
        <v>0</v>
      </c>
      <c r="AF16" s="122">
        <f>IF(VLOOKUP(_xlfn.CONCAT(AF$1,$T16),BurnRate!$G$3:$P$1102,9,FALSE)="NR",0,SUM(VLOOKUP(_xlfn.CONCAT(AF$1,$T16),BurnRate!$G$3:$P$1102,10,FALSE)/90))</f>
        <v>0</v>
      </c>
      <c r="AG16" s="132"/>
      <c r="AH16" s="118">
        <f t="shared" si="4"/>
        <v>853.33333333333326</v>
      </c>
      <c r="AJ16" s="118">
        <f t="shared" si="2"/>
        <v>2560</v>
      </c>
    </row>
    <row r="17" spans="2:36">
      <c r="C17" s="2">
        <v>13</v>
      </c>
      <c r="D17" t="str">
        <f>+Dashboard!C20</f>
        <v>Hand Sanitizer (12oz or equiv)</v>
      </c>
      <c r="E17" t="str">
        <f>+Dashboard!D20</f>
        <v>bottle</v>
      </c>
      <c r="F17" s="122">
        <f t="shared" si="3"/>
        <v>508.61111111111109</v>
      </c>
      <c r="G17" s="129">
        <f t="shared" si="0"/>
        <v>1525.8333333333333</v>
      </c>
      <c r="H17" s="129">
        <f>SUM(Dashboard!E20,Dashboard!G20,Dashboard!I20,Dashboard!K20,Dashboard!M20,Dashboard!O20,Dashboard!Q20,Dashboard!S20,Dashboard!U20,Dashboard!W20,Dashboard!Y20)</f>
        <v>21795.4</v>
      </c>
      <c r="I17" s="129">
        <f>+Dashboard!E125</f>
        <v>1173.3333333333333</v>
      </c>
      <c r="J17" s="129">
        <f t="shared" si="5"/>
        <v>0</v>
      </c>
      <c r="K17" s="129"/>
      <c r="L17" s="129"/>
      <c r="M17" s="320">
        <v>4.63</v>
      </c>
      <c r="N17" s="129">
        <f t="shared" si="6"/>
        <v>0</v>
      </c>
      <c r="O17" s="129"/>
      <c r="P17" s="129"/>
      <c r="Q17" s="137"/>
      <c r="R17" s="129"/>
      <c r="S17">
        <v>13</v>
      </c>
      <c r="T17" s="12" t="str">
        <f>+Dashboard!C20</f>
        <v>Hand Sanitizer (12oz or equiv)</v>
      </c>
      <c r="U17" s="42" t="str">
        <f>+Dashboard!D20</f>
        <v>bottle</v>
      </c>
      <c r="V17" s="122">
        <f>IF(VLOOKUP(_xlfn.CONCAT(V$1,$T17),BurnRate!$G$3:$P$1102,9,FALSE)="NR",0,SUM(VLOOKUP(_xlfn.CONCAT(V$1,$T17),BurnRate!$G$3:$P$1102,10,FALSE)/90))</f>
        <v>288.88888888888891</v>
      </c>
      <c r="W17" s="122">
        <f>IF(VLOOKUP(_xlfn.CONCAT(W$1,$T17),BurnRate!$G$3:$P$1102,9,FALSE)="NR",0,SUM(VLOOKUP(_xlfn.CONCAT(W$1,$T17),BurnRate!$G$3:$P$1102,10,FALSE)/90))</f>
        <v>48.888888888888886</v>
      </c>
      <c r="X17" s="122">
        <f>IF(VLOOKUP(_xlfn.CONCAT(X$1,$T17),BurnRate!$G$3:$P$1102,9,FALSE)="NR",0,SUM(VLOOKUP(_xlfn.CONCAT(X$1,$T17),BurnRate!$G$3:$P$1102,10,FALSE)/90))</f>
        <v>17.5</v>
      </c>
      <c r="Y17" s="122">
        <f>IF(VLOOKUP(_xlfn.CONCAT(Y$1,$T17),BurnRate!$G$3:$P$1102,9,FALSE)="NR",0,SUM(VLOOKUP(_xlfn.CONCAT(Y$1,$T17),BurnRate!$G$3:$P$1102,10,FALSE)/90))</f>
        <v>0</v>
      </c>
      <c r="Z17" s="122">
        <f>IF(VLOOKUP(_xlfn.CONCAT(Z$1,$T17),BurnRate!$G$3:$P$1102,9,FALSE)="NR",0,SUM(VLOOKUP(_xlfn.CONCAT(Z$1,$T17),BurnRate!$G$3:$P$1102,10,FALSE)/90))</f>
        <v>17.777777777777779</v>
      </c>
      <c r="AA17" s="122">
        <f>IF(VLOOKUP(_xlfn.CONCAT(AA$1,$T17),BurnRate!$G$3:$P$1102,9,FALSE)="NR",0,SUM(VLOOKUP(_xlfn.CONCAT(AA$1,$T17),BurnRate!$G$3:$P$1102,10,FALSE)/90))</f>
        <v>48.888888888888886</v>
      </c>
      <c r="AB17" s="122">
        <f>IF(VLOOKUP(_xlfn.CONCAT(AB$1,$T17),BurnRate!$G$3:$P$1102,9,FALSE)="NR",0,SUM(VLOOKUP(_xlfn.CONCAT(AB$1,$T17),BurnRate!$G$3:$P$1102,10,FALSE)/90))</f>
        <v>24.444444444444443</v>
      </c>
      <c r="AC17" s="122">
        <f>IF(VLOOKUP(_xlfn.CONCAT(AC$1,$T17),BurnRate!$G$3:$P$1102,9,FALSE)="NR",0,SUM(VLOOKUP(_xlfn.CONCAT(AC$1,$T17),BurnRate!$G$3:$P$1102,10,FALSE)/90))</f>
        <v>13.333333333333334</v>
      </c>
      <c r="AD17" s="122">
        <f>IF(VLOOKUP(_xlfn.CONCAT(AD$1,$T17),BurnRate!$G$3:$P$1102,9,FALSE)="NR",0,SUM(VLOOKUP(_xlfn.CONCAT(AD$1,$T17),BurnRate!$G$3:$P$1102,10,FALSE)/90))</f>
        <v>31.111111111111111</v>
      </c>
      <c r="AE17" s="122">
        <f>IF(VLOOKUP(_xlfn.CONCAT(AE$1,$T17),BurnRate!$G$3:$P$1102,9,FALSE)="NR",0,SUM(VLOOKUP(_xlfn.CONCAT(AE$1,$T17),BurnRate!$G$3:$P$1102,10,FALSE)/90))</f>
        <v>0</v>
      </c>
      <c r="AF17" s="122">
        <f>IF(VLOOKUP(_xlfn.CONCAT(AF$1,$T17),BurnRate!$G$3:$P$1102,9,FALSE)="NR",0,SUM(VLOOKUP(_xlfn.CONCAT(AF$1,$T17),BurnRate!$G$3:$P$1102,10,FALSE)/90))</f>
        <v>17.777777777777779</v>
      </c>
      <c r="AG17" s="132"/>
      <c r="AH17" s="118">
        <f t="shared" si="4"/>
        <v>508.61111111111109</v>
      </c>
      <c r="AJ17" s="118">
        <f t="shared" si="2"/>
        <v>1525.8333333333333</v>
      </c>
    </row>
    <row r="18" spans="2:36">
      <c r="C18" s="2">
        <v>14</v>
      </c>
      <c r="D18" t="str">
        <f>+Dashboard!C21</f>
        <v>Purell (1200 ml stand refill)</v>
      </c>
      <c r="E18" t="str">
        <f>+Dashboard!D21</f>
        <v>box</v>
      </c>
      <c r="F18" s="122">
        <f t="shared" si="3"/>
        <v>60.755555555555546</v>
      </c>
      <c r="G18" s="129">
        <f t="shared" si="0"/>
        <v>182.26666666666665</v>
      </c>
      <c r="H18" s="129">
        <f>SUM(Dashboard!E21,Dashboard!G21,Dashboard!I21,Dashboard!K21,Dashboard!M21,Dashboard!O21,Dashboard!Q21,Dashboard!S21,Dashboard!U21,Dashboard!W21,Dashboard!Y21)</f>
        <v>52</v>
      </c>
      <c r="I18" s="129">
        <f>+Dashboard!E126</f>
        <v>2976</v>
      </c>
      <c r="J18" s="129">
        <f t="shared" si="5"/>
        <v>0</v>
      </c>
      <c r="K18" s="129"/>
      <c r="L18" s="129"/>
      <c r="M18" s="320">
        <v>77.88</v>
      </c>
      <c r="N18" s="129">
        <f t="shared" si="6"/>
        <v>0</v>
      </c>
      <c r="O18" s="129"/>
      <c r="P18" s="129"/>
      <c r="Q18" s="137"/>
      <c r="R18" s="129"/>
      <c r="S18">
        <v>14</v>
      </c>
      <c r="T18" s="12" t="str">
        <f>+Dashboard!C21</f>
        <v>Purell (1200 ml stand refill)</v>
      </c>
      <c r="U18" s="42" t="str">
        <f>+Dashboard!D21</f>
        <v>box</v>
      </c>
      <c r="V18" s="122">
        <f>IF(VLOOKUP(_xlfn.CONCAT(V$1,$T18),BurnRate!$G$3:$P$1102,9,FALSE)="NR",0,SUM(VLOOKUP(_xlfn.CONCAT(V$1,$T18),BurnRate!$G$3:$P$1102,10,FALSE)/90))</f>
        <v>41.666666666666664</v>
      </c>
      <c r="W18" s="122">
        <f>IF(VLOOKUP(_xlfn.CONCAT(W$1,$T18),BurnRate!$G$3:$P$1102,9,FALSE)="NR",0,SUM(VLOOKUP(_xlfn.CONCAT(W$1,$T18),BurnRate!$G$3:$P$1102,10,FALSE)/90))</f>
        <v>6.1111111111111107</v>
      </c>
      <c r="X18" s="122">
        <f>IF(VLOOKUP(_xlfn.CONCAT(X$1,$T18),BurnRate!$G$3:$P$1102,9,FALSE)="NR",0,SUM(VLOOKUP(_xlfn.CONCAT(X$1,$T18),BurnRate!$G$3:$P$1102,10,FALSE)/90))</f>
        <v>0</v>
      </c>
      <c r="Y18" s="122">
        <f>IF(VLOOKUP(_xlfn.CONCAT(Y$1,$T18),BurnRate!$G$3:$P$1102,9,FALSE)="NR",0,SUM(VLOOKUP(_xlfn.CONCAT(Y$1,$T18),BurnRate!$G$3:$P$1102,10,FALSE)/90))</f>
        <v>2.6</v>
      </c>
      <c r="Z18" s="122">
        <f>IF(VLOOKUP(_xlfn.CONCAT(Z$1,$T18),BurnRate!$G$3:$P$1102,9,FALSE)="NR",0,SUM(VLOOKUP(_xlfn.CONCAT(Z$1,$T18),BurnRate!$G$3:$P$1102,10,FALSE)/90))</f>
        <v>0</v>
      </c>
      <c r="AA18" s="122">
        <f>IF(VLOOKUP(_xlfn.CONCAT(AA$1,$T18),BurnRate!$G$3:$P$1102,9,FALSE)="NR",0,SUM(VLOOKUP(_xlfn.CONCAT(AA$1,$T18),BurnRate!$G$3:$P$1102,10,FALSE)/90))</f>
        <v>6.1111111111111107</v>
      </c>
      <c r="AB18" s="122">
        <f>IF(VLOOKUP(_xlfn.CONCAT(AB$1,$T18),BurnRate!$G$3:$P$1102,9,FALSE)="NR",0,SUM(VLOOKUP(_xlfn.CONCAT(AB$1,$T18),BurnRate!$G$3:$P$1102,10,FALSE)/90))</f>
        <v>0</v>
      </c>
      <c r="AC18" s="122">
        <f>IF(VLOOKUP(_xlfn.CONCAT(AC$1,$T18),BurnRate!$G$3:$P$1102,9,FALSE)="NR",0,SUM(VLOOKUP(_xlfn.CONCAT(AC$1,$T18),BurnRate!$G$3:$P$1102,10,FALSE)/90))</f>
        <v>1.6666666666666667</v>
      </c>
      <c r="AD18" s="122">
        <f>IF(VLOOKUP(_xlfn.CONCAT(AD$1,$T18),BurnRate!$G$3:$P$1102,9,FALSE)="NR",0,SUM(VLOOKUP(_xlfn.CONCAT(AD$1,$T18),BurnRate!$G$3:$P$1102,10,FALSE)/90))</f>
        <v>0</v>
      </c>
      <c r="AE18" s="122">
        <f>IF(VLOOKUP(_xlfn.CONCAT(AE$1,$T18),BurnRate!$G$3:$P$1102,9,FALSE)="NR",0,SUM(VLOOKUP(_xlfn.CONCAT(AE$1,$T18),BurnRate!$G$3:$P$1102,10,FALSE)/90))</f>
        <v>2.6</v>
      </c>
      <c r="AF18" s="122">
        <f>IF(VLOOKUP(_xlfn.CONCAT(AF$1,$T18),BurnRate!$G$3:$P$1102,9,FALSE)="NR",0,SUM(VLOOKUP(_xlfn.CONCAT(AF$1,$T18),BurnRate!$G$3:$P$1102,10,FALSE)/90))</f>
        <v>0</v>
      </c>
      <c r="AG18" s="132"/>
      <c r="AH18" s="118">
        <f t="shared" si="4"/>
        <v>60.755555555555546</v>
      </c>
      <c r="AJ18" s="118">
        <f t="shared" si="2"/>
        <v>182.26666666666665</v>
      </c>
    </row>
    <row r="19" spans="2:36">
      <c r="C19" s="2">
        <v>15</v>
      </c>
      <c r="D19" t="str">
        <f>+Dashboard!C22</f>
        <v>Isopropyl Alcohol (16oz or equiv)</v>
      </c>
      <c r="E19" t="str">
        <f>+Dashboard!D22</f>
        <v>bottle</v>
      </c>
      <c r="F19" s="122">
        <f t="shared" si="3"/>
        <v>506.66666666666663</v>
      </c>
      <c r="G19" s="129">
        <f t="shared" si="0"/>
        <v>1520</v>
      </c>
      <c r="H19" s="129">
        <f>SUM(Dashboard!E22,Dashboard!G22,Dashboard!I22,Dashboard!K22,Dashboard!M22,Dashboard!O22,Dashboard!Q22,Dashboard!S22,Dashboard!U22,Dashboard!W22,Dashboard!Y22)</f>
        <v>31088</v>
      </c>
      <c r="I19" s="129">
        <f>+Dashboard!E127</f>
        <v>12000</v>
      </c>
      <c r="J19" s="129">
        <f t="shared" si="5"/>
        <v>0</v>
      </c>
      <c r="K19" s="129"/>
      <c r="L19" s="129"/>
      <c r="M19" s="320">
        <v>4.58</v>
      </c>
      <c r="N19" s="129">
        <f t="shared" si="6"/>
        <v>0</v>
      </c>
      <c r="O19" s="129"/>
      <c r="P19" s="129"/>
      <c r="Q19" s="137"/>
      <c r="R19" s="129"/>
      <c r="S19">
        <v>15</v>
      </c>
      <c r="T19" s="12" t="str">
        <f>+Dashboard!C22</f>
        <v>Isopropyl Alcohol (16oz or equiv)</v>
      </c>
      <c r="U19" s="42" t="str">
        <f>+Dashboard!D22</f>
        <v>bottle</v>
      </c>
      <c r="V19" s="122">
        <f>IF(VLOOKUP(_xlfn.CONCAT(V$1,$T19),BurnRate!$G$3:$P$1102,9,FALSE)="NR",0,SUM(VLOOKUP(_xlfn.CONCAT(V$1,$T19),BurnRate!$G$3:$P$1102,10,FALSE)/90))</f>
        <v>433.33333333333331</v>
      </c>
      <c r="W19" s="122">
        <f>IF(VLOOKUP(_xlfn.CONCAT(W$1,$T19),BurnRate!$G$3:$P$1102,9,FALSE)="NR",0,SUM(VLOOKUP(_xlfn.CONCAT(W$1,$T19),BurnRate!$G$3:$P$1102,10,FALSE)/90))</f>
        <v>73.333333333333329</v>
      </c>
      <c r="X19" s="122">
        <f>IF(VLOOKUP(_xlfn.CONCAT(X$1,$T19),BurnRate!$G$3:$P$1102,9,FALSE)="NR",0,SUM(VLOOKUP(_xlfn.CONCAT(X$1,$T19),BurnRate!$G$3:$P$1102,10,FALSE)/90))</f>
        <v>0</v>
      </c>
      <c r="Y19" s="122">
        <f>IF(VLOOKUP(_xlfn.CONCAT(Y$1,$T19),BurnRate!$G$3:$P$1102,9,FALSE)="NR",0,SUM(VLOOKUP(_xlfn.CONCAT(Y$1,$T19),BurnRate!$G$3:$P$1102,10,FALSE)/90))</f>
        <v>0</v>
      </c>
      <c r="Z19" s="122">
        <f>IF(VLOOKUP(_xlfn.CONCAT(Z$1,$T19),BurnRate!$G$3:$P$1102,9,FALSE)="NR",0,SUM(VLOOKUP(_xlfn.CONCAT(Z$1,$T19),BurnRate!$G$3:$P$1102,10,FALSE)/90))</f>
        <v>0</v>
      </c>
      <c r="AA19" s="122">
        <f>IF(VLOOKUP(_xlfn.CONCAT(AA$1,$T19),BurnRate!$G$3:$P$1102,9,FALSE)="NR",0,SUM(VLOOKUP(_xlfn.CONCAT(AA$1,$T19),BurnRate!$G$3:$P$1102,10,FALSE)/90))</f>
        <v>0</v>
      </c>
      <c r="AB19" s="122">
        <f>IF(VLOOKUP(_xlfn.CONCAT(AB$1,$T19),BurnRate!$G$3:$P$1102,9,FALSE)="NR",0,SUM(VLOOKUP(_xlfn.CONCAT(AB$1,$T19),BurnRate!$G$3:$P$1102,10,FALSE)/90))</f>
        <v>0</v>
      </c>
      <c r="AC19" s="122">
        <f>IF(VLOOKUP(_xlfn.CONCAT(AC$1,$T19),BurnRate!$G$3:$P$1102,9,FALSE)="NR",0,SUM(VLOOKUP(_xlfn.CONCAT(AC$1,$T19),BurnRate!$G$3:$P$1102,10,FALSE)/90))</f>
        <v>0</v>
      </c>
      <c r="AD19" s="122">
        <f>IF(VLOOKUP(_xlfn.CONCAT(AD$1,$T19),BurnRate!$G$3:$P$1102,9,FALSE)="NR",0,SUM(VLOOKUP(_xlfn.CONCAT(AD$1,$T19),BurnRate!$G$3:$P$1102,10,FALSE)/90))</f>
        <v>0</v>
      </c>
      <c r="AE19" s="122">
        <f>IF(VLOOKUP(_xlfn.CONCAT(AE$1,$T19),BurnRate!$G$3:$P$1102,9,FALSE)="NR",0,SUM(VLOOKUP(_xlfn.CONCAT(AE$1,$T19),BurnRate!$G$3:$P$1102,10,FALSE)/90))</f>
        <v>0</v>
      </c>
      <c r="AF19" s="122">
        <f>IF(VLOOKUP(_xlfn.CONCAT(AF$1,$T19),BurnRate!$G$3:$P$1102,9,FALSE)="NR",0,SUM(VLOOKUP(_xlfn.CONCAT(AF$1,$T19),BurnRate!$G$3:$P$1102,10,FALSE)/90))</f>
        <v>0</v>
      </c>
      <c r="AG19" s="132"/>
      <c r="AH19" s="118">
        <f t="shared" si="4"/>
        <v>506.66666666666663</v>
      </c>
      <c r="AJ19" s="118">
        <f t="shared" si="2"/>
        <v>1520</v>
      </c>
    </row>
    <row r="20" spans="2:36">
      <c r="C20" s="2">
        <v>16</v>
      </c>
      <c r="D20" t="str">
        <f>+Dashboard!C23</f>
        <v>Disinfecting Solution for Sprayers</v>
      </c>
      <c r="E20" t="str">
        <f>+Dashboard!D23</f>
        <v>gal</v>
      </c>
      <c r="F20" s="122">
        <f t="shared" si="3"/>
        <v>12</v>
      </c>
      <c r="G20" s="129">
        <f t="shared" si="0"/>
        <v>36</v>
      </c>
      <c r="H20" s="129">
        <f>SUM(Dashboard!E23,Dashboard!G23,Dashboard!I23,Dashboard!K23,Dashboard!M23,Dashboard!O23,Dashboard!Q23,Dashboard!S23,Dashboard!U23,Dashboard!W23,Dashboard!Y23)</f>
        <v>135</v>
      </c>
      <c r="I20" s="129">
        <f>+Dashboard!E128</f>
        <v>108</v>
      </c>
      <c r="J20" s="129">
        <f t="shared" si="5"/>
        <v>0</v>
      </c>
      <c r="K20" s="129"/>
      <c r="L20" s="129"/>
      <c r="M20" s="320">
        <v>26.31</v>
      </c>
      <c r="N20" s="129">
        <f t="shared" si="6"/>
        <v>0</v>
      </c>
      <c r="O20" s="129"/>
      <c r="P20" s="129"/>
      <c r="Q20" s="137"/>
      <c r="R20" s="129"/>
      <c r="S20">
        <v>16</v>
      </c>
      <c r="T20" s="12" t="str">
        <f>+Dashboard!C23</f>
        <v>Disinfecting Solution for Sprayers</v>
      </c>
      <c r="U20" s="42" t="str">
        <f>+Dashboard!D23</f>
        <v>gal</v>
      </c>
      <c r="V20" s="122">
        <f>IF(VLOOKUP(_xlfn.CONCAT(V$1,$T20),BurnRate!$G$3:$P$1102,9,FALSE)="NR",0,SUM(VLOOKUP(_xlfn.CONCAT(V$1,$T20),BurnRate!$G$3:$P$1102,10,FALSE)/90))</f>
        <v>12</v>
      </c>
      <c r="W20" s="122">
        <f>IF(VLOOKUP(_xlfn.CONCAT(W$1,$T20),BurnRate!$G$3:$P$1102,9,FALSE)="NR",0,SUM(VLOOKUP(_xlfn.CONCAT(W$1,$T20),BurnRate!$G$3:$P$1102,10,FALSE)/90))</f>
        <v>0</v>
      </c>
      <c r="X20" s="122">
        <f>IF(VLOOKUP(_xlfn.CONCAT(X$1,$T20),BurnRate!$G$3:$P$1102,9,FALSE)="NR",0,SUM(VLOOKUP(_xlfn.CONCAT(X$1,$T20),BurnRate!$G$3:$P$1102,10,FALSE)/90))</f>
        <v>0</v>
      </c>
      <c r="Y20" s="122">
        <f>IF(VLOOKUP(_xlfn.CONCAT(Y$1,$T20),BurnRate!$G$3:$P$1102,9,FALSE)="NR",0,SUM(VLOOKUP(_xlfn.CONCAT(Y$1,$T20),BurnRate!$G$3:$P$1102,10,FALSE)/90))</f>
        <v>0</v>
      </c>
      <c r="Z20" s="122">
        <f>IF(VLOOKUP(_xlfn.CONCAT(Z$1,$T20),BurnRate!$G$3:$P$1102,9,FALSE)="NR",0,SUM(VLOOKUP(_xlfn.CONCAT(Z$1,$T20),BurnRate!$G$3:$P$1102,10,FALSE)/90))</f>
        <v>0</v>
      </c>
      <c r="AA20" s="122">
        <f>IF(VLOOKUP(_xlfn.CONCAT(AA$1,$T20),BurnRate!$G$3:$P$1102,9,FALSE)="NR",0,SUM(VLOOKUP(_xlfn.CONCAT(AA$1,$T20),BurnRate!$G$3:$P$1102,10,FALSE)/90))</f>
        <v>0</v>
      </c>
      <c r="AB20" s="122">
        <f>IF(VLOOKUP(_xlfn.CONCAT(AB$1,$T20),BurnRate!$G$3:$P$1102,9,FALSE)="NR",0,SUM(VLOOKUP(_xlfn.CONCAT(AB$1,$T20),BurnRate!$G$3:$P$1102,10,FALSE)/90))</f>
        <v>0</v>
      </c>
      <c r="AC20" s="122">
        <f>IF(VLOOKUP(_xlfn.CONCAT(AC$1,$T20),BurnRate!$G$3:$P$1102,9,FALSE)="NR",0,SUM(VLOOKUP(_xlfn.CONCAT(AC$1,$T20),BurnRate!$G$3:$P$1102,10,FALSE)/90))</f>
        <v>0</v>
      </c>
      <c r="AD20" s="122">
        <f>IF(VLOOKUP(_xlfn.CONCAT(AD$1,$T20),BurnRate!$G$3:$P$1102,9,FALSE)="NR",0,SUM(VLOOKUP(_xlfn.CONCAT(AD$1,$T20),BurnRate!$G$3:$P$1102,10,FALSE)/90))</f>
        <v>0</v>
      </c>
      <c r="AE20" s="122">
        <f>IF(VLOOKUP(_xlfn.CONCAT(AE$1,$T20),BurnRate!$G$3:$P$1102,9,FALSE)="NR",0,SUM(VLOOKUP(_xlfn.CONCAT(AE$1,$T20),BurnRate!$G$3:$P$1102,10,FALSE)/90))</f>
        <v>0</v>
      </c>
      <c r="AF20" s="122">
        <f>IF(VLOOKUP(_xlfn.CONCAT(AF$1,$T20),BurnRate!$G$3:$P$1102,9,FALSE)="NR",0,SUM(VLOOKUP(_xlfn.CONCAT(AF$1,$T20),BurnRate!$G$3:$P$1102,10,FALSE)/90))</f>
        <v>0</v>
      </c>
      <c r="AG20" s="132"/>
      <c r="AH20" s="118">
        <f t="shared" si="4"/>
        <v>12</v>
      </c>
      <c r="AJ20" s="118">
        <f t="shared" si="2"/>
        <v>36</v>
      </c>
    </row>
    <row r="21" spans="2:36">
      <c r="C21" s="2">
        <v>17</v>
      </c>
      <c r="D21" t="str">
        <f>+Dashboard!C24</f>
        <v>Thermometers</v>
      </c>
      <c r="E21" t="str">
        <f>+Dashboard!D24</f>
        <v>each</v>
      </c>
      <c r="F21" s="122">
        <f t="shared" si="3"/>
        <v>3.3333333333333335</v>
      </c>
      <c r="G21" s="129">
        <f t="shared" si="0"/>
        <v>10</v>
      </c>
      <c r="H21" s="129">
        <f>SUM(Dashboard!E24,Dashboard!G24,Dashboard!I24,Dashboard!K24,Dashboard!M24,Dashboard!O24,Dashboard!Q24,Dashboard!S24,Dashboard!U24,Dashboard!W24,Dashboard!Y24)</f>
        <v>1231</v>
      </c>
      <c r="I21" s="129">
        <f>+Dashboard!E129</f>
        <v>3</v>
      </c>
      <c r="J21" s="129">
        <f t="shared" si="5"/>
        <v>0</v>
      </c>
      <c r="K21" s="129"/>
      <c r="L21" s="129"/>
      <c r="M21" s="320">
        <v>55.77</v>
      </c>
      <c r="N21" s="129">
        <f t="shared" si="6"/>
        <v>0</v>
      </c>
      <c r="O21" s="129"/>
      <c r="P21" s="129"/>
      <c r="Q21" s="137"/>
      <c r="R21" s="129"/>
      <c r="S21">
        <v>17</v>
      </c>
      <c r="T21" s="12" t="str">
        <f>+Dashboard!C24</f>
        <v>Thermometers</v>
      </c>
      <c r="U21" s="42" t="str">
        <f>+Dashboard!D24</f>
        <v>each</v>
      </c>
      <c r="V21" s="122">
        <f>IF(VLOOKUP(_xlfn.CONCAT(V$1,$T21),BurnRate!$G$3:$P$1102,9,FALSE)="NR",0,SUM(VLOOKUP(_xlfn.CONCAT(V$1,$T21),BurnRate!$G$3:$P$1102,10,FALSE)/90))</f>
        <v>3.3333333333333335</v>
      </c>
      <c r="W21" s="122">
        <f>IF(VLOOKUP(_xlfn.CONCAT(W$1,$T21),BurnRate!$G$3:$P$1102,9,FALSE)="NR",0,SUM(VLOOKUP(_xlfn.CONCAT(W$1,$T21),BurnRate!$G$3:$P$1102,10,FALSE)/90))</f>
        <v>0</v>
      </c>
      <c r="X21" s="122">
        <f>IF(VLOOKUP(_xlfn.CONCAT(X$1,$T21),BurnRate!$G$3:$P$1102,9,FALSE)="NR",0,SUM(VLOOKUP(_xlfn.CONCAT(X$1,$T21),BurnRate!$G$3:$P$1102,10,FALSE)/90))</f>
        <v>0</v>
      </c>
      <c r="Y21" s="122">
        <f>IF(VLOOKUP(_xlfn.CONCAT(Y$1,$T21),BurnRate!$G$3:$P$1102,9,FALSE)="NR",0,SUM(VLOOKUP(_xlfn.CONCAT(Y$1,$T21),BurnRate!$G$3:$P$1102,10,FALSE)/90))</f>
        <v>0</v>
      </c>
      <c r="Z21" s="122">
        <f>IF(VLOOKUP(_xlfn.CONCAT(Z$1,$T21),BurnRate!$G$3:$P$1102,9,FALSE)="NR",0,SUM(VLOOKUP(_xlfn.CONCAT(Z$1,$T21),BurnRate!$G$3:$P$1102,10,FALSE)/90))</f>
        <v>0</v>
      </c>
      <c r="AA21" s="122">
        <f>IF(VLOOKUP(_xlfn.CONCAT(AA$1,$T21),BurnRate!$G$3:$P$1102,9,FALSE)="NR",0,SUM(VLOOKUP(_xlfn.CONCAT(AA$1,$T21),BurnRate!$G$3:$P$1102,10,FALSE)/90))</f>
        <v>0</v>
      </c>
      <c r="AB21" s="122">
        <f>IF(VLOOKUP(_xlfn.CONCAT(AB$1,$T21),BurnRate!$G$3:$P$1102,9,FALSE)="NR",0,SUM(VLOOKUP(_xlfn.CONCAT(AB$1,$T21),BurnRate!$G$3:$P$1102,10,FALSE)/90))</f>
        <v>0</v>
      </c>
      <c r="AC21" s="122">
        <f>IF(VLOOKUP(_xlfn.CONCAT(AC$1,$T21),BurnRate!$G$3:$P$1102,9,FALSE)="NR",0,SUM(VLOOKUP(_xlfn.CONCAT(AC$1,$T21),BurnRate!$G$3:$P$1102,10,FALSE)/90))</f>
        <v>0</v>
      </c>
      <c r="AD21" s="122">
        <f>IF(VLOOKUP(_xlfn.CONCAT(AD$1,$T21),BurnRate!$G$3:$P$1102,9,FALSE)="NR",0,SUM(VLOOKUP(_xlfn.CONCAT(AD$1,$T21),BurnRate!$G$3:$P$1102,10,FALSE)/90))</f>
        <v>0</v>
      </c>
      <c r="AE21" s="122">
        <f>IF(VLOOKUP(_xlfn.CONCAT(AE$1,$T21),BurnRate!$G$3:$P$1102,9,FALSE)="NR",0,SUM(VLOOKUP(_xlfn.CONCAT(AE$1,$T21),BurnRate!$G$3:$P$1102,10,FALSE)/90))</f>
        <v>0</v>
      </c>
      <c r="AF21" s="122">
        <f>IF(VLOOKUP(_xlfn.CONCAT(AF$1,$T21),BurnRate!$G$3:$P$1102,9,FALSE)="NR",0,SUM(VLOOKUP(_xlfn.CONCAT(AF$1,$T21),BurnRate!$G$3:$P$1102,10,FALSE)/90))</f>
        <v>0</v>
      </c>
      <c r="AG21" s="132"/>
      <c r="AH21" s="118">
        <f t="shared" si="4"/>
        <v>3.3333333333333335</v>
      </c>
      <c r="AJ21" s="118">
        <f t="shared" si="2"/>
        <v>10</v>
      </c>
    </row>
    <row r="22" spans="2:36">
      <c r="C22" s="2">
        <v>18</v>
      </c>
      <c r="D22" t="str">
        <f>+Dashboard!C25</f>
        <v>Purell Stands/Dispensers</v>
      </c>
      <c r="E22" t="str">
        <f>+Dashboard!D25</f>
        <v>each</v>
      </c>
      <c r="F22" s="122">
        <f t="shared" si="3"/>
        <v>0</v>
      </c>
      <c r="G22" s="129">
        <f t="shared" si="0"/>
        <v>0</v>
      </c>
      <c r="H22" s="129">
        <f>SUM(Dashboard!E25,Dashboard!G25,Dashboard!I25,Dashboard!K25,Dashboard!M25,Dashboard!O25,Dashboard!Q25,Dashboard!S25,Dashboard!U25,Dashboard!W25,Dashboard!Y25)</f>
        <v>0</v>
      </c>
      <c r="I22" s="129">
        <f>+Dashboard!E130</f>
        <v>250</v>
      </c>
      <c r="J22" s="129">
        <f t="shared" si="5"/>
        <v>0</v>
      </c>
      <c r="K22" s="129"/>
      <c r="L22" s="129"/>
      <c r="M22" s="320">
        <v>109</v>
      </c>
      <c r="N22" s="129">
        <f t="shared" si="6"/>
        <v>0</v>
      </c>
      <c r="O22" s="129"/>
      <c r="P22" s="129"/>
      <c r="Q22" s="137"/>
      <c r="R22" s="129"/>
      <c r="S22">
        <v>18</v>
      </c>
      <c r="T22" s="12" t="str">
        <f>+Dashboard!C25</f>
        <v>Purell Stands/Dispensers</v>
      </c>
      <c r="U22" s="42" t="str">
        <f>+Dashboard!D25</f>
        <v>each</v>
      </c>
      <c r="V22" s="122">
        <f>IF(VLOOKUP(_xlfn.CONCAT(V$1,$T22),BurnRate!$G$3:$P$1102,9,FALSE)="NR",0,SUM(VLOOKUP(_xlfn.CONCAT(V$1,$T22),BurnRate!$G$3:$P$1102,10,FALSE)/90))</f>
        <v>0</v>
      </c>
      <c r="W22" s="122">
        <f>IF(VLOOKUP(_xlfn.CONCAT(W$1,$T22),BurnRate!$G$3:$P$1102,9,FALSE)="NR",0,SUM(VLOOKUP(_xlfn.CONCAT(W$1,$T22),BurnRate!$G$3:$P$1102,10,FALSE)/90))</f>
        <v>0</v>
      </c>
      <c r="X22" s="122">
        <f>IF(VLOOKUP(_xlfn.CONCAT(X$1,$T22),BurnRate!$G$3:$P$1102,9,FALSE)="NR",0,SUM(VLOOKUP(_xlfn.CONCAT(X$1,$T22),BurnRate!$G$3:$P$1102,10,FALSE)/90))</f>
        <v>0</v>
      </c>
      <c r="Y22" s="122">
        <f>IF(VLOOKUP(_xlfn.CONCAT(Y$1,$T22),BurnRate!$G$3:$P$1102,9,FALSE)="NR",0,SUM(VLOOKUP(_xlfn.CONCAT(Y$1,$T22),BurnRate!$G$3:$P$1102,10,FALSE)/90))</f>
        <v>0</v>
      </c>
      <c r="Z22" s="122">
        <f>IF(VLOOKUP(_xlfn.CONCAT(Z$1,$T22),BurnRate!$G$3:$P$1102,9,FALSE)="NR",0,SUM(VLOOKUP(_xlfn.CONCAT(Z$1,$T22),BurnRate!$G$3:$P$1102,10,FALSE)/90))</f>
        <v>0</v>
      </c>
      <c r="AA22" s="122">
        <f>IF(VLOOKUP(_xlfn.CONCAT(AA$1,$T22),BurnRate!$G$3:$P$1102,9,FALSE)="NR",0,SUM(VLOOKUP(_xlfn.CONCAT(AA$1,$T22),BurnRate!$G$3:$P$1102,10,FALSE)/90))</f>
        <v>0</v>
      </c>
      <c r="AB22" s="122">
        <f>IF(VLOOKUP(_xlfn.CONCAT(AB$1,$T22),BurnRate!$G$3:$P$1102,9,FALSE)="NR",0,SUM(VLOOKUP(_xlfn.CONCAT(AB$1,$T22),BurnRate!$G$3:$P$1102,10,FALSE)/90))</f>
        <v>0</v>
      </c>
      <c r="AC22" s="122">
        <f>IF(VLOOKUP(_xlfn.CONCAT(AC$1,$T22),BurnRate!$G$3:$P$1102,9,FALSE)="NR",0,SUM(VLOOKUP(_xlfn.CONCAT(AC$1,$T22),BurnRate!$G$3:$P$1102,10,FALSE)/90))</f>
        <v>0</v>
      </c>
      <c r="AD22" s="122">
        <f>IF(VLOOKUP(_xlfn.CONCAT(AD$1,$T22),BurnRate!$G$3:$P$1102,9,FALSE)="NR",0,SUM(VLOOKUP(_xlfn.CONCAT(AD$1,$T22),BurnRate!$G$3:$P$1102,10,FALSE)/90))</f>
        <v>0</v>
      </c>
      <c r="AE22" s="122">
        <f>IF(VLOOKUP(_xlfn.CONCAT(AE$1,$T22),BurnRate!$G$3:$P$1102,9,FALSE)="NR",0,SUM(VLOOKUP(_xlfn.CONCAT(AE$1,$T22),BurnRate!$G$3:$P$1102,10,FALSE)/90))</f>
        <v>0</v>
      </c>
      <c r="AF22" s="122">
        <f>IF(VLOOKUP(_xlfn.CONCAT(AF$1,$T22),BurnRate!$G$3:$P$1102,9,FALSE)="NR",0,SUM(VLOOKUP(_xlfn.CONCAT(AF$1,$T22),BurnRate!$G$3:$P$1102,10,FALSE)/90))</f>
        <v>0</v>
      </c>
      <c r="AG22" s="132"/>
      <c r="AH22" s="118">
        <f t="shared" si="4"/>
        <v>0</v>
      </c>
      <c r="AJ22" s="118">
        <f t="shared" si="2"/>
        <v>0</v>
      </c>
    </row>
    <row r="23" spans="2:36">
      <c r="C23" s="2">
        <v>19</v>
      </c>
      <c r="D23" t="str">
        <f>+Dashboard!C26</f>
        <v>Mask Holders for Dispensers</v>
      </c>
      <c r="E23" t="str">
        <f>+Dashboard!D26</f>
        <v>each</v>
      </c>
      <c r="F23" s="122">
        <f t="shared" si="3"/>
        <v>0</v>
      </c>
      <c r="G23" s="129">
        <f t="shared" si="0"/>
        <v>0</v>
      </c>
      <c r="H23" s="129">
        <f>SUM(Dashboard!E26,Dashboard!G26,Dashboard!I26,Dashboard!K26,Dashboard!M26,Dashboard!O26,Dashboard!Q26,Dashboard!S26,Dashboard!U26,Dashboard!W26,Dashboard!Y26)</f>
        <v>0</v>
      </c>
      <c r="I23" s="129">
        <f>+Dashboard!E131</f>
        <v>250</v>
      </c>
      <c r="J23" s="129">
        <f t="shared" si="5"/>
        <v>0</v>
      </c>
      <c r="K23" s="129"/>
      <c r="L23" s="129"/>
      <c r="M23" s="320">
        <v>33.159999999999997</v>
      </c>
      <c r="N23" s="129">
        <f t="shared" si="6"/>
        <v>0</v>
      </c>
      <c r="O23" s="129"/>
      <c r="P23" s="129"/>
      <c r="Q23" s="137"/>
      <c r="R23" s="129"/>
      <c r="S23">
        <v>19</v>
      </c>
      <c r="T23" s="12" t="str">
        <f>+Dashboard!C26</f>
        <v>Mask Holders for Dispensers</v>
      </c>
      <c r="U23" s="42" t="str">
        <f>+Dashboard!D26</f>
        <v>each</v>
      </c>
      <c r="V23" s="122">
        <f>IF(VLOOKUP(_xlfn.CONCAT(V$1,$T23),BurnRate!$G$3:$P$1102,9,FALSE)="NR",0,SUM(VLOOKUP(_xlfn.CONCAT(V$1,$T23),BurnRate!$G$3:$P$1102,10,FALSE)/90))</f>
        <v>0</v>
      </c>
      <c r="W23" s="122">
        <f>IF(VLOOKUP(_xlfn.CONCAT(W$1,$T23),BurnRate!$G$3:$P$1102,9,FALSE)="NR",0,SUM(VLOOKUP(_xlfn.CONCAT(W$1,$T23),BurnRate!$G$3:$P$1102,10,FALSE)/90))</f>
        <v>0</v>
      </c>
      <c r="X23" s="122">
        <f>IF(VLOOKUP(_xlfn.CONCAT(X$1,$T23),BurnRate!$G$3:$P$1102,9,FALSE)="NR",0,SUM(VLOOKUP(_xlfn.CONCAT(X$1,$T23),BurnRate!$G$3:$P$1102,10,FALSE)/90))</f>
        <v>0</v>
      </c>
      <c r="Y23" s="122">
        <f>IF(VLOOKUP(_xlfn.CONCAT(Y$1,$T23),BurnRate!$G$3:$P$1102,9,FALSE)="NR",0,SUM(VLOOKUP(_xlfn.CONCAT(Y$1,$T23),BurnRate!$G$3:$P$1102,10,FALSE)/90))</f>
        <v>0</v>
      </c>
      <c r="Z23" s="122">
        <f>IF(VLOOKUP(_xlfn.CONCAT(Z$1,$T23),BurnRate!$G$3:$P$1102,9,FALSE)="NR",0,SUM(VLOOKUP(_xlfn.CONCAT(Z$1,$T23),BurnRate!$G$3:$P$1102,10,FALSE)/90))</f>
        <v>0</v>
      </c>
      <c r="AA23" s="122">
        <f>IF(VLOOKUP(_xlfn.CONCAT(AA$1,$T23),BurnRate!$G$3:$P$1102,9,FALSE)="NR",0,SUM(VLOOKUP(_xlfn.CONCAT(AA$1,$T23),BurnRate!$G$3:$P$1102,10,FALSE)/90))</f>
        <v>0</v>
      </c>
      <c r="AB23" s="122">
        <f>IF(VLOOKUP(_xlfn.CONCAT(AB$1,$T23),BurnRate!$G$3:$P$1102,9,FALSE)="NR",0,SUM(VLOOKUP(_xlfn.CONCAT(AB$1,$T23),BurnRate!$G$3:$P$1102,10,FALSE)/90))</f>
        <v>0</v>
      </c>
      <c r="AC23" s="122">
        <f>IF(VLOOKUP(_xlfn.CONCAT(AC$1,$T23),BurnRate!$G$3:$P$1102,9,FALSE)="NR",0,SUM(VLOOKUP(_xlfn.CONCAT(AC$1,$T23),BurnRate!$G$3:$P$1102,10,FALSE)/90))</f>
        <v>0</v>
      </c>
      <c r="AD23" s="122">
        <f>IF(VLOOKUP(_xlfn.CONCAT(AD$1,$T23),BurnRate!$G$3:$P$1102,9,FALSE)="NR",0,SUM(VLOOKUP(_xlfn.CONCAT(AD$1,$T23),BurnRate!$G$3:$P$1102,10,FALSE)/90))</f>
        <v>0</v>
      </c>
      <c r="AE23" s="122">
        <f>IF(VLOOKUP(_xlfn.CONCAT(AE$1,$T23),BurnRate!$G$3:$P$1102,9,FALSE)="NR",0,SUM(VLOOKUP(_xlfn.CONCAT(AE$1,$T23),BurnRate!$G$3:$P$1102,10,FALSE)/90))</f>
        <v>0</v>
      </c>
      <c r="AF23" s="122">
        <f>IF(VLOOKUP(_xlfn.CONCAT(AF$1,$T23),BurnRate!$G$3:$P$1102,9,FALSE)="NR",0,SUM(VLOOKUP(_xlfn.CONCAT(AF$1,$T23),BurnRate!$G$3:$P$1102,10,FALSE)/90))</f>
        <v>0</v>
      </c>
      <c r="AG23" s="132"/>
      <c r="AH23" s="118">
        <f t="shared" si="4"/>
        <v>0</v>
      </c>
      <c r="AJ23" s="118">
        <f t="shared" si="2"/>
        <v>0</v>
      </c>
    </row>
    <row r="24" spans="2:36">
      <c r="C24" s="2">
        <v>20</v>
      </c>
      <c r="D24" t="str">
        <f>+Dashboard!C27</f>
        <v>Disinfecting Sprayers</v>
      </c>
      <c r="E24" t="str">
        <f>+Dashboard!D27</f>
        <v>each</v>
      </c>
      <c r="F24" s="122">
        <f t="shared" si="3"/>
        <v>4.4444444444444446E-2</v>
      </c>
      <c r="G24" s="129">
        <f t="shared" si="0"/>
        <v>0.13333333333333333</v>
      </c>
      <c r="H24" s="129">
        <f>SUM(Dashboard!E27,Dashboard!G27,Dashboard!I27,Dashboard!K27,Dashboard!M27,Dashboard!O27,Dashboard!Q27,Dashboard!S27,Dashboard!U27,Dashboard!W27,Dashboard!Y27)</f>
        <v>6</v>
      </c>
      <c r="I24" s="129">
        <f>+Dashboard!E132</f>
        <v>0</v>
      </c>
      <c r="J24" s="129">
        <f t="shared" si="5"/>
        <v>0</v>
      </c>
      <c r="K24" s="129"/>
      <c r="L24" s="129"/>
      <c r="M24" s="320">
        <v>539.97</v>
      </c>
      <c r="N24" s="129">
        <f t="shared" si="6"/>
        <v>0</v>
      </c>
      <c r="O24" s="129"/>
      <c r="P24" s="129"/>
      <c r="Q24" s="137"/>
      <c r="R24" s="129"/>
      <c r="S24">
        <v>20</v>
      </c>
      <c r="T24" s="12" t="str">
        <f>+Dashboard!C27</f>
        <v>Disinfecting Sprayers</v>
      </c>
      <c r="U24" s="42" t="str">
        <f>+Dashboard!D27</f>
        <v>each</v>
      </c>
      <c r="V24" s="122">
        <f>IF(VLOOKUP(_xlfn.CONCAT(V$1,$T24),BurnRate!$G$3:$P$1102,9,FALSE)="NR",0,SUM(VLOOKUP(_xlfn.CONCAT(V$1,$T24),BurnRate!$G$3:$P$1102,10,FALSE)/90))</f>
        <v>4.4444444444444446E-2</v>
      </c>
      <c r="W24" s="122">
        <f>IF(VLOOKUP(_xlfn.CONCAT(W$1,$T24),BurnRate!$G$3:$P$1102,9,FALSE)="NR",0,SUM(VLOOKUP(_xlfn.CONCAT(W$1,$T24),BurnRate!$G$3:$P$1102,10,FALSE)/90))</f>
        <v>0</v>
      </c>
      <c r="X24" s="122">
        <f>IF(VLOOKUP(_xlfn.CONCAT(X$1,$T24),BurnRate!$G$3:$P$1102,9,FALSE)="NR",0,SUM(VLOOKUP(_xlfn.CONCAT(X$1,$T24),BurnRate!$G$3:$P$1102,10,FALSE)/90))</f>
        <v>0</v>
      </c>
      <c r="Y24" s="122">
        <f>IF(VLOOKUP(_xlfn.CONCAT(Y$1,$T24),BurnRate!$G$3:$P$1102,9,FALSE)="NR",0,SUM(VLOOKUP(_xlfn.CONCAT(Y$1,$T24),BurnRate!$G$3:$P$1102,10,FALSE)/90))</f>
        <v>0</v>
      </c>
      <c r="Z24" s="122">
        <f>IF(VLOOKUP(_xlfn.CONCAT(Z$1,$T24),BurnRate!$G$3:$P$1102,9,FALSE)="NR",0,SUM(VLOOKUP(_xlfn.CONCAT(Z$1,$T24),BurnRate!$G$3:$P$1102,10,FALSE)/90))</f>
        <v>0</v>
      </c>
      <c r="AA24" s="122">
        <f>IF(VLOOKUP(_xlfn.CONCAT(AA$1,$T24),BurnRate!$G$3:$P$1102,9,FALSE)="NR",0,SUM(VLOOKUP(_xlfn.CONCAT(AA$1,$T24),BurnRate!$G$3:$P$1102,10,FALSE)/90))</f>
        <v>0</v>
      </c>
      <c r="AB24" s="122">
        <f>IF(VLOOKUP(_xlfn.CONCAT(AB$1,$T24),BurnRate!$G$3:$P$1102,9,FALSE)="NR",0,SUM(VLOOKUP(_xlfn.CONCAT(AB$1,$T24),BurnRate!$G$3:$P$1102,10,FALSE)/90))</f>
        <v>0</v>
      </c>
      <c r="AC24" s="122">
        <f>IF(VLOOKUP(_xlfn.CONCAT(AC$1,$T24),BurnRate!$G$3:$P$1102,9,FALSE)="NR",0,SUM(VLOOKUP(_xlfn.CONCAT(AC$1,$T24),BurnRate!$G$3:$P$1102,10,FALSE)/90))</f>
        <v>0</v>
      </c>
      <c r="AD24" s="122">
        <f>IF(VLOOKUP(_xlfn.CONCAT(AD$1,$T24),BurnRate!$G$3:$P$1102,9,FALSE)="NR",0,SUM(VLOOKUP(_xlfn.CONCAT(AD$1,$T24),BurnRate!$G$3:$P$1102,10,FALSE)/90))</f>
        <v>0</v>
      </c>
      <c r="AE24" s="122">
        <f>IF(VLOOKUP(_xlfn.CONCAT(AE$1,$T24),BurnRate!$G$3:$P$1102,9,FALSE)="NR",0,SUM(VLOOKUP(_xlfn.CONCAT(AE$1,$T24),BurnRate!$G$3:$P$1102,10,FALSE)/90))</f>
        <v>0</v>
      </c>
      <c r="AF24" s="122">
        <f>IF(VLOOKUP(_xlfn.CONCAT(AF$1,$T24),BurnRate!$G$3:$P$1102,9,FALSE)="NR",0,SUM(VLOOKUP(_xlfn.CONCAT(AF$1,$T24),BurnRate!$G$3:$P$1102,10,FALSE)/90))</f>
        <v>0</v>
      </c>
      <c r="AG24" s="132"/>
      <c r="AH24" s="118">
        <f t="shared" si="4"/>
        <v>4.4444444444444446E-2</v>
      </c>
      <c r="AJ24" s="118">
        <f t="shared" si="2"/>
        <v>0.13333333333333333</v>
      </c>
    </row>
    <row r="25" spans="2:36">
      <c r="C25" s="2">
        <v>21</v>
      </c>
      <c r="D25" t="str">
        <f>+Dashboard!C28</f>
        <v>Hand Soap</v>
      </c>
      <c r="E25" t="str">
        <f>+Dashboard!D28</f>
        <v>bottle</v>
      </c>
      <c r="F25" s="122">
        <f t="shared" si="3"/>
        <v>423.22222222222223</v>
      </c>
      <c r="G25" s="129">
        <f t="shared" si="0"/>
        <v>1269.6666666666667</v>
      </c>
      <c r="H25" s="129">
        <f>SUM(Dashboard!E28,Dashboard!G28,Dashboard!I28,Dashboard!K28,Dashboard!M28,Dashboard!O28,Dashboard!Q28,Dashboard!S28,Dashboard!U28,Dashboard!W28,Dashboard!Y28)</f>
        <v>5348</v>
      </c>
      <c r="I25" s="129">
        <f>+Dashboard!E133</f>
        <v>34880</v>
      </c>
      <c r="J25" s="129">
        <f t="shared" si="5"/>
        <v>0</v>
      </c>
      <c r="K25" s="129"/>
      <c r="L25" s="129"/>
      <c r="M25" s="320">
        <v>4.67</v>
      </c>
      <c r="N25" s="129">
        <f t="shared" si="6"/>
        <v>0</v>
      </c>
      <c r="O25" s="129"/>
      <c r="P25" s="129"/>
      <c r="Q25" s="137"/>
      <c r="R25" s="129"/>
      <c r="S25">
        <v>21</v>
      </c>
      <c r="T25" s="12" t="str">
        <f>+Dashboard!C28</f>
        <v>Hand Soap</v>
      </c>
      <c r="U25" s="42" t="str">
        <f>+Dashboard!D28</f>
        <v>bottle</v>
      </c>
      <c r="V25" s="122">
        <f>IF(VLOOKUP(_xlfn.CONCAT(V$1,$T25),BurnRate!$G$3:$P$1102,9,FALSE)="NR",0,SUM(VLOOKUP(_xlfn.CONCAT(V$1,$T25),BurnRate!$G$3:$P$1102,10,FALSE)/90))</f>
        <v>288.88888888888891</v>
      </c>
      <c r="W25" s="122">
        <f>IF(VLOOKUP(_xlfn.CONCAT(W$1,$T25),BurnRate!$G$3:$P$1102,9,FALSE)="NR",0,SUM(VLOOKUP(_xlfn.CONCAT(W$1,$T25),BurnRate!$G$3:$P$1102,10,FALSE)/90))</f>
        <v>0</v>
      </c>
      <c r="X25" s="122">
        <f>IF(VLOOKUP(_xlfn.CONCAT(X$1,$T25),BurnRate!$G$3:$P$1102,9,FALSE)="NR",0,SUM(VLOOKUP(_xlfn.CONCAT(X$1,$T25),BurnRate!$G$3:$P$1102,10,FALSE)/90))</f>
        <v>1</v>
      </c>
      <c r="Y25" s="122">
        <f>IF(VLOOKUP(_xlfn.CONCAT(Y$1,$T25),BurnRate!$G$3:$P$1102,9,FALSE)="NR",0,SUM(VLOOKUP(_xlfn.CONCAT(Y$1,$T25),BurnRate!$G$3:$P$1102,10,FALSE)/90))</f>
        <v>17.777777777777779</v>
      </c>
      <c r="Z25" s="122">
        <f>IF(VLOOKUP(_xlfn.CONCAT(Z$1,$T25),BurnRate!$G$3:$P$1102,9,FALSE)="NR",0,SUM(VLOOKUP(_xlfn.CONCAT(Z$1,$T25),BurnRate!$G$3:$P$1102,10,FALSE)/90))</f>
        <v>17.777777777777779</v>
      </c>
      <c r="AA25" s="122">
        <f>IF(VLOOKUP(_xlfn.CONCAT(AA$1,$T25),BurnRate!$G$3:$P$1102,9,FALSE)="NR",0,SUM(VLOOKUP(_xlfn.CONCAT(AA$1,$T25),BurnRate!$G$3:$P$1102,10,FALSE)/90))</f>
        <v>48.888888888888886</v>
      </c>
      <c r="AB25" s="122">
        <f>IF(VLOOKUP(_xlfn.CONCAT(AB$1,$T25),BurnRate!$G$3:$P$1102,9,FALSE)="NR",0,SUM(VLOOKUP(_xlfn.CONCAT(AB$1,$T25),BurnRate!$G$3:$P$1102,10,FALSE)/90))</f>
        <v>0</v>
      </c>
      <c r="AC25" s="122">
        <f>IF(VLOOKUP(_xlfn.CONCAT(AC$1,$T25),BurnRate!$G$3:$P$1102,9,FALSE)="NR",0,SUM(VLOOKUP(_xlfn.CONCAT(AC$1,$T25),BurnRate!$G$3:$P$1102,10,FALSE)/90))</f>
        <v>13.333333333333334</v>
      </c>
      <c r="AD25" s="122">
        <f>IF(VLOOKUP(_xlfn.CONCAT(AD$1,$T25),BurnRate!$G$3:$P$1102,9,FALSE)="NR",0,SUM(VLOOKUP(_xlfn.CONCAT(AD$1,$T25),BurnRate!$G$3:$P$1102,10,FALSE)/90))</f>
        <v>0</v>
      </c>
      <c r="AE25" s="122">
        <f>IF(VLOOKUP(_xlfn.CONCAT(AE$1,$T25),BurnRate!$G$3:$P$1102,9,FALSE)="NR",0,SUM(VLOOKUP(_xlfn.CONCAT(AE$1,$T25),BurnRate!$G$3:$P$1102,10,FALSE)/90))</f>
        <v>17.777777777777779</v>
      </c>
      <c r="AF25" s="122">
        <f>IF(VLOOKUP(_xlfn.CONCAT(AF$1,$T25),BurnRate!$G$3:$P$1102,9,FALSE)="NR",0,SUM(VLOOKUP(_xlfn.CONCAT(AF$1,$T25),BurnRate!$G$3:$P$1102,10,FALSE)/90))</f>
        <v>17.777777777777779</v>
      </c>
      <c r="AG25" s="132"/>
      <c r="AH25" s="118">
        <f t="shared" ref="AH25:AH28" si="7">SUM(V25:AG25)</f>
        <v>423.22222222222223</v>
      </c>
      <c r="AJ25" s="118">
        <f t="shared" si="2"/>
        <v>1269.6666666666667</v>
      </c>
    </row>
    <row r="26" spans="2:36">
      <c r="C26" s="2">
        <v>22</v>
      </c>
      <c r="D26" t="str">
        <f>+Dashboard!C29</f>
        <v>Facial Tissue</v>
      </c>
      <c r="E26" t="str">
        <f>+Dashboard!D29</f>
        <v>box</v>
      </c>
      <c r="F26" s="122">
        <f t="shared" si="3"/>
        <v>240</v>
      </c>
      <c r="G26" s="129">
        <f t="shared" si="0"/>
        <v>720</v>
      </c>
      <c r="H26" s="129">
        <f>SUM(Dashboard!E29,Dashboard!G29,Dashboard!I29,Dashboard!K29,Dashboard!M29,Dashboard!O29,Dashboard!Q29,Dashboard!S29,Dashboard!U29,Dashboard!W29,Dashboard!Y29)</f>
        <v>41880</v>
      </c>
      <c r="I26" s="129">
        <f>+Dashboard!E134</f>
        <v>900</v>
      </c>
      <c r="J26" s="129">
        <f t="shared" si="5"/>
        <v>0</v>
      </c>
      <c r="K26" s="129"/>
      <c r="L26" s="129"/>
      <c r="M26" s="320">
        <v>2.19</v>
      </c>
      <c r="N26" s="129">
        <f t="shared" si="6"/>
        <v>0</v>
      </c>
      <c r="O26" s="129"/>
      <c r="P26" s="129"/>
      <c r="Q26" s="137"/>
      <c r="R26" s="129"/>
      <c r="S26">
        <v>22</v>
      </c>
      <c r="T26" s="12" t="str">
        <f>+Dashboard!C29</f>
        <v>Facial Tissue</v>
      </c>
      <c r="U26" s="42" t="str">
        <f>+Dashboard!D29</f>
        <v>box</v>
      </c>
      <c r="V26" s="122">
        <f>IF(VLOOKUP(_xlfn.CONCAT(V$1,$T26),BurnRate!$G$3:$P$1102,9,FALSE)="NR",0,SUM(VLOOKUP(_xlfn.CONCAT(V$1,$T26),BurnRate!$G$3:$P$1102,10,FALSE)/90))</f>
        <v>216.66666666666666</v>
      </c>
      <c r="W26" s="122">
        <f>IF(VLOOKUP(_xlfn.CONCAT(W$1,$T26),BurnRate!$G$3:$P$1102,9,FALSE)="NR",0,SUM(VLOOKUP(_xlfn.CONCAT(W$1,$T26),BurnRate!$G$3:$P$1102,10,FALSE)/90))</f>
        <v>0</v>
      </c>
      <c r="X26" s="122">
        <f>IF(VLOOKUP(_xlfn.CONCAT(X$1,$T26),BurnRate!$G$3:$P$1102,9,FALSE)="NR",0,SUM(VLOOKUP(_xlfn.CONCAT(X$1,$T26),BurnRate!$G$3:$P$1102,10,FALSE)/90))</f>
        <v>0</v>
      </c>
      <c r="Y26" s="122">
        <f>IF(VLOOKUP(_xlfn.CONCAT(Y$1,$T26),BurnRate!$G$3:$P$1102,9,FALSE)="NR",0,SUM(VLOOKUP(_xlfn.CONCAT(Y$1,$T26),BurnRate!$G$3:$P$1102,10,FALSE)/90))</f>
        <v>0</v>
      </c>
      <c r="Z26" s="122">
        <f>IF(VLOOKUP(_xlfn.CONCAT(Z$1,$T26),BurnRate!$G$3:$P$1102,9,FALSE)="NR",0,SUM(VLOOKUP(_xlfn.CONCAT(Z$1,$T26),BurnRate!$G$3:$P$1102,10,FALSE)/90))</f>
        <v>13.333333333333334</v>
      </c>
      <c r="AA26" s="122">
        <f>IF(VLOOKUP(_xlfn.CONCAT(AA$1,$T26),BurnRate!$G$3:$P$1102,9,FALSE)="NR",0,SUM(VLOOKUP(_xlfn.CONCAT(AA$1,$T26),BurnRate!$G$3:$P$1102,10,FALSE)/90))</f>
        <v>0</v>
      </c>
      <c r="AB26" s="122">
        <f>IF(VLOOKUP(_xlfn.CONCAT(AB$1,$T26),BurnRate!$G$3:$P$1102,9,FALSE)="NR",0,SUM(VLOOKUP(_xlfn.CONCAT(AB$1,$T26),BurnRate!$G$3:$P$1102,10,FALSE)/90))</f>
        <v>0</v>
      </c>
      <c r="AC26" s="122">
        <f>IF(VLOOKUP(_xlfn.CONCAT(AC$1,$T26),BurnRate!$G$3:$P$1102,9,FALSE)="NR",0,SUM(VLOOKUP(_xlfn.CONCAT(AC$1,$T26),BurnRate!$G$3:$P$1102,10,FALSE)/90))</f>
        <v>10</v>
      </c>
      <c r="AD26" s="122">
        <f>IF(VLOOKUP(_xlfn.CONCAT(AD$1,$T26),BurnRate!$G$3:$P$1102,9,FALSE)="NR",0,SUM(VLOOKUP(_xlfn.CONCAT(AD$1,$T26),BurnRate!$G$3:$P$1102,10,FALSE)/90))</f>
        <v>0</v>
      </c>
      <c r="AE26" s="122">
        <f>IF(VLOOKUP(_xlfn.CONCAT(AE$1,$T26),BurnRate!$G$3:$P$1102,9,FALSE)="NR",0,SUM(VLOOKUP(_xlfn.CONCAT(AE$1,$T26),BurnRate!$G$3:$P$1102,10,FALSE)/90))</f>
        <v>0</v>
      </c>
      <c r="AF26" s="122">
        <f>IF(VLOOKUP(_xlfn.CONCAT(AF$1,$T26),BurnRate!$G$3:$P$1102,9,FALSE)="NR",0,SUM(VLOOKUP(_xlfn.CONCAT(AF$1,$T26),BurnRate!$G$3:$P$1102,10,FALSE)/90))</f>
        <v>0</v>
      </c>
      <c r="AG26" s="132"/>
      <c r="AH26" s="118">
        <f t="shared" si="7"/>
        <v>240</v>
      </c>
      <c r="AJ26" s="118">
        <f t="shared" si="2"/>
        <v>720</v>
      </c>
    </row>
    <row r="27" spans="2:36">
      <c r="C27" s="2">
        <v>23</v>
      </c>
      <c r="D27" t="str">
        <f>+Dashboard!C30</f>
        <v>Paper Towels</v>
      </c>
      <c r="E27" t="str">
        <f>+Dashboard!D30</f>
        <v>pack</v>
      </c>
      <c r="F27" s="122">
        <f t="shared" si="3"/>
        <v>0</v>
      </c>
      <c r="G27" s="129">
        <f t="shared" si="0"/>
        <v>0</v>
      </c>
      <c r="H27" s="129">
        <f>SUM(Dashboard!E30,Dashboard!G30,Dashboard!I30,Dashboard!K30,Dashboard!M30,Dashboard!O30,Dashboard!Q30,Dashboard!S30,Dashboard!U30,Dashboard!W30,Dashboard!Y30)</f>
        <v>47060</v>
      </c>
      <c r="I27" s="129">
        <f>+Dashboard!E135</f>
        <v>0</v>
      </c>
      <c r="J27" s="129">
        <f t="shared" si="5"/>
        <v>0</v>
      </c>
      <c r="K27" s="129"/>
      <c r="L27" s="129"/>
      <c r="M27" s="320">
        <v>1.73</v>
      </c>
      <c r="N27" s="129">
        <f t="shared" si="6"/>
        <v>0</v>
      </c>
      <c r="O27" s="129"/>
      <c r="P27" s="129"/>
      <c r="Q27" s="137"/>
      <c r="R27" s="129"/>
      <c r="S27">
        <v>23</v>
      </c>
      <c r="T27" s="12" t="str">
        <f>+Dashboard!C30</f>
        <v>Paper Towels</v>
      </c>
      <c r="U27" s="42" t="str">
        <f>+Dashboard!D30</f>
        <v>pack</v>
      </c>
      <c r="V27" s="122">
        <f>IF(VLOOKUP(_xlfn.CONCAT(V$1,$T27),BurnRate!$G$3:$P$1102,9,FALSE)="NR",0,SUM(VLOOKUP(_xlfn.CONCAT(V$1,$T27),BurnRate!$G$3:$P$1102,10,FALSE)/90))</f>
        <v>0</v>
      </c>
      <c r="W27" s="122">
        <f>IF(VLOOKUP(_xlfn.CONCAT(W$1,$T27),BurnRate!$G$3:$P$1102,9,FALSE)="NR",0,SUM(VLOOKUP(_xlfn.CONCAT(W$1,$T27),BurnRate!$G$3:$P$1102,10,FALSE)/90))</f>
        <v>0</v>
      </c>
      <c r="X27" s="122">
        <f>IF(VLOOKUP(_xlfn.CONCAT(X$1,$T27),BurnRate!$G$3:$P$1102,9,FALSE)="NR",0,SUM(VLOOKUP(_xlfn.CONCAT(X$1,$T27),BurnRate!$G$3:$P$1102,10,FALSE)/90))</f>
        <v>0</v>
      </c>
      <c r="Y27" s="122">
        <f>IF(VLOOKUP(_xlfn.CONCAT(Y$1,$T27),BurnRate!$G$3:$P$1102,9,FALSE)="NR",0,SUM(VLOOKUP(_xlfn.CONCAT(Y$1,$T27),BurnRate!$G$3:$P$1102,10,FALSE)/90))</f>
        <v>0</v>
      </c>
      <c r="Z27" s="122">
        <f>IF(VLOOKUP(_xlfn.CONCAT(Z$1,$T27),BurnRate!$G$3:$P$1102,9,FALSE)="NR",0,SUM(VLOOKUP(_xlfn.CONCAT(Z$1,$T27),BurnRate!$G$3:$P$1102,10,FALSE)/90))</f>
        <v>0</v>
      </c>
      <c r="AA27" s="122">
        <f>IF(VLOOKUP(_xlfn.CONCAT(AA$1,$T27),BurnRate!$G$3:$P$1102,9,FALSE)="NR",0,SUM(VLOOKUP(_xlfn.CONCAT(AA$1,$T27),BurnRate!$G$3:$P$1102,10,FALSE)/90))</f>
        <v>0</v>
      </c>
      <c r="AB27" s="122">
        <f>IF(VLOOKUP(_xlfn.CONCAT(AB$1,$T27),BurnRate!$G$3:$P$1102,9,FALSE)="NR",0,SUM(VLOOKUP(_xlfn.CONCAT(AB$1,$T27),BurnRate!$G$3:$P$1102,10,FALSE)/90))</f>
        <v>0</v>
      </c>
      <c r="AC27" s="122">
        <f>IF(VLOOKUP(_xlfn.CONCAT(AC$1,$T27),BurnRate!$G$3:$P$1102,9,FALSE)="NR",0,SUM(VLOOKUP(_xlfn.CONCAT(AC$1,$T27),BurnRate!$G$3:$P$1102,10,FALSE)/90))</f>
        <v>0</v>
      </c>
      <c r="AD27" s="122">
        <f>IF(VLOOKUP(_xlfn.CONCAT(AD$1,$T27),BurnRate!$G$3:$P$1102,9,FALSE)="NR",0,SUM(VLOOKUP(_xlfn.CONCAT(AD$1,$T27),BurnRate!$G$3:$P$1102,10,FALSE)/90))</f>
        <v>0</v>
      </c>
      <c r="AE27" s="122">
        <f>IF(VLOOKUP(_xlfn.CONCAT(AE$1,$T27),BurnRate!$G$3:$P$1102,9,FALSE)="NR",0,SUM(VLOOKUP(_xlfn.CONCAT(AE$1,$T27),BurnRate!$G$3:$P$1102,10,FALSE)/90))</f>
        <v>0</v>
      </c>
      <c r="AF27" s="122">
        <f>IF(VLOOKUP(_xlfn.CONCAT(AF$1,$T27),BurnRate!$G$3:$P$1102,9,FALSE)="NR",0,SUM(VLOOKUP(_xlfn.CONCAT(AF$1,$T27),BurnRate!$G$3:$P$1102,10,FALSE)/90))</f>
        <v>0</v>
      </c>
      <c r="AG27" s="132"/>
      <c r="AH27" s="118">
        <f t="shared" si="7"/>
        <v>0</v>
      </c>
      <c r="AJ27" s="118">
        <f t="shared" si="2"/>
        <v>0</v>
      </c>
    </row>
    <row r="28" spans="2:36">
      <c r="C28" s="2">
        <v>24</v>
      </c>
      <c r="D28" t="str">
        <f>+Dashboard!C31</f>
        <v>Toilet Paper</v>
      </c>
      <c r="E28" t="str">
        <f>+Dashboard!D31</f>
        <v>roll</v>
      </c>
      <c r="F28" s="122">
        <f t="shared" si="3"/>
        <v>736.66666666666663</v>
      </c>
      <c r="G28" s="129">
        <f t="shared" si="0"/>
        <v>2210</v>
      </c>
      <c r="H28" s="129">
        <f>SUM(Dashboard!E31,Dashboard!G31,Dashboard!I31,Dashboard!K31,Dashboard!M31,Dashboard!O31,Dashboard!Q31,Dashboard!S31,Dashboard!U31,Dashboard!W31,Dashboard!Y31)</f>
        <v>75641</v>
      </c>
      <c r="I28" s="129">
        <f>+Dashboard!E136</f>
        <v>10400</v>
      </c>
      <c r="J28" s="129">
        <f t="shared" si="5"/>
        <v>0</v>
      </c>
      <c r="K28" s="129"/>
      <c r="L28" s="129"/>
      <c r="M28" s="320">
        <v>1.07</v>
      </c>
      <c r="N28" s="129">
        <f t="shared" si="6"/>
        <v>0</v>
      </c>
      <c r="O28" s="129"/>
      <c r="P28" s="129"/>
      <c r="Q28" s="137"/>
      <c r="R28" s="129"/>
      <c r="S28">
        <v>24</v>
      </c>
      <c r="T28" s="12" t="str">
        <f>+Dashboard!C31</f>
        <v>Toilet Paper</v>
      </c>
      <c r="U28" s="42" t="str">
        <f>+Dashboard!D31</f>
        <v>roll</v>
      </c>
      <c r="V28" s="122">
        <f>IF(VLOOKUP(_xlfn.CONCAT(V$1,$T28),BurnRate!$G$3:$P$1102,9,FALSE)="NR",0,SUM(VLOOKUP(_xlfn.CONCAT(V$1,$T28),BurnRate!$G$3:$P$1102,10,FALSE)/90))</f>
        <v>690</v>
      </c>
      <c r="W28" s="122">
        <f>IF(VLOOKUP(_xlfn.CONCAT(W$1,$T28),BurnRate!$G$3:$P$1102,9,FALSE)="NR",0,SUM(VLOOKUP(_xlfn.CONCAT(W$1,$T28),BurnRate!$G$3:$P$1102,10,FALSE)/90))</f>
        <v>0</v>
      </c>
      <c r="X28" s="122">
        <f>IF(VLOOKUP(_xlfn.CONCAT(X$1,$T28),BurnRate!$G$3:$P$1102,9,FALSE)="NR",0,SUM(VLOOKUP(_xlfn.CONCAT(X$1,$T28),BurnRate!$G$3:$P$1102,10,FALSE)/90))</f>
        <v>0</v>
      </c>
      <c r="Y28" s="122">
        <f>IF(VLOOKUP(_xlfn.CONCAT(Y$1,$T28),BurnRate!$G$3:$P$1102,9,FALSE)="NR",0,SUM(VLOOKUP(_xlfn.CONCAT(Y$1,$T28),BurnRate!$G$3:$P$1102,10,FALSE)/90))</f>
        <v>0</v>
      </c>
      <c r="Z28" s="122">
        <f>IF(VLOOKUP(_xlfn.CONCAT(Z$1,$T28),BurnRate!$G$3:$P$1102,9,FALSE)="NR",0,SUM(VLOOKUP(_xlfn.CONCAT(Z$1,$T28),BurnRate!$G$3:$P$1102,10,FALSE)/90))</f>
        <v>26.666666666666668</v>
      </c>
      <c r="AA28" s="122">
        <f>IF(VLOOKUP(_xlfn.CONCAT(AA$1,$T28),BurnRate!$G$3:$P$1102,9,FALSE)="NR",0,SUM(VLOOKUP(_xlfn.CONCAT(AA$1,$T28),BurnRate!$G$3:$P$1102,10,FALSE)/90))</f>
        <v>0</v>
      </c>
      <c r="AB28" s="122">
        <f>IF(VLOOKUP(_xlfn.CONCAT(AB$1,$T28),BurnRate!$G$3:$P$1102,9,FALSE)="NR",0,SUM(VLOOKUP(_xlfn.CONCAT(AB$1,$T28),BurnRate!$G$3:$P$1102,10,FALSE)/90))</f>
        <v>0</v>
      </c>
      <c r="AC28" s="122">
        <f>IF(VLOOKUP(_xlfn.CONCAT(AC$1,$T28),BurnRate!$G$3:$P$1102,9,FALSE)="NR",0,SUM(VLOOKUP(_xlfn.CONCAT(AC$1,$T28),BurnRate!$G$3:$P$1102,10,FALSE)/90))</f>
        <v>20</v>
      </c>
      <c r="AD28" s="122">
        <f>IF(VLOOKUP(_xlfn.CONCAT(AD$1,$T28),BurnRate!$G$3:$P$1102,9,FALSE)="NR",0,SUM(VLOOKUP(_xlfn.CONCAT(AD$1,$T28),BurnRate!$G$3:$P$1102,10,FALSE)/90))</f>
        <v>0</v>
      </c>
      <c r="AE28" s="122">
        <f>IF(VLOOKUP(_xlfn.CONCAT(AE$1,$T28),BurnRate!$G$3:$P$1102,9,FALSE)="NR",0,SUM(VLOOKUP(_xlfn.CONCAT(AE$1,$T28),BurnRate!$G$3:$P$1102,10,FALSE)/90))</f>
        <v>0</v>
      </c>
      <c r="AF28" s="122">
        <f>IF(VLOOKUP(_xlfn.CONCAT(AF$1,$T28),BurnRate!$G$3:$P$1102,9,FALSE)="NR",0,SUM(VLOOKUP(_xlfn.CONCAT(AF$1,$T28),BurnRate!$G$3:$P$1102,10,FALSE)/90))</f>
        <v>0</v>
      </c>
      <c r="AG28" s="132"/>
      <c r="AH28" s="118">
        <f t="shared" si="7"/>
        <v>736.66666666666663</v>
      </c>
      <c r="AJ28" s="118">
        <f t="shared" si="2"/>
        <v>2210</v>
      </c>
    </row>
    <row r="29" spans="2:36">
      <c r="P29" s="129"/>
      <c r="Q29" s="137"/>
      <c r="R29" s="129"/>
    </row>
    <row r="30" spans="2:36" s="12" customFormat="1">
      <c r="B30" s="325"/>
      <c r="D30" s="12" t="s">
        <v>61</v>
      </c>
      <c r="G30" s="326"/>
      <c r="H30" s="326"/>
      <c r="I30" s="326"/>
      <c r="J30" s="326"/>
      <c r="K30" s="326"/>
      <c r="L30" s="326"/>
      <c r="M30" s="327"/>
      <c r="N30" s="328">
        <f>SUM(N5:N29)</f>
        <v>0</v>
      </c>
      <c r="O30" s="326"/>
      <c r="P30" s="329"/>
      <c r="Q30" s="330"/>
      <c r="R30" s="329"/>
    </row>
    <row r="31" spans="2:36">
      <c r="Q31" s="136"/>
    </row>
    <row r="32" spans="2:36">
      <c r="C32" t="s">
        <v>62</v>
      </c>
      <c r="Q32" s="136"/>
      <c r="T32" s="12"/>
    </row>
    <row r="33" spans="2:35" s="133" customFormat="1">
      <c r="B33" s="368"/>
      <c r="C33" s="447" t="s">
        <v>63</v>
      </c>
      <c r="D33" s="447"/>
      <c r="E33" s="447"/>
      <c r="F33" s="447"/>
      <c r="G33" s="447"/>
      <c r="H33" s="368"/>
      <c r="I33" s="368"/>
      <c r="J33" s="368"/>
      <c r="K33" s="368"/>
      <c r="L33" s="368"/>
      <c r="M33" s="322"/>
      <c r="N33" s="368"/>
      <c r="O33" s="368"/>
      <c r="P33" s="366"/>
      <c r="Q33" s="138"/>
      <c r="R33" s="366"/>
      <c r="T33" s="445"/>
      <c r="U33" s="445"/>
      <c r="V33" s="445"/>
      <c r="W33" s="445"/>
      <c r="X33" s="445"/>
    </row>
    <row r="34" spans="2:35" s="133" customFormat="1">
      <c r="B34" s="368"/>
      <c r="C34" s="447"/>
      <c r="D34" s="447"/>
      <c r="E34" s="447"/>
      <c r="F34" s="447"/>
      <c r="G34" s="447"/>
      <c r="H34" s="368"/>
      <c r="I34" s="368"/>
      <c r="J34" s="368"/>
      <c r="K34" s="368"/>
      <c r="L34" s="368"/>
      <c r="M34" s="322"/>
      <c r="N34" s="368"/>
      <c r="O34" s="368"/>
      <c r="P34" s="368"/>
      <c r="Q34" s="139"/>
      <c r="R34" s="368"/>
      <c r="T34" s="447"/>
      <c r="U34" s="447"/>
      <c r="V34" s="447"/>
      <c r="W34" s="447"/>
      <c r="X34" s="447"/>
    </row>
    <row r="35" spans="2:35" ht="15" customHeight="1">
      <c r="C35" s="447"/>
      <c r="D35" s="447"/>
      <c r="E35" s="447"/>
      <c r="F35" s="447"/>
      <c r="G35" s="447"/>
      <c r="H35" s="368"/>
      <c r="I35" s="368"/>
      <c r="J35" s="368"/>
      <c r="K35" s="368"/>
      <c r="L35" s="368"/>
      <c r="M35" s="322"/>
      <c r="N35" s="368"/>
      <c r="O35" s="368"/>
      <c r="Q35" s="136"/>
      <c r="T35" s="445"/>
      <c r="U35" s="445"/>
      <c r="V35" s="445"/>
      <c r="W35" s="445"/>
      <c r="X35" s="445"/>
      <c r="Y35" s="10"/>
      <c r="Z35" s="10"/>
      <c r="AA35" s="10"/>
      <c r="AB35" s="10"/>
      <c r="AC35" s="10"/>
      <c r="AD35" s="10"/>
      <c r="AE35" s="10"/>
      <c r="AF35" s="10"/>
    </row>
    <row r="36" spans="2:35">
      <c r="Q36" s="136"/>
      <c r="T36" s="445"/>
      <c r="U36" s="445"/>
      <c r="V36" s="445"/>
      <c r="W36" s="445"/>
      <c r="X36" s="445"/>
      <c r="Y36" s="122"/>
      <c r="Z36" s="122"/>
      <c r="AA36" s="122"/>
      <c r="AB36" s="122"/>
      <c r="AC36" s="122"/>
      <c r="AD36" s="122"/>
      <c r="AE36" s="122"/>
      <c r="AF36" s="122"/>
    </row>
    <row r="37" spans="2:35">
      <c r="Q37" s="136"/>
      <c r="V37" s="122"/>
      <c r="W37" s="122"/>
      <c r="X37" s="122"/>
      <c r="Y37" s="122"/>
      <c r="Z37" s="122"/>
      <c r="AA37" s="122"/>
      <c r="AB37" s="122"/>
      <c r="AC37" s="122"/>
      <c r="AD37" s="122"/>
      <c r="AE37" s="122"/>
      <c r="AF37" s="122"/>
      <c r="AI37" s="118"/>
    </row>
    <row r="38" spans="2:35">
      <c r="Q38" s="136"/>
      <c r="U38" s="10"/>
      <c r="V38" s="10"/>
      <c r="W38" s="10"/>
      <c r="X38" s="10"/>
      <c r="Y38" s="10"/>
      <c r="Z38" s="10"/>
      <c r="AA38" s="10"/>
      <c r="AB38" s="10"/>
      <c r="AC38" s="10"/>
      <c r="AD38" s="10"/>
      <c r="AE38" s="10"/>
      <c r="AF38" s="10"/>
    </row>
    <row r="39" spans="2:35">
      <c r="T39" s="12"/>
      <c r="V39" s="122"/>
      <c r="W39" s="122"/>
      <c r="X39" s="122"/>
      <c r="Y39" s="122"/>
      <c r="Z39" s="122"/>
      <c r="AA39" s="122"/>
      <c r="AB39" s="122"/>
      <c r="AC39" s="122"/>
      <c r="AD39" s="122"/>
      <c r="AE39" s="122"/>
      <c r="AF39" s="122"/>
      <c r="AH39" s="118"/>
    </row>
    <row r="40" spans="2:35">
      <c r="T40" s="12"/>
      <c r="V40" s="122"/>
      <c r="W40" s="122"/>
      <c r="X40" s="122"/>
      <c r="Y40" s="122"/>
      <c r="Z40" s="122"/>
      <c r="AA40" s="122"/>
      <c r="AB40" s="122"/>
      <c r="AC40" s="122"/>
      <c r="AD40" s="122"/>
      <c r="AE40" s="122"/>
      <c r="AF40" s="122"/>
      <c r="AH40" s="118"/>
    </row>
    <row r="41" spans="2:35">
      <c r="T41" s="12"/>
      <c r="V41" s="122"/>
      <c r="W41" s="122"/>
      <c r="X41" s="122"/>
      <c r="Y41" s="122"/>
      <c r="Z41" s="122"/>
      <c r="AA41" s="122"/>
      <c r="AB41" s="122"/>
      <c r="AC41" s="122"/>
      <c r="AD41" s="122"/>
      <c r="AE41" s="122"/>
      <c r="AF41" s="122"/>
      <c r="AH41" s="118"/>
    </row>
    <row r="42" spans="2:35">
      <c r="T42" s="12"/>
      <c r="V42" s="122"/>
      <c r="W42" s="122"/>
      <c r="X42" s="122"/>
      <c r="Y42" s="122"/>
      <c r="Z42" s="122"/>
      <c r="AA42" s="122"/>
      <c r="AB42" s="122"/>
      <c r="AC42" s="122"/>
      <c r="AD42" s="122"/>
      <c r="AE42" s="122"/>
      <c r="AF42" s="122"/>
      <c r="AH42" s="118"/>
    </row>
    <row r="43" spans="2:35">
      <c r="T43" s="12"/>
      <c r="V43" s="122"/>
      <c r="W43" s="122"/>
      <c r="X43" s="122"/>
      <c r="Y43" s="122"/>
      <c r="Z43" s="122"/>
      <c r="AA43" s="122"/>
      <c r="AB43" s="122"/>
      <c r="AC43" s="122"/>
      <c r="AD43" s="122"/>
      <c r="AE43" s="122"/>
      <c r="AF43" s="122"/>
      <c r="AH43" s="118"/>
    </row>
    <row r="44" spans="2:35">
      <c r="T44" s="12"/>
      <c r="V44" s="122"/>
      <c r="W44" s="122"/>
      <c r="X44" s="122"/>
      <c r="Y44" s="122"/>
      <c r="Z44" s="122"/>
      <c r="AA44" s="122"/>
      <c r="AB44" s="122"/>
      <c r="AC44" s="122"/>
      <c r="AD44" s="122"/>
      <c r="AE44" s="122"/>
      <c r="AF44" s="122"/>
      <c r="AH44" s="118"/>
    </row>
    <row r="45" spans="2:35">
      <c r="T45" s="12"/>
      <c r="V45" s="122"/>
      <c r="W45" s="122"/>
      <c r="X45" s="122"/>
      <c r="Y45" s="122"/>
      <c r="Z45" s="122"/>
      <c r="AA45" s="122"/>
      <c r="AB45" s="122"/>
      <c r="AC45" s="122"/>
      <c r="AD45" s="122"/>
      <c r="AE45" s="122"/>
      <c r="AF45" s="122"/>
      <c r="AH45" s="118"/>
    </row>
    <row r="46" spans="2:35">
      <c r="T46" s="12"/>
      <c r="V46" s="122"/>
      <c r="W46" s="122"/>
      <c r="X46" s="122"/>
      <c r="Y46" s="122"/>
      <c r="Z46" s="122"/>
      <c r="AA46" s="122"/>
      <c r="AB46" s="122"/>
      <c r="AC46" s="122"/>
      <c r="AD46" s="122"/>
      <c r="AE46" s="122"/>
      <c r="AF46" s="122"/>
      <c r="AH46" s="118"/>
    </row>
    <row r="47" spans="2:35">
      <c r="T47" s="12"/>
      <c r="V47" s="122"/>
      <c r="W47" s="122"/>
      <c r="X47" s="122"/>
      <c r="Y47" s="122"/>
      <c r="Z47" s="122"/>
      <c r="AA47" s="122"/>
      <c r="AB47" s="122"/>
      <c r="AC47" s="122"/>
      <c r="AD47" s="122"/>
      <c r="AE47" s="122"/>
      <c r="AF47" s="122"/>
      <c r="AH47" s="118"/>
    </row>
    <row r="48" spans="2:35">
      <c r="T48" s="12"/>
      <c r="V48" s="122"/>
      <c r="W48" s="122"/>
      <c r="X48" s="122"/>
      <c r="Y48" s="122"/>
      <c r="Z48" s="122"/>
      <c r="AA48" s="122"/>
      <c r="AB48" s="122"/>
      <c r="AC48" s="122"/>
      <c r="AD48" s="122"/>
      <c r="AE48" s="122"/>
      <c r="AF48" s="122"/>
      <c r="AH48" s="118"/>
    </row>
    <row r="49" spans="20:34">
      <c r="T49" s="12"/>
      <c r="V49" s="122"/>
      <c r="W49" s="122"/>
      <c r="X49" s="122"/>
      <c r="Y49" s="122"/>
      <c r="Z49" s="122"/>
      <c r="AA49" s="122"/>
      <c r="AB49" s="122"/>
      <c r="AC49" s="122"/>
      <c r="AD49" s="122"/>
      <c r="AE49" s="122"/>
      <c r="AF49" s="122"/>
      <c r="AH49" s="118"/>
    </row>
    <row r="50" spans="20:34">
      <c r="T50" s="12"/>
      <c r="V50" s="122"/>
      <c r="W50" s="122"/>
      <c r="X50" s="122"/>
      <c r="Y50" s="122"/>
      <c r="Z50" s="122"/>
      <c r="AA50" s="122"/>
      <c r="AB50" s="122"/>
      <c r="AC50" s="122"/>
      <c r="AD50" s="122"/>
      <c r="AE50" s="122"/>
      <c r="AF50" s="122"/>
      <c r="AH50" s="118"/>
    </row>
    <row r="51" spans="20:34">
      <c r="T51" s="12"/>
      <c r="V51" s="122"/>
      <c r="W51" s="122"/>
      <c r="X51" s="122"/>
      <c r="Y51" s="122"/>
      <c r="Z51" s="122"/>
      <c r="AA51" s="122"/>
      <c r="AB51" s="122"/>
      <c r="AC51" s="122"/>
      <c r="AD51" s="122"/>
      <c r="AE51" s="122"/>
      <c r="AF51" s="122"/>
      <c r="AH51" s="118"/>
    </row>
    <row r="52" spans="20:34">
      <c r="T52" s="12"/>
      <c r="V52" s="122"/>
      <c r="W52" s="122"/>
      <c r="X52" s="122"/>
      <c r="Y52" s="122"/>
      <c r="Z52" s="122"/>
      <c r="AA52" s="122"/>
      <c r="AB52" s="122"/>
      <c r="AC52" s="122"/>
      <c r="AD52" s="122"/>
      <c r="AE52" s="122"/>
      <c r="AF52" s="122"/>
      <c r="AH52" s="118"/>
    </row>
    <row r="53" spans="20:34">
      <c r="T53" s="12"/>
      <c r="V53" s="122"/>
      <c r="W53" s="122"/>
      <c r="X53" s="122"/>
      <c r="Y53" s="122"/>
      <c r="Z53" s="122"/>
      <c r="AA53" s="122"/>
      <c r="AB53" s="122"/>
      <c r="AC53" s="122"/>
      <c r="AD53" s="122"/>
      <c r="AE53" s="122"/>
      <c r="AF53" s="122"/>
      <c r="AH53" s="118"/>
    </row>
    <row r="54" spans="20:34">
      <c r="T54" s="12"/>
      <c r="V54" s="122"/>
      <c r="W54" s="122"/>
      <c r="X54" s="122"/>
      <c r="Y54" s="122"/>
      <c r="Z54" s="122"/>
      <c r="AA54" s="122"/>
      <c r="AB54" s="122"/>
      <c r="AC54" s="122"/>
      <c r="AD54" s="122"/>
      <c r="AE54" s="122"/>
      <c r="AF54" s="122"/>
      <c r="AH54" s="118"/>
    </row>
    <row r="55" spans="20:34">
      <c r="T55" s="12"/>
      <c r="V55" s="122"/>
      <c r="W55" s="122"/>
      <c r="X55" s="122"/>
      <c r="Y55" s="122"/>
      <c r="Z55" s="122"/>
      <c r="AA55" s="122"/>
      <c r="AB55" s="122"/>
      <c r="AC55" s="122"/>
      <c r="AD55" s="122"/>
      <c r="AE55" s="122"/>
      <c r="AF55" s="122"/>
      <c r="AH55" s="118"/>
    </row>
    <row r="56" spans="20:34">
      <c r="T56" s="12"/>
      <c r="V56" s="122"/>
      <c r="W56" s="122"/>
      <c r="X56" s="122"/>
      <c r="Y56" s="122"/>
      <c r="Z56" s="122"/>
      <c r="AA56" s="122"/>
      <c r="AB56" s="122"/>
      <c r="AC56" s="122"/>
      <c r="AD56" s="122"/>
      <c r="AE56" s="122"/>
      <c r="AF56" s="122"/>
      <c r="AH56" s="118"/>
    </row>
    <row r="57" spans="20:34">
      <c r="T57" s="12"/>
      <c r="V57" s="122"/>
      <c r="W57" s="122"/>
      <c r="X57" s="122"/>
      <c r="Y57" s="122"/>
      <c r="Z57" s="122"/>
      <c r="AA57" s="122"/>
      <c r="AB57" s="122"/>
      <c r="AC57" s="122"/>
      <c r="AD57" s="122"/>
      <c r="AE57" s="122"/>
      <c r="AF57" s="122"/>
      <c r="AH57" s="118"/>
    </row>
    <row r="58" spans="20:34">
      <c r="T58" s="12"/>
      <c r="V58" s="122"/>
      <c r="W58" s="122"/>
      <c r="X58" s="122"/>
      <c r="Y58" s="122"/>
      <c r="Z58" s="122"/>
      <c r="AA58" s="122"/>
      <c r="AB58" s="122"/>
      <c r="AC58" s="122"/>
      <c r="AD58" s="122"/>
      <c r="AE58" s="122"/>
      <c r="AF58" s="122"/>
      <c r="AH58" s="118"/>
    </row>
    <row r="59" spans="20:34">
      <c r="T59" s="12"/>
      <c r="V59" s="122"/>
      <c r="W59" s="122"/>
      <c r="X59" s="122"/>
      <c r="Y59" s="122"/>
      <c r="Z59" s="122"/>
      <c r="AA59" s="122"/>
      <c r="AB59" s="122"/>
      <c r="AC59" s="122"/>
      <c r="AD59" s="122"/>
      <c r="AE59" s="122"/>
      <c r="AF59" s="122"/>
      <c r="AH59" s="118"/>
    </row>
    <row r="60" spans="20:34">
      <c r="T60" s="12"/>
      <c r="V60" s="122"/>
      <c r="W60" s="122"/>
      <c r="X60" s="122"/>
      <c r="Y60" s="122"/>
      <c r="Z60" s="122"/>
      <c r="AA60" s="122"/>
      <c r="AB60" s="122"/>
      <c r="AC60" s="122"/>
      <c r="AD60" s="122"/>
      <c r="AE60" s="122"/>
      <c r="AF60" s="122"/>
      <c r="AH60" s="118"/>
    </row>
  </sheetData>
  <mergeCells count="9">
    <mergeCell ref="T36:X36"/>
    <mergeCell ref="AJ1:AJ2"/>
    <mergeCell ref="T35:X35"/>
    <mergeCell ref="C33:G33"/>
    <mergeCell ref="C34:G34"/>
    <mergeCell ref="T33:X33"/>
    <mergeCell ref="T34:X34"/>
    <mergeCell ref="C35:G35"/>
    <mergeCell ref="C2:J2"/>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C9E5C-A71F-4905-8DBB-ACCCC72EF9F2}">
  <dimension ref="A1:C101"/>
  <sheetViews>
    <sheetView workbookViewId="0">
      <selection activeCell="B19" sqref="B19"/>
    </sheetView>
  </sheetViews>
  <sheetFormatPr baseColWidth="10" defaultColWidth="8.83203125" defaultRowHeight="15"/>
  <cols>
    <col min="1" max="1" width="8.5" bestFit="1" customWidth="1"/>
    <col min="2" max="2" width="38.33203125" customWidth="1"/>
    <col min="3" max="3" width="12.33203125" style="2" customWidth="1"/>
    <col min="4" max="4" width="12.33203125" customWidth="1"/>
  </cols>
  <sheetData>
    <row r="1" spans="1:3">
      <c r="A1" t="s">
        <v>64</v>
      </c>
      <c r="B1" t="s">
        <v>65</v>
      </c>
      <c r="C1" s="2" t="s">
        <v>22</v>
      </c>
    </row>
    <row r="2" spans="1:3">
      <c r="A2">
        <v>1</v>
      </c>
      <c r="B2" t="s">
        <v>66</v>
      </c>
      <c r="C2" s="2" t="s">
        <v>67</v>
      </c>
    </row>
    <row r="3" spans="1:3">
      <c r="A3">
        <v>2</v>
      </c>
      <c r="B3" t="s">
        <v>68</v>
      </c>
      <c r="C3" s="2" t="s">
        <v>67</v>
      </c>
    </row>
    <row r="4" spans="1:3">
      <c r="A4">
        <v>3</v>
      </c>
      <c r="B4" t="s">
        <v>69</v>
      </c>
      <c r="C4" s="2" t="s">
        <v>67</v>
      </c>
    </row>
    <row r="5" spans="1:3">
      <c r="A5">
        <v>4</v>
      </c>
      <c r="B5" t="s">
        <v>70</v>
      </c>
      <c r="C5" s="2" t="s">
        <v>71</v>
      </c>
    </row>
    <row r="6" spans="1:3">
      <c r="A6">
        <v>5</v>
      </c>
      <c r="B6" t="s">
        <v>72</v>
      </c>
      <c r="C6" s="2" t="s">
        <v>71</v>
      </c>
    </row>
    <row r="7" spans="1:3">
      <c r="A7">
        <v>6</v>
      </c>
      <c r="B7" t="s">
        <v>73</v>
      </c>
      <c r="C7" s="2" t="s">
        <v>67</v>
      </c>
    </row>
    <row r="8" spans="1:3">
      <c r="A8">
        <v>7</v>
      </c>
      <c r="B8" t="s">
        <v>74</v>
      </c>
      <c r="C8" s="2" t="s">
        <v>67</v>
      </c>
    </row>
    <row r="9" spans="1:3">
      <c r="A9">
        <v>8</v>
      </c>
      <c r="B9" t="s">
        <v>75</v>
      </c>
      <c r="C9" s="2" t="s">
        <v>67</v>
      </c>
    </row>
    <row r="10" spans="1:3">
      <c r="A10">
        <v>9</v>
      </c>
      <c r="B10" t="s">
        <v>76</v>
      </c>
      <c r="C10" s="2" t="s">
        <v>67</v>
      </c>
    </row>
    <row r="11" spans="1:3">
      <c r="A11">
        <v>10</v>
      </c>
      <c r="B11" t="s">
        <v>77</v>
      </c>
      <c r="C11" s="2" t="s">
        <v>67</v>
      </c>
    </row>
    <row r="12" spans="1:3">
      <c r="A12">
        <v>11</v>
      </c>
      <c r="B12" t="s">
        <v>78</v>
      </c>
      <c r="C12" s="2" t="s">
        <v>79</v>
      </c>
    </row>
    <row r="13" spans="1:3">
      <c r="A13">
        <v>12</v>
      </c>
      <c r="B13" t="s">
        <v>80</v>
      </c>
      <c r="C13" s="2" t="s">
        <v>81</v>
      </c>
    </row>
    <row r="14" spans="1:3">
      <c r="A14">
        <v>13</v>
      </c>
      <c r="B14" t="s">
        <v>82</v>
      </c>
      <c r="C14" s="2" t="s">
        <v>83</v>
      </c>
    </row>
    <row r="15" spans="1:3">
      <c r="A15">
        <v>14</v>
      </c>
      <c r="B15" t="s">
        <v>84</v>
      </c>
      <c r="C15" s="2" t="s">
        <v>85</v>
      </c>
    </row>
    <row r="16" spans="1:3">
      <c r="A16">
        <v>15</v>
      </c>
      <c r="B16" t="s">
        <v>86</v>
      </c>
      <c r="C16" s="2" t="s">
        <v>83</v>
      </c>
    </row>
    <row r="17" spans="1:3">
      <c r="A17">
        <v>16</v>
      </c>
      <c r="B17" t="s">
        <v>87</v>
      </c>
      <c r="C17" s="2" t="s">
        <v>88</v>
      </c>
    </row>
    <row r="18" spans="1:3">
      <c r="A18">
        <v>17</v>
      </c>
      <c r="B18" t="s">
        <v>89</v>
      </c>
      <c r="C18" s="2" t="s">
        <v>67</v>
      </c>
    </row>
    <row r="19" spans="1:3">
      <c r="A19">
        <v>18</v>
      </c>
      <c r="B19" t="s">
        <v>90</v>
      </c>
      <c r="C19" s="2" t="s">
        <v>67</v>
      </c>
    </row>
    <row r="20" spans="1:3">
      <c r="A20">
        <v>19</v>
      </c>
      <c r="B20" t="s">
        <v>91</v>
      </c>
      <c r="C20" s="2" t="s">
        <v>67</v>
      </c>
    </row>
    <row r="21" spans="1:3">
      <c r="A21">
        <v>20</v>
      </c>
      <c r="B21" t="s">
        <v>92</v>
      </c>
      <c r="C21" s="2" t="s">
        <v>67</v>
      </c>
    </row>
    <row r="22" spans="1:3">
      <c r="A22">
        <v>21</v>
      </c>
      <c r="B22" t="s">
        <v>93</v>
      </c>
      <c r="C22" s="2" t="s">
        <v>83</v>
      </c>
    </row>
    <row r="23" spans="1:3">
      <c r="A23">
        <v>22</v>
      </c>
      <c r="B23" t="s">
        <v>94</v>
      </c>
      <c r="C23" s="2" t="s">
        <v>85</v>
      </c>
    </row>
    <row r="24" spans="1:3">
      <c r="A24">
        <v>23</v>
      </c>
      <c r="B24" t="s">
        <v>95</v>
      </c>
      <c r="C24" s="2" t="s">
        <v>96</v>
      </c>
    </row>
    <row r="25" spans="1:3">
      <c r="A25">
        <v>24</v>
      </c>
      <c r="B25" t="s">
        <v>97</v>
      </c>
      <c r="C25" s="2" t="s">
        <v>98</v>
      </c>
    </row>
    <row r="26" spans="1:3">
      <c r="A26">
        <v>25</v>
      </c>
      <c r="B26" t="s">
        <v>99</v>
      </c>
      <c r="C26" s="2" t="s">
        <v>67</v>
      </c>
    </row>
    <row r="27" spans="1:3">
      <c r="A27">
        <v>26</v>
      </c>
      <c r="B27" t="s">
        <v>100</v>
      </c>
      <c r="C27" s="2" t="s">
        <v>67</v>
      </c>
    </row>
    <row r="28" spans="1:3">
      <c r="A28">
        <v>27</v>
      </c>
      <c r="B28" t="s">
        <v>101</v>
      </c>
      <c r="C28" s="2" t="s">
        <v>67</v>
      </c>
    </row>
    <row r="29" spans="1:3">
      <c r="A29">
        <v>28</v>
      </c>
      <c r="B29" t="s">
        <v>102</v>
      </c>
      <c r="C29" s="2" t="s">
        <v>67</v>
      </c>
    </row>
    <row r="30" spans="1:3">
      <c r="A30">
        <v>29</v>
      </c>
      <c r="B30" t="s">
        <v>103</v>
      </c>
      <c r="C30" s="2" t="s">
        <v>67</v>
      </c>
    </row>
    <row r="31" spans="1:3">
      <c r="A31">
        <v>30</v>
      </c>
      <c r="B31" t="s">
        <v>104</v>
      </c>
      <c r="C31" s="2" t="s">
        <v>67</v>
      </c>
    </row>
    <row r="32" spans="1:3">
      <c r="A32">
        <v>31</v>
      </c>
      <c r="B32" t="s">
        <v>105</v>
      </c>
      <c r="C32" s="2" t="s">
        <v>67</v>
      </c>
    </row>
    <row r="33" spans="1:3">
      <c r="A33">
        <v>32</v>
      </c>
      <c r="B33" t="s">
        <v>106</v>
      </c>
      <c r="C33" s="2" t="s">
        <v>67</v>
      </c>
    </row>
    <row r="34" spans="1:3">
      <c r="A34">
        <v>33</v>
      </c>
      <c r="B34" t="s">
        <v>107</v>
      </c>
      <c r="C34" s="2" t="s">
        <v>67</v>
      </c>
    </row>
    <row r="35" spans="1:3">
      <c r="A35">
        <v>34</v>
      </c>
      <c r="B35" t="s">
        <v>108</v>
      </c>
      <c r="C35" s="2" t="s">
        <v>67</v>
      </c>
    </row>
    <row r="36" spans="1:3">
      <c r="A36">
        <v>35</v>
      </c>
      <c r="B36" t="s">
        <v>109</v>
      </c>
      <c r="C36" s="2" t="s">
        <v>67</v>
      </c>
    </row>
    <row r="37" spans="1:3">
      <c r="A37">
        <v>36</v>
      </c>
      <c r="B37" t="s">
        <v>110</v>
      </c>
      <c r="C37" s="2" t="s">
        <v>67</v>
      </c>
    </row>
    <row r="38" spans="1:3">
      <c r="A38">
        <v>37</v>
      </c>
      <c r="B38" t="s">
        <v>111</v>
      </c>
      <c r="C38" s="2" t="s">
        <v>67</v>
      </c>
    </row>
    <row r="39" spans="1:3">
      <c r="A39">
        <v>38</v>
      </c>
      <c r="B39" t="s">
        <v>112</v>
      </c>
      <c r="C39" s="2" t="s">
        <v>67</v>
      </c>
    </row>
    <row r="40" spans="1:3">
      <c r="A40">
        <v>39</v>
      </c>
      <c r="B40" t="s">
        <v>113</v>
      </c>
      <c r="C40" s="2" t="s">
        <v>67</v>
      </c>
    </row>
    <row r="41" spans="1:3">
      <c r="A41">
        <v>40</v>
      </c>
      <c r="B41" t="s">
        <v>114</v>
      </c>
      <c r="C41" s="2" t="s">
        <v>67</v>
      </c>
    </row>
    <row r="42" spans="1:3">
      <c r="A42">
        <v>41</v>
      </c>
      <c r="B42" t="s">
        <v>115</v>
      </c>
      <c r="C42" s="2" t="s">
        <v>67</v>
      </c>
    </row>
    <row r="43" spans="1:3">
      <c r="A43">
        <v>42</v>
      </c>
      <c r="B43" t="s">
        <v>116</v>
      </c>
      <c r="C43" s="2" t="s">
        <v>67</v>
      </c>
    </row>
    <row r="44" spans="1:3">
      <c r="A44">
        <v>43</v>
      </c>
      <c r="B44" t="s">
        <v>117</v>
      </c>
      <c r="C44" s="2" t="s">
        <v>67</v>
      </c>
    </row>
    <row r="45" spans="1:3">
      <c r="A45">
        <v>44</v>
      </c>
      <c r="B45" t="s">
        <v>118</v>
      </c>
      <c r="C45" s="2" t="s">
        <v>67</v>
      </c>
    </row>
    <row r="46" spans="1:3">
      <c r="A46">
        <v>45</v>
      </c>
      <c r="B46" t="s">
        <v>119</v>
      </c>
      <c r="C46" s="2" t="s">
        <v>67</v>
      </c>
    </row>
    <row r="47" spans="1:3">
      <c r="A47">
        <v>46</v>
      </c>
      <c r="B47" t="s">
        <v>120</v>
      </c>
      <c r="C47" s="2" t="s">
        <v>67</v>
      </c>
    </row>
    <row r="48" spans="1:3">
      <c r="A48">
        <v>47</v>
      </c>
      <c r="B48" t="s">
        <v>121</v>
      </c>
      <c r="C48" s="2" t="s">
        <v>67</v>
      </c>
    </row>
    <row r="49" spans="1:3">
      <c r="A49">
        <v>48</v>
      </c>
      <c r="B49" t="s">
        <v>122</v>
      </c>
      <c r="C49" s="2" t="s">
        <v>67</v>
      </c>
    </row>
    <row r="50" spans="1:3">
      <c r="A50">
        <v>49</v>
      </c>
      <c r="B50" t="s">
        <v>123</v>
      </c>
      <c r="C50" s="2" t="s">
        <v>67</v>
      </c>
    </row>
    <row r="51" spans="1:3">
      <c r="A51">
        <v>50</v>
      </c>
      <c r="B51" t="s">
        <v>124</v>
      </c>
      <c r="C51" s="2" t="s">
        <v>67</v>
      </c>
    </row>
    <row r="52" spans="1:3">
      <c r="A52">
        <v>51</v>
      </c>
      <c r="B52" t="s">
        <v>125</v>
      </c>
      <c r="C52" s="2" t="s">
        <v>67</v>
      </c>
    </row>
    <row r="53" spans="1:3">
      <c r="A53">
        <v>52</v>
      </c>
      <c r="B53" t="s">
        <v>126</v>
      </c>
      <c r="C53" s="2" t="s">
        <v>67</v>
      </c>
    </row>
    <row r="54" spans="1:3">
      <c r="A54">
        <v>53</v>
      </c>
      <c r="B54" t="s">
        <v>127</v>
      </c>
      <c r="C54" s="2" t="s">
        <v>67</v>
      </c>
    </row>
    <row r="55" spans="1:3">
      <c r="A55">
        <v>54</v>
      </c>
      <c r="B55" t="s">
        <v>128</v>
      </c>
      <c r="C55" s="2" t="s">
        <v>67</v>
      </c>
    </row>
    <row r="56" spans="1:3">
      <c r="A56">
        <v>55</v>
      </c>
      <c r="B56" t="s">
        <v>129</v>
      </c>
      <c r="C56" s="2" t="s">
        <v>67</v>
      </c>
    </row>
    <row r="57" spans="1:3">
      <c r="A57">
        <v>56</v>
      </c>
      <c r="B57" t="s">
        <v>130</v>
      </c>
      <c r="C57" s="2" t="s">
        <v>67</v>
      </c>
    </row>
    <row r="58" spans="1:3">
      <c r="A58">
        <v>57</v>
      </c>
      <c r="B58" t="s">
        <v>131</v>
      </c>
      <c r="C58" s="2" t="s">
        <v>67</v>
      </c>
    </row>
    <row r="59" spans="1:3">
      <c r="A59">
        <v>58</v>
      </c>
      <c r="B59" t="s">
        <v>132</v>
      </c>
      <c r="C59" s="2" t="s">
        <v>67</v>
      </c>
    </row>
    <row r="60" spans="1:3">
      <c r="A60">
        <v>59</v>
      </c>
      <c r="B60" t="s">
        <v>133</v>
      </c>
      <c r="C60" s="2" t="s">
        <v>67</v>
      </c>
    </row>
    <row r="61" spans="1:3">
      <c r="A61">
        <v>60</v>
      </c>
      <c r="B61" t="s">
        <v>134</v>
      </c>
      <c r="C61" s="2" t="s">
        <v>67</v>
      </c>
    </row>
    <row r="62" spans="1:3">
      <c r="A62">
        <v>61</v>
      </c>
      <c r="B62" t="s">
        <v>135</v>
      </c>
      <c r="C62" s="2" t="s">
        <v>67</v>
      </c>
    </row>
    <row r="63" spans="1:3">
      <c r="A63">
        <v>62</v>
      </c>
      <c r="B63" t="s">
        <v>136</v>
      </c>
      <c r="C63" s="2" t="s">
        <v>67</v>
      </c>
    </row>
    <row r="64" spans="1:3">
      <c r="A64">
        <v>63</v>
      </c>
      <c r="B64" t="s">
        <v>137</v>
      </c>
      <c r="C64" s="2" t="s">
        <v>67</v>
      </c>
    </row>
    <row r="65" spans="1:3">
      <c r="A65">
        <v>64</v>
      </c>
      <c r="B65" t="s">
        <v>138</v>
      </c>
      <c r="C65" s="2" t="s">
        <v>67</v>
      </c>
    </row>
    <row r="66" spans="1:3">
      <c r="A66">
        <v>65</v>
      </c>
      <c r="B66" t="s">
        <v>139</v>
      </c>
      <c r="C66" s="2" t="s">
        <v>67</v>
      </c>
    </row>
    <row r="67" spans="1:3">
      <c r="A67">
        <v>66</v>
      </c>
      <c r="B67" t="s">
        <v>140</v>
      </c>
      <c r="C67" s="2" t="s">
        <v>67</v>
      </c>
    </row>
    <row r="68" spans="1:3">
      <c r="A68">
        <v>67</v>
      </c>
      <c r="B68" t="s">
        <v>141</v>
      </c>
      <c r="C68" s="2" t="s">
        <v>67</v>
      </c>
    </row>
    <row r="69" spans="1:3">
      <c r="A69">
        <v>68</v>
      </c>
      <c r="B69" t="s">
        <v>142</v>
      </c>
      <c r="C69" s="2" t="s">
        <v>67</v>
      </c>
    </row>
    <row r="70" spans="1:3">
      <c r="A70">
        <v>69</v>
      </c>
      <c r="B70" t="s">
        <v>143</v>
      </c>
      <c r="C70" s="2" t="s">
        <v>67</v>
      </c>
    </row>
    <row r="71" spans="1:3">
      <c r="A71">
        <v>70</v>
      </c>
      <c r="B71" t="s">
        <v>144</v>
      </c>
      <c r="C71" s="2" t="s">
        <v>67</v>
      </c>
    </row>
    <row r="72" spans="1:3">
      <c r="A72">
        <v>71</v>
      </c>
      <c r="B72" t="s">
        <v>145</v>
      </c>
      <c r="C72" s="2" t="s">
        <v>67</v>
      </c>
    </row>
    <row r="73" spans="1:3">
      <c r="A73">
        <v>72</v>
      </c>
      <c r="B73" t="s">
        <v>146</v>
      </c>
      <c r="C73" s="2" t="s">
        <v>67</v>
      </c>
    </row>
    <row r="74" spans="1:3">
      <c r="A74">
        <v>73</v>
      </c>
      <c r="B74" t="s">
        <v>147</v>
      </c>
      <c r="C74" s="2" t="s">
        <v>67</v>
      </c>
    </row>
    <row r="75" spans="1:3">
      <c r="A75">
        <v>74</v>
      </c>
      <c r="B75" t="s">
        <v>148</v>
      </c>
      <c r="C75" s="2" t="s">
        <v>67</v>
      </c>
    </row>
    <row r="76" spans="1:3">
      <c r="A76">
        <v>75</v>
      </c>
      <c r="B76" t="s">
        <v>149</v>
      </c>
      <c r="C76" s="2" t="s">
        <v>67</v>
      </c>
    </row>
    <row r="77" spans="1:3">
      <c r="A77">
        <v>76</v>
      </c>
      <c r="B77" t="s">
        <v>150</v>
      </c>
      <c r="C77" s="2" t="s">
        <v>67</v>
      </c>
    </row>
    <row r="78" spans="1:3">
      <c r="A78">
        <v>77</v>
      </c>
      <c r="B78" t="s">
        <v>151</v>
      </c>
      <c r="C78" s="2" t="s">
        <v>67</v>
      </c>
    </row>
    <row r="79" spans="1:3">
      <c r="A79">
        <v>78</v>
      </c>
      <c r="B79" t="s">
        <v>152</v>
      </c>
      <c r="C79" s="2" t="s">
        <v>67</v>
      </c>
    </row>
    <row r="80" spans="1:3">
      <c r="A80">
        <v>79</v>
      </c>
      <c r="B80" t="s">
        <v>153</v>
      </c>
      <c r="C80" s="2" t="s">
        <v>67</v>
      </c>
    </row>
    <row r="81" spans="1:3">
      <c r="A81">
        <v>80</v>
      </c>
      <c r="B81" t="s">
        <v>154</v>
      </c>
      <c r="C81" s="2" t="s">
        <v>67</v>
      </c>
    </row>
    <row r="82" spans="1:3">
      <c r="A82">
        <v>81</v>
      </c>
      <c r="B82" t="s">
        <v>155</v>
      </c>
      <c r="C82" s="2" t="s">
        <v>67</v>
      </c>
    </row>
    <row r="83" spans="1:3">
      <c r="A83">
        <v>82</v>
      </c>
      <c r="B83" t="s">
        <v>156</v>
      </c>
      <c r="C83" s="2" t="s">
        <v>67</v>
      </c>
    </row>
    <row r="84" spans="1:3">
      <c r="A84">
        <v>83</v>
      </c>
      <c r="B84" t="s">
        <v>157</v>
      </c>
      <c r="C84" s="2" t="s">
        <v>67</v>
      </c>
    </row>
    <row r="85" spans="1:3">
      <c r="A85">
        <v>84</v>
      </c>
      <c r="B85" t="s">
        <v>158</v>
      </c>
      <c r="C85" s="2" t="s">
        <v>67</v>
      </c>
    </row>
    <row r="86" spans="1:3">
      <c r="A86">
        <v>85</v>
      </c>
      <c r="B86" t="s">
        <v>159</v>
      </c>
      <c r="C86" s="2" t="s">
        <v>67</v>
      </c>
    </row>
    <row r="87" spans="1:3">
      <c r="A87">
        <v>86</v>
      </c>
      <c r="B87" t="s">
        <v>160</v>
      </c>
      <c r="C87" s="2" t="s">
        <v>67</v>
      </c>
    </row>
    <row r="88" spans="1:3">
      <c r="A88">
        <v>87</v>
      </c>
      <c r="B88" t="s">
        <v>161</v>
      </c>
      <c r="C88" s="2" t="s">
        <v>67</v>
      </c>
    </row>
    <row r="89" spans="1:3">
      <c r="A89">
        <v>88</v>
      </c>
      <c r="B89" t="s">
        <v>162</v>
      </c>
      <c r="C89" s="2" t="s">
        <v>67</v>
      </c>
    </row>
    <row r="90" spans="1:3">
      <c r="A90">
        <v>89</v>
      </c>
      <c r="B90" t="s">
        <v>163</v>
      </c>
      <c r="C90" s="2" t="s">
        <v>67</v>
      </c>
    </row>
    <row r="91" spans="1:3">
      <c r="A91">
        <v>90</v>
      </c>
      <c r="B91" t="s">
        <v>164</v>
      </c>
      <c r="C91" s="2" t="s">
        <v>67</v>
      </c>
    </row>
    <row r="92" spans="1:3">
      <c r="A92">
        <v>91</v>
      </c>
      <c r="B92" t="s">
        <v>165</v>
      </c>
      <c r="C92" s="2" t="s">
        <v>67</v>
      </c>
    </row>
    <row r="93" spans="1:3">
      <c r="A93">
        <v>92</v>
      </c>
      <c r="B93" t="s">
        <v>166</v>
      </c>
      <c r="C93" s="2" t="s">
        <v>67</v>
      </c>
    </row>
    <row r="94" spans="1:3">
      <c r="A94">
        <v>93</v>
      </c>
      <c r="B94" t="s">
        <v>167</v>
      </c>
      <c r="C94" s="2" t="s">
        <v>67</v>
      </c>
    </row>
    <row r="95" spans="1:3">
      <c r="A95">
        <v>94</v>
      </c>
      <c r="B95" t="s">
        <v>168</v>
      </c>
      <c r="C95" s="2" t="s">
        <v>67</v>
      </c>
    </row>
    <row r="96" spans="1:3">
      <c r="A96">
        <v>95</v>
      </c>
      <c r="B96" t="s">
        <v>169</v>
      </c>
      <c r="C96" s="2" t="s">
        <v>67</v>
      </c>
    </row>
    <row r="97" spans="1:3">
      <c r="A97">
        <v>96</v>
      </c>
      <c r="B97" t="s">
        <v>170</v>
      </c>
      <c r="C97" s="2" t="s">
        <v>67</v>
      </c>
    </row>
    <row r="98" spans="1:3">
      <c r="A98">
        <v>97</v>
      </c>
      <c r="B98" t="s">
        <v>171</v>
      </c>
      <c r="C98" s="2" t="s">
        <v>67</v>
      </c>
    </row>
    <row r="99" spans="1:3">
      <c r="A99">
        <v>98</v>
      </c>
      <c r="B99" t="s">
        <v>172</v>
      </c>
      <c r="C99" s="2" t="s">
        <v>67</v>
      </c>
    </row>
    <row r="100" spans="1:3">
      <c r="A100">
        <v>99</v>
      </c>
      <c r="B100" t="s">
        <v>173</v>
      </c>
      <c r="C100" s="2" t="s">
        <v>67</v>
      </c>
    </row>
    <row r="101" spans="1:3">
      <c r="A101">
        <v>100</v>
      </c>
      <c r="B101" t="s">
        <v>174</v>
      </c>
      <c r="C101" s="2" t="s">
        <v>67</v>
      </c>
    </row>
  </sheetData>
  <dataValidations count="1">
    <dataValidation type="whole" allowBlank="1" showInputMessage="1" showErrorMessage="1" sqref="A2:A101" xr:uid="{137E23C0-C5E7-477E-97F4-7EC49799A824}">
      <formula1>1</formula1>
      <formula2>100</formula2>
    </dataValidation>
  </dataValidations>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E141-E357-4B1D-B221-8D751495DB7B}">
  <sheetPr codeName="Sheet3"/>
  <dimension ref="A1:K464"/>
  <sheetViews>
    <sheetView topLeftCell="I1" workbookViewId="0">
      <selection activeCell="J23" sqref="J23"/>
    </sheetView>
  </sheetViews>
  <sheetFormatPr baseColWidth="10" defaultColWidth="8.83203125" defaultRowHeight="15"/>
  <cols>
    <col min="1" max="1" width="17.1640625" bestFit="1" customWidth="1"/>
    <col min="2" max="2" width="31.1640625" bestFit="1" customWidth="1"/>
    <col min="3" max="3" width="26.5" bestFit="1" customWidth="1"/>
    <col min="4" max="4" width="31.6640625" bestFit="1" customWidth="1"/>
    <col min="5" max="5" width="30" bestFit="1" customWidth="1"/>
    <col min="6" max="6" width="15" bestFit="1" customWidth="1"/>
    <col min="7" max="7" width="68.33203125" bestFit="1" customWidth="1"/>
    <col min="8" max="9" width="255.6640625" bestFit="1" customWidth="1"/>
    <col min="10" max="10" width="18.5" bestFit="1" customWidth="1"/>
  </cols>
  <sheetData>
    <row r="1" spans="1:11">
      <c r="A1" t="s">
        <v>175</v>
      </c>
      <c r="B1" s="35">
        <v>44056</v>
      </c>
    </row>
    <row r="2" spans="1:11" ht="16">
      <c r="B2" s="34" t="s">
        <v>176</v>
      </c>
      <c r="C2" s="34" t="s">
        <v>177</v>
      </c>
    </row>
    <row r="3" spans="1:11">
      <c r="A3" t="s">
        <v>178</v>
      </c>
      <c r="B3" s="2">
        <v>3</v>
      </c>
      <c r="C3" s="2">
        <v>2</v>
      </c>
    </row>
    <row r="4" spans="1:11">
      <c r="A4" t="s">
        <v>179</v>
      </c>
      <c r="B4" s="2">
        <v>5</v>
      </c>
      <c r="C4" s="2">
        <v>2</v>
      </c>
    </row>
    <row r="5" spans="1:11">
      <c r="A5" t="s">
        <v>180</v>
      </c>
      <c r="B5" s="2">
        <v>1</v>
      </c>
      <c r="C5" s="2"/>
    </row>
    <row r="6" spans="1:11">
      <c r="A6" t="s">
        <v>181</v>
      </c>
      <c r="B6" s="2">
        <v>33</v>
      </c>
      <c r="C6" s="2">
        <v>15</v>
      </c>
    </row>
    <row r="7" spans="1:11">
      <c r="A7" t="s">
        <v>182</v>
      </c>
      <c r="B7" s="2">
        <v>231</v>
      </c>
      <c r="C7" s="2">
        <v>43</v>
      </c>
    </row>
    <row r="8" spans="1:11">
      <c r="A8" t="s">
        <v>183</v>
      </c>
      <c r="B8" s="2">
        <v>11</v>
      </c>
      <c r="C8" s="2">
        <v>11</v>
      </c>
    </row>
    <row r="9" spans="1:11">
      <c r="A9" t="s">
        <v>184</v>
      </c>
      <c r="B9" s="2">
        <f>SUM(B3:B8)</f>
        <v>284</v>
      </c>
      <c r="C9" s="2">
        <f>SUM(C3:C8)</f>
        <v>73</v>
      </c>
    </row>
    <row r="11" spans="1:11">
      <c r="A11" t="s">
        <v>185</v>
      </c>
      <c r="B11" t="s">
        <v>186</v>
      </c>
      <c r="C11" t="s">
        <v>187</v>
      </c>
      <c r="D11" t="s">
        <v>188</v>
      </c>
      <c r="E11" t="s">
        <v>189</v>
      </c>
      <c r="F11" t="s">
        <v>190</v>
      </c>
      <c r="G11" t="s">
        <v>191</v>
      </c>
      <c r="H11" t="s">
        <v>192</v>
      </c>
      <c r="I11" t="s">
        <v>193</v>
      </c>
      <c r="J11" t="s">
        <v>194</v>
      </c>
      <c r="K11" t="s">
        <v>195</v>
      </c>
    </row>
    <row r="12" spans="1:11">
      <c r="A12" t="s">
        <v>196</v>
      </c>
      <c r="B12" t="s">
        <v>197</v>
      </c>
      <c r="C12" s="120">
        <v>44056.356944444444</v>
      </c>
      <c r="D12" t="s">
        <v>198</v>
      </c>
      <c r="E12" t="s">
        <v>176</v>
      </c>
      <c r="F12" t="s">
        <v>181</v>
      </c>
      <c r="G12" s="120">
        <v>44055.61041666667</v>
      </c>
      <c r="H12" t="s">
        <v>199</v>
      </c>
      <c r="I12" t="s">
        <v>200</v>
      </c>
      <c r="J12" t="s">
        <v>201</v>
      </c>
      <c r="K12" t="s">
        <v>202</v>
      </c>
    </row>
    <row r="13" spans="1:11">
      <c r="A13" t="s">
        <v>203</v>
      </c>
      <c r="B13" t="s">
        <v>204</v>
      </c>
      <c r="C13" s="120">
        <v>44055.581250000003</v>
      </c>
      <c r="D13" t="s">
        <v>205</v>
      </c>
      <c r="E13" t="s">
        <v>206</v>
      </c>
      <c r="F13" t="s">
        <v>181</v>
      </c>
      <c r="G13" s="120">
        <v>44055.44027777778</v>
      </c>
      <c r="H13" t="s">
        <v>207</v>
      </c>
      <c r="I13" t="s">
        <v>208</v>
      </c>
      <c r="J13" t="s">
        <v>209</v>
      </c>
      <c r="K13" t="s">
        <v>210</v>
      </c>
    </row>
    <row r="14" spans="1:11">
      <c r="A14" t="s">
        <v>211</v>
      </c>
      <c r="B14" t="s">
        <v>212</v>
      </c>
      <c r="C14" s="120">
        <v>44055.561111111114</v>
      </c>
      <c r="D14" t="s">
        <v>213</v>
      </c>
      <c r="E14" t="s">
        <v>176</v>
      </c>
      <c r="F14" t="s">
        <v>182</v>
      </c>
      <c r="G14" s="120">
        <v>44055.558333333334</v>
      </c>
      <c r="H14" t="s">
        <v>213</v>
      </c>
      <c r="I14" t="s">
        <v>214</v>
      </c>
      <c r="J14" t="s">
        <v>215</v>
      </c>
      <c r="K14" t="s">
        <v>216</v>
      </c>
    </row>
    <row r="15" spans="1:11">
      <c r="A15" t="s">
        <v>217</v>
      </c>
      <c r="B15" t="s">
        <v>197</v>
      </c>
      <c r="C15" s="120">
        <v>44053.59652777778</v>
      </c>
      <c r="D15" t="s">
        <v>218</v>
      </c>
      <c r="E15" t="s">
        <v>176</v>
      </c>
      <c r="F15" t="s">
        <v>181</v>
      </c>
      <c r="G15" s="120">
        <v>44053.484722222223</v>
      </c>
      <c r="H15" t="s">
        <v>219</v>
      </c>
      <c r="I15" t="s">
        <v>220</v>
      </c>
      <c r="J15" t="s">
        <v>221</v>
      </c>
      <c r="K15" t="s">
        <v>222</v>
      </c>
    </row>
    <row r="16" spans="1:11">
      <c r="A16" t="s">
        <v>223</v>
      </c>
      <c r="B16" t="s">
        <v>204</v>
      </c>
      <c r="C16" s="120">
        <v>44053.339583333334</v>
      </c>
      <c r="D16" t="s">
        <v>224</v>
      </c>
      <c r="E16" t="s">
        <v>176</v>
      </c>
      <c r="F16" t="s">
        <v>182</v>
      </c>
      <c r="G16" s="120">
        <v>44053.311111111114</v>
      </c>
      <c r="H16" t="s">
        <v>225</v>
      </c>
      <c r="I16" t="s">
        <v>226</v>
      </c>
      <c r="J16" t="s">
        <v>227</v>
      </c>
      <c r="K16" t="s">
        <v>228</v>
      </c>
    </row>
    <row r="17" spans="1:11">
      <c r="A17" t="s">
        <v>223</v>
      </c>
      <c r="B17" t="s">
        <v>204</v>
      </c>
      <c r="C17" s="120">
        <v>44053.315972222219</v>
      </c>
      <c r="D17" t="s">
        <v>229</v>
      </c>
      <c r="E17" t="s">
        <v>230</v>
      </c>
      <c r="F17" t="s">
        <v>182</v>
      </c>
      <c r="G17" s="120">
        <v>44029.385416666664</v>
      </c>
      <c r="H17" t="s">
        <v>225</v>
      </c>
      <c r="I17" t="s">
        <v>231</v>
      </c>
      <c r="J17" t="s">
        <v>232</v>
      </c>
      <c r="K17" t="s">
        <v>228</v>
      </c>
    </row>
    <row r="18" spans="1:11">
      <c r="A18" t="s">
        <v>233</v>
      </c>
      <c r="B18" t="s">
        <v>234</v>
      </c>
      <c r="C18" s="120">
        <v>44050.510416666664</v>
      </c>
      <c r="D18" t="s">
        <v>235</v>
      </c>
      <c r="E18" t="s">
        <v>176</v>
      </c>
      <c r="F18" t="s">
        <v>181</v>
      </c>
      <c r="G18" s="120">
        <v>44050.331250000003</v>
      </c>
      <c r="H18" t="s">
        <v>236</v>
      </c>
      <c r="I18" t="s">
        <v>237</v>
      </c>
      <c r="J18" t="s">
        <v>238</v>
      </c>
      <c r="K18" t="s">
        <v>239</v>
      </c>
    </row>
    <row r="19" spans="1:11">
      <c r="A19" t="s">
        <v>240</v>
      </c>
      <c r="B19" t="s">
        <v>241</v>
      </c>
      <c r="C19" s="120">
        <v>44050.496527777781</v>
      </c>
      <c r="D19" t="s">
        <v>242</v>
      </c>
      <c r="E19" t="s">
        <v>176</v>
      </c>
      <c r="F19" t="s">
        <v>181</v>
      </c>
      <c r="G19" s="120">
        <v>44050.495833333334</v>
      </c>
      <c r="H19" t="s">
        <v>243</v>
      </c>
      <c r="I19" t="s">
        <v>244</v>
      </c>
      <c r="J19" t="s">
        <v>245</v>
      </c>
      <c r="K19" t="s">
        <v>246</v>
      </c>
    </row>
    <row r="20" spans="1:11">
      <c r="A20" t="s">
        <v>247</v>
      </c>
      <c r="B20" t="s">
        <v>248</v>
      </c>
      <c r="C20" s="120">
        <v>44050.490972222222</v>
      </c>
      <c r="D20" t="s">
        <v>213</v>
      </c>
      <c r="E20" t="s">
        <v>176</v>
      </c>
      <c r="F20" t="s">
        <v>182</v>
      </c>
      <c r="G20" s="120">
        <v>44050.375</v>
      </c>
      <c r="H20" t="s">
        <v>249</v>
      </c>
      <c r="I20" t="s">
        <v>250</v>
      </c>
      <c r="J20" t="s">
        <v>251</v>
      </c>
      <c r="K20" t="s">
        <v>252</v>
      </c>
    </row>
    <row r="21" spans="1:11">
      <c r="A21" t="s">
        <v>253</v>
      </c>
      <c r="B21" t="s">
        <v>197</v>
      </c>
      <c r="C21" s="120">
        <v>44049.557638888888</v>
      </c>
      <c r="D21" t="s">
        <v>254</v>
      </c>
      <c r="E21" t="s">
        <v>177</v>
      </c>
      <c r="F21" t="s">
        <v>181</v>
      </c>
      <c r="G21" s="120">
        <v>44042.352083333331</v>
      </c>
      <c r="H21" t="s">
        <v>255</v>
      </c>
      <c r="I21" t="s">
        <v>256</v>
      </c>
      <c r="J21" t="s">
        <v>257</v>
      </c>
      <c r="K21" t="s">
        <v>258</v>
      </c>
    </row>
    <row r="22" spans="1:11">
      <c r="A22" t="s">
        <v>259</v>
      </c>
      <c r="B22" t="s">
        <v>197</v>
      </c>
      <c r="C22" s="120">
        <v>44049.553472222222</v>
      </c>
      <c r="D22" t="s">
        <v>260</v>
      </c>
      <c r="E22" t="s">
        <v>176</v>
      </c>
      <c r="F22" t="s">
        <v>182</v>
      </c>
      <c r="G22" s="120">
        <v>44049.550694444442</v>
      </c>
      <c r="H22" t="s">
        <v>261</v>
      </c>
      <c r="I22" t="s">
        <v>262</v>
      </c>
      <c r="J22" t="s">
        <v>245</v>
      </c>
      <c r="K22" t="s">
        <v>263</v>
      </c>
    </row>
    <row r="23" spans="1:11">
      <c r="A23" t="s">
        <v>264</v>
      </c>
      <c r="B23" t="s">
        <v>265</v>
      </c>
      <c r="C23" s="120">
        <v>44049.440972222219</v>
      </c>
      <c r="D23" t="s">
        <v>266</v>
      </c>
      <c r="E23" t="s">
        <v>176</v>
      </c>
      <c r="F23" t="s">
        <v>181</v>
      </c>
      <c r="G23" s="120">
        <v>44049.4375</v>
      </c>
      <c r="H23" t="s">
        <v>267</v>
      </c>
      <c r="I23" t="s">
        <v>268</v>
      </c>
      <c r="J23" t="s">
        <v>269</v>
      </c>
      <c r="K23" t="s">
        <v>270</v>
      </c>
    </row>
    <row r="24" spans="1:11">
      <c r="A24" t="s">
        <v>271</v>
      </c>
      <c r="B24" t="s">
        <v>272</v>
      </c>
      <c r="C24" s="120">
        <v>44049.3125</v>
      </c>
      <c r="D24" t="s">
        <v>213</v>
      </c>
      <c r="E24" t="s">
        <v>176</v>
      </c>
      <c r="F24" t="s">
        <v>181</v>
      </c>
      <c r="G24" s="120">
        <v>44048.431250000001</v>
      </c>
      <c r="H24" t="s">
        <v>273</v>
      </c>
      <c r="I24" t="s">
        <v>274</v>
      </c>
      <c r="J24" t="s">
        <v>275</v>
      </c>
      <c r="K24" t="s">
        <v>276</v>
      </c>
    </row>
    <row r="25" spans="1:11">
      <c r="A25" t="s">
        <v>277</v>
      </c>
      <c r="B25" t="s">
        <v>204</v>
      </c>
      <c r="C25" s="120">
        <v>44048.636805555558</v>
      </c>
      <c r="D25" t="s">
        <v>278</v>
      </c>
      <c r="E25" t="s">
        <v>206</v>
      </c>
      <c r="F25" t="s">
        <v>181</v>
      </c>
      <c r="G25" s="120">
        <v>44048.486805555556</v>
      </c>
      <c r="H25" t="s">
        <v>279</v>
      </c>
      <c r="I25" t="s">
        <v>280</v>
      </c>
      <c r="J25" t="s">
        <v>281</v>
      </c>
      <c r="K25" t="s">
        <v>282</v>
      </c>
    </row>
    <row r="26" spans="1:11">
      <c r="A26" t="s">
        <v>245</v>
      </c>
      <c r="B26" t="s">
        <v>245</v>
      </c>
      <c r="C26" s="120">
        <v>44047.59375</v>
      </c>
      <c r="D26" t="s">
        <v>283</v>
      </c>
      <c r="E26" t="s">
        <v>176</v>
      </c>
      <c r="F26" t="s">
        <v>181</v>
      </c>
      <c r="G26" s="120">
        <v>44041.597916666666</v>
      </c>
      <c r="H26" t="s">
        <v>245</v>
      </c>
      <c r="I26" t="s">
        <v>284</v>
      </c>
      <c r="J26" t="s">
        <v>285</v>
      </c>
      <c r="K26" t="s">
        <v>245</v>
      </c>
    </row>
    <row r="27" spans="1:11">
      <c r="A27" t="s">
        <v>286</v>
      </c>
      <c r="B27" t="s">
        <v>29</v>
      </c>
      <c r="C27" s="120">
        <v>44047.586111111108</v>
      </c>
      <c r="D27" t="s">
        <v>287</v>
      </c>
      <c r="E27" t="s">
        <v>176</v>
      </c>
      <c r="F27" t="s">
        <v>182</v>
      </c>
      <c r="G27" s="120">
        <v>44047.564583333333</v>
      </c>
      <c r="H27" t="s">
        <v>288</v>
      </c>
      <c r="I27" t="s">
        <v>289</v>
      </c>
      <c r="J27" t="s">
        <v>290</v>
      </c>
      <c r="K27" t="s">
        <v>291</v>
      </c>
    </row>
    <row r="28" spans="1:11">
      <c r="A28" t="s">
        <v>292</v>
      </c>
      <c r="B28" t="s">
        <v>197</v>
      </c>
      <c r="C28" s="120">
        <v>44046.638888888891</v>
      </c>
      <c r="D28" t="s">
        <v>293</v>
      </c>
      <c r="E28" t="s">
        <v>176</v>
      </c>
      <c r="F28" t="s">
        <v>182</v>
      </c>
      <c r="G28" s="120">
        <v>44046.62777777778</v>
      </c>
      <c r="H28" t="s">
        <v>294</v>
      </c>
      <c r="I28" t="s">
        <v>295</v>
      </c>
      <c r="J28" t="s">
        <v>296</v>
      </c>
      <c r="K28" t="s">
        <v>297</v>
      </c>
    </row>
    <row r="29" spans="1:11">
      <c r="A29" t="s">
        <v>298</v>
      </c>
      <c r="B29" t="s">
        <v>234</v>
      </c>
      <c r="C29" s="120">
        <v>44046.617361111108</v>
      </c>
      <c r="D29" t="s">
        <v>299</v>
      </c>
      <c r="E29" t="s">
        <v>177</v>
      </c>
      <c r="F29" t="s">
        <v>183</v>
      </c>
      <c r="G29" s="120">
        <v>44036.573611111111</v>
      </c>
      <c r="H29" t="s">
        <v>213</v>
      </c>
      <c r="I29" t="s">
        <v>300</v>
      </c>
      <c r="J29" t="s">
        <v>301</v>
      </c>
      <c r="K29" t="s">
        <v>302</v>
      </c>
    </row>
    <row r="30" spans="1:11">
      <c r="A30" t="s">
        <v>303</v>
      </c>
      <c r="B30" t="s">
        <v>234</v>
      </c>
      <c r="C30" s="120">
        <v>44046.50277777778</v>
      </c>
      <c r="D30" t="s">
        <v>304</v>
      </c>
      <c r="E30" t="s">
        <v>176</v>
      </c>
      <c r="F30" t="s">
        <v>181</v>
      </c>
      <c r="G30" s="120">
        <v>44046.500694444447</v>
      </c>
      <c r="H30" t="s">
        <v>305</v>
      </c>
      <c r="I30" t="s">
        <v>306</v>
      </c>
      <c r="J30" t="s">
        <v>245</v>
      </c>
      <c r="K30" t="s">
        <v>307</v>
      </c>
    </row>
    <row r="31" spans="1:11">
      <c r="A31" t="s">
        <v>308</v>
      </c>
      <c r="B31" t="s">
        <v>309</v>
      </c>
      <c r="C31" s="120">
        <v>44046.461805555555</v>
      </c>
      <c r="D31" t="s">
        <v>310</v>
      </c>
      <c r="E31" t="s">
        <v>176</v>
      </c>
      <c r="F31" t="s">
        <v>181</v>
      </c>
      <c r="G31" s="120">
        <v>43941.675694444442</v>
      </c>
      <c r="H31" t="s">
        <v>311</v>
      </c>
      <c r="I31" t="s">
        <v>312</v>
      </c>
      <c r="J31" t="s">
        <v>313</v>
      </c>
      <c r="K31" t="s">
        <v>314</v>
      </c>
    </row>
    <row r="32" spans="1:11">
      <c r="A32" t="s">
        <v>315</v>
      </c>
      <c r="B32" t="s">
        <v>316</v>
      </c>
      <c r="C32" s="120">
        <v>44042.59097222222</v>
      </c>
      <c r="D32" t="s">
        <v>317</v>
      </c>
      <c r="E32" t="s">
        <v>176</v>
      </c>
      <c r="F32" t="s">
        <v>182</v>
      </c>
      <c r="G32" s="120">
        <v>44042.583333333336</v>
      </c>
      <c r="H32" t="s">
        <v>318</v>
      </c>
      <c r="I32" t="s">
        <v>319</v>
      </c>
      <c r="J32" t="s">
        <v>320</v>
      </c>
      <c r="K32" t="s">
        <v>321</v>
      </c>
    </row>
    <row r="33" spans="1:11">
      <c r="A33" t="s">
        <v>322</v>
      </c>
      <c r="B33" t="s">
        <v>309</v>
      </c>
      <c r="C33" s="120">
        <v>44042.448611111111</v>
      </c>
      <c r="D33" t="s">
        <v>323</v>
      </c>
      <c r="E33" t="s">
        <v>176</v>
      </c>
      <c r="F33" t="s">
        <v>181</v>
      </c>
      <c r="G33" s="120">
        <v>44041.617361111108</v>
      </c>
      <c r="H33" t="s">
        <v>324</v>
      </c>
      <c r="I33" t="s">
        <v>325</v>
      </c>
      <c r="J33" t="s">
        <v>326</v>
      </c>
      <c r="K33" t="s">
        <v>327</v>
      </c>
    </row>
    <row r="34" spans="1:11">
      <c r="A34" t="s">
        <v>253</v>
      </c>
      <c r="B34" t="s">
        <v>197</v>
      </c>
      <c r="C34" s="120">
        <v>44042.334722222222</v>
      </c>
      <c r="D34" t="s">
        <v>328</v>
      </c>
      <c r="E34" t="s">
        <v>329</v>
      </c>
      <c r="F34" t="s">
        <v>178</v>
      </c>
      <c r="G34" s="120">
        <v>44042.334027777775</v>
      </c>
      <c r="H34" t="s">
        <v>255</v>
      </c>
      <c r="I34" t="s">
        <v>330</v>
      </c>
      <c r="J34" t="s">
        <v>245</v>
      </c>
      <c r="K34" t="s">
        <v>258</v>
      </c>
    </row>
    <row r="35" spans="1:11">
      <c r="A35" t="s">
        <v>331</v>
      </c>
      <c r="B35" t="s">
        <v>197</v>
      </c>
      <c r="C35" s="120">
        <v>44042.317361111112</v>
      </c>
      <c r="D35" t="s">
        <v>332</v>
      </c>
      <c r="E35" t="s">
        <v>176</v>
      </c>
      <c r="F35" t="s">
        <v>179</v>
      </c>
      <c r="G35" s="120">
        <v>44042.315972222219</v>
      </c>
      <c r="H35" t="s">
        <v>267</v>
      </c>
      <c r="I35" t="s">
        <v>333</v>
      </c>
      <c r="J35" t="s">
        <v>245</v>
      </c>
      <c r="K35" t="s">
        <v>334</v>
      </c>
    </row>
    <row r="36" spans="1:11">
      <c r="A36" t="s">
        <v>335</v>
      </c>
      <c r="B36" t="s">
        <v>336</v>
      </c>
      <c r="C36" s="120">
        <v>44041.511805555558</v>
      </c>
      <c r="D36" t="s">
        <v>213</v>
      </c>
      <c r="E36" t="s">
        <v>176</v>
      </c>
      <c r="F36" t="s">
        <v>182</v>
      </c>
      <c r="G36" s="120">
        <v>44041.49722222222</v>
      </c>
      <c r="H36" t="s">
        <v>337</v>
      </c>
      <c r="I36" t="s">
        <v>338</v>
      </c>
      <c r="J36" t="s">
        <v>339</v>
      </c>
      <c r="K36" t="s">
        <v>340</v>
      </c>
    </row>
    <row r="37" spans="1:11">
      <c r="A37" t="s">
        <v>341</v>
      </c>
      <c r="B37" t="s">
        <v>342</v>
      </c>
      <c r="C37" s="120">
        <v>44041.35833333333</v>
      </c>
      <c r="D37" t="s">
        <v>213</v>
      </c>
      <c r="E37" t="s">
        <v>176</v>
      </c>
      <c r="F37" t="s">
        <v>182</v>
      </c>
      <c r="G37" s="120">
        <v>44040.583333333336</v>
      </c>
      <c r="H37" t="s">
        <v>343</v>
      </c>
      <c r="I37" t="s">
        <v>344</v>
      </c>
      <c r="J37" t="s">
        <v>345</v>
      </c>
      <c r="K37" t="s">
        <v>346</v>
      </c>
    </row>
    <row r="38" spans="1:11">
      <c r="A38" t="s">
        <v>347</v>
      </c>
      <c r="B38" t="s">
        <v>348</v>
      </c>
      <c r="C38" s="120">
        <v>44041.348611111112</v>
      </c>
      <c r="D38" t="s">
        <v>349</v>
      </c>
      <c r="E38" t="s">
        <v>176</v>
      </c>
      <c r="F38" t="s">
        <v>182</v>
      </c>
      <c r="G38" s="120">
        <v>44041.311805555553</v>
      </c>
      <c r="H38" t="s">
        <v>350</v>
      </c>
      <c r="I38" t="s">
        <v>351</v>
      </c>
      <c r="J38" t="s">
        <v>352</v>
      </c>
      <c r="K38" t="s">
        <v>353</v>
      </c>
    </row>
    <row r="39" spans="1:11">
      <c r="A39" t="s">
        <v>354</v>
      </c>
      <c r="B39" t="s">
        <v>355</v>
      </c>
      <c r="C39" s="120">
        <v>44041.343055555553</v>
      </c>
      <c r="D39" t="s">
        <v>356</v>
      </c>
      <c r="E39" t="s">
        <v>176</v>
      </c>
      <c r="F39" t="s">
        <v>182</v>
      </c>
      <c r="G39" s="120">
        <v>44040.59375</v>
      </c>
      <c r="H39" t="s">
        <v>357</v>
      </c>
      <c r="I39" t="s">
        <v>358</v>
      </c>
      <c r="J39" t="s">
        <v>359</v>
      </c>
      <c r="K39" t="s">
        <v>360</v>
      </c>
    </row>
    <row r="40" spans="1:11">
      <c r="A40" t="s">
        <v>361</v>
      </c>
      <c r="B40" t="s">
        <v>316</v>
      </c>
      <c r="C40" s="120">
        <v>44041.290277777778</v>
      </c>
      <c r="D40" t="s">
        <v>362</v>
      </c>
      <c r="E40" t="s">
        <v>176</v>
      </c>
      <c r="F40" t="s">
        <v>182</v>
      </c>
      <c r="G40" s="120">
        <v>44041.281944444447</v>
      </c>
      <c r="H40" t="s">
        <v>362</v>
      </c>
      <c r="I40" t="s">
        <v>363</v>
      </c>
      <c r="J40" t="s">
        <v>364</v>
      </c>
      <c r="K40" t="s">
        <v>365</v>
      </c>
    </row>
    <row r="41" spans="1:11">
      <c r="A41" t="s">
        <v>366</v>
      </c>
      <c r="B41" t="s">
        <v>265</v>
      </c>
      <c r="C41" s="120">
        <v>44040.580555555556</v>
      </c>
      <c r="D41" t="s">
        <v>367</v>
      </c>
      <c r="E41" t="s">
        <v>176</v>
      </c>
      <c r="F41" t="s">
        <v>181</v>
      </c>
      <c r="G41" s="120">
        <v>44040.512499999997</v>
      </c>
      <c r="H41" t="s">
        <v>368</v>
      </c>
      <c r="I41" t="s">
        <v>369</v>
      </c>
      <c r="J41" t="s">
        <v>245</v>
      </c>
      <c r="K41" t="s">
        <v>370</v>
      </c>
    </row>
    <row r="42" spans="1:11">
      <c r="A42" t="s">
        <v>371</v>
      </c>
      <c r="B42" t="s">
        <v>372</v>
      </c>
      <c r="C42" s="120">
        <v>44040.36041666667</v>
      </c>
      <c r="D42" t="s">
        <v>373</v>
      </c>
      <c r="E42" t="s">
        <v>177</v>
      </c>
      <c r="F42" t="s">
        <v>181</v>
      </c>
      <c r="G42" s="120">
        <v>44001.412499999999</v>
      </c>
      <c r="H42" t="s">
        <v>374</v>
      </c>
      <c r="I42" t="s">
        <v>375</v>
      </c>
      <c r="J42" t="s">
        <v>376</v>
      </c>
      <c r="K42" t="s">
        <v>377</v>
      </c>
    </row>
    <row r="43" spans="1:11">
      <c r="A43" t="s">
        <v>378</v>
      </c>
      <c r="B43" t="s">
        <v>372</v>
      </c>
      <c r="C43" s="120">
        <v>44040.359027777777</v>
      </c>
      <c r="D43" t="s">
        <v>379</v>
      </c>
      <c r="E43" t="s">
        <v>177</v>
      </c>
      <c r="F43" t="s">
        <v>178</v>
      </c>
      <c r="G43" s="120">
        <v>43972.435416666667</v>
      </c>
      <c r="H43" t="s">
        <v>380</v>
      </c>
      <c r="I43" t="s">
        <v>381</v>
      </c>
      <c r="J43" t="s">
        <v>382</v>
      </c>
      <c r="K43" t="s">
        <v>383</v>
      </c>
    </row>
    <row r="44" spans="1:11">
      <c r="A44" t="s">
        <v>298</v>
      </c>
      <c r="B44" t="s">
        <v>234</v>
      </c>
      <c r="C44" s="120">
        <v>44039.481249999997</v>
      </c>
      <c r="D44" t="s">
        <v>384</v>
      </c>
      <c r="E44" t="s">
        <v>176</v>
      </c>
      <c r="F44" t="s">
        <v>181</v>
      </c>
      <c r="G44" s="120">
        <v>44036.576388888891</v>
      </c>
      <c r="H44" t="s">
        <v>213</v>
      </c>
      <c r="I44" t="s">
        <v>385</v>
      </c>
      <c r="J44" t="s">
        <v>386</v>
      </c>
      <c r="K44" t="s">
        <v>302</v>
      </c>
    </row>
    <row r="45" spans="1:11">
      <c r="A45" t="s">
        <v>387</v>
      </c>
      <c r="B45" t="s">
        <v>372</v>
      </c>
      <c r="C45" s="120">
        <v>44036.541666666664</v>
      </c>
      <c r="D45" t="s">
        <v>388</v>
      </c>
      <c r="E45" t="s">
        <v>176</v>
      </c>
      <c r="F45" t="s">
        <v>181</v>
      </c>
      <c r="G45" s="120">
        <v>44036.512499999997</v>
      </c>
      <c r="H45" t="s">
        <v>389</v>
      </c>
      <c r="I45" t="s">
        <v>390</v>
      </c>
      <c r="J45" t="s">
        <v>391</v>
      </c>
      <c r="K45" t="s">
        <v>392</v>
      </c>
    </row>
    <row r="46" spans="1:11">
      <c r="A46" t="s">
        <v>393</v>
      </c>
      <c r="B46" t="s">
        <v>265</v>
      </c>
      <c r="C46" s="120">
        <v>44035.450694444444</v>
      </c>
      <c r="D46" t="s">
        <v>394</v>
      </c>
      <c r="E46" t="s">
        <v>176</v>
      </c>
      <c r="F46" t="s">
        <v>182</v>
      </c>
      <c r="G46" s="120">
        <v>43972.370833333334</v>
      </c>
      <c r="H46" t="s">
        <v>395</v>
      </c>
      <c r="I46" t="s">
        <v>396</v>
      </c>
      <c r="J46" t="s">
        <v>397</v>
      </c>
      <c r="K46" t="s">
        <v>398</v>
      </c>
    </row>
    <row r="47" spans="1:11">
      <c r="A47" t="s">
        <v>399</v>
      </c>
      <c r="B47" t="s">
        <v>265</v>
      </c>
      <c r="C47" s="120">
        <v>44035.447222222225</v>
      </c>
      <c r="D47" t="s">
        <v>400</v>
      </c>
      <c r="E47" t="s">
        <v>176</v>
      </c>
      <c r="F47" t="s">
        <v>182</v>
      </c>
      <c r="G47" s="120">
        <v>43978.381249999999</v>
      </c>
      <c r="H47" t="s">
        <v>368</v>
      </c>
      <c r="I47" t="s">
        <v>401</v>
      </c>
      <c r="J47" t="s">
        <v>402</v>
      </c>
      <c r="K47" t="s">
        <v>403</v>
      </c>
    </row>
    <row r="48" spans="1:11">
      <c r="A48" t="s">
        <v>404</v>
      </c>
      <c r="B48" t="s">
        <v>265</v>
      </c>
      <c r="C48" s="120">
        <v>44035.443055555559</v>
      </c>
      <c r="D48" t="s">
        <v>405</v>
      </c>
      <c r="E48" t="s">
        <v>176</v>
      </c>
      <c r="F48" t="s">
        <v>182</v>
      </c>
      <c r="G48" s="120">
        <v>43958.529166666667</v>
      </c>
      <c r="H48" t="s">
        <v>406</v>
      </c>
      <c r="I48" t="s">
        <v>407</v>
      </c>
      <c r="J48" t="s">
        <v>408</v>
      </c>
      <c r="K48" t="s">
        <v>409</v>
      </c>
    </row>
    <row r="49" spans="1:11">
      <c r="A49" t="s">
        <v>404</v>
      </c>
      <c r="B49" t="s">
        <v>265</v>
      </c>
      <c r="C49" s="120">
        <v>44035.44027777778</v>
      </c>
      <c r="D49" t="s">
        <v>410</v>
      </c>
      <c r="E49" t="s">
        <v>177</v>
      </c>
      <c r="F49" t="s">
        <v>182</v>
      </c>
      <c r="G49" s="120">
        <v>43958.529861111114</v>
      </c>
      <c r="H49" t="s">
        <v>406</v>
      </c>
      <c r="I49" t="s">
        <v>411</v>
      </c>
      <c r="J49" t="s">
        <v>412</v>
      </c>
      <c r="K49" t="s">
        <v>409</v>
      </c>
    </row>
    <row r="50" spans="1:11">
      <c r="A50" t="s">
        <v>413</v>
      </c>
      <c r="B50" t="s">
        <v>309</v>
      </c>
      <c r="C50" s="120">
        <v>44035.431944444441</v>
      </c>
      <c r="D50" t="s">
        <v>414</v>
      </c>
      <c r="E50" t="s">
        <v>176</v>
      </c>
      <c r="F50" t="s">
        <v>182</v>
      </c>
      <c r="G50" s="120">
        <v>43998.693749999999</v>
      </c>
      <c r="H50" t="s">
        <v>324</v>
      </c>
      <c r="I50" t="s">
        <v>415</v>
      </c>
      <c r="J50" t="s">
        <v>416</v>
      </c>
      <c r="K50" t="s">
        <v>417</v>
      </c>
    </row>
    <row r="51" spans="1:11">
      <c r="A51" t="s">
        <v>418</v>
      </c>
      <c r="B51" t="s">
        <v>372</v>
      </c>
      <c r="C51" s="120">
        <v>44035.427777777775</v>
      </c>
      <c r="D51" t="s">
        <v>419</v>
      </c>
      <c r="E51" t="s">
        <v>176</v>
      </c>
      <c r="F51" t="s">
        <v>182</v>
      </c>
      <c r="G51" s="120">
        <v>43978.374305555553</v>
      </c>
      <c r="H51" t="s">
        <v>420</v>
      </c>
      <c r="I51" t="s">
        <v>421</v>
      </c>
      <c r="J51" t="s">
        <v>422</v>
      </c>
      <c r="K51" t="s">
        <v>423</v>
      </c>
    </row>
    <row r="52" spans="1:11">
      <c r="A52" t="s">
        <v>424</v>
      </c>
      <c r="B52" t="s">
        <v>336</v>
      </c>
      <c r="C52" s="120">
        <v>44035.424305555556</v>
      </c>
      <c r="D52" t="s">
        <v>425</v>
      </c>
      <c r="E52" t="s">
        <v>176</v>
      </c>
      <c r="F52" t="s">
        <v>181</v>
      </c>
      <c r="G52" s="120">
        <v>43985.677777777775</v>
      </c>
      <c r="H52" t="s">
        <v>426</v>
      </c>
      <c r="I52" t="s">
        <v>427</v>
      </c>
      <c r="J52" t="s">
        <v>428</v>
      </c>
      <c r="K52" t="s">
        <v>429</v>
      </c>
    </row>
    <row r="53" spans="1:11">
      <c r="A53" t="s">
        <v>430</v>
      </c>
      <c r="B53" t="s">
        <v>431</v>
      </c>
      <c r="C53" s="120">
        <v>44034.543055555558</v>
      </c>
      <c r="D53" t="s">
        <v>432</v>
      </c>
      <c r="E53" t="s">
        <v>176</v>
      </c>
      <c r="F53" t="s">
        <v>181</v>
      </c>
      <c r="G53" s="120">
        <v>44034.34097222222</v>
      </c>
      <c r="H53" t="s">
        <v>433</v>
      </c>
      <c r="I53" t="s">
        <v>434</v>
      </c>
      <c r="J53" t="s">
        <v>435</v>
      </c>
      <c r="K53" t="s">
        <v>436</v>
      </c>
    </row>
    <row r="54" spans="1:11">
      <c r="A54" t="s">
        <v>437</v>
      </c>
      <c r="B54" t="s">
        <v>197</v>
      </c>
      <c r="C54" s="120">
        <v>44033.594444444447</v>
      </c>
      <c r="D54" t="s">
        <v>438</v>
      </c>
      <c r="E54" t="s">
        <v>177</v>
      </c>
      <c r="F54" t="s">
        <v>181</v>
      </c>
      <c r="G54" s="120">
        <v>44014.56527777778</v>
      </c>
      <c r="H54" t="s">
        <v>439</v>
      </c>
      <c r="I54" t="s">
        <v>440</v>
      </c>
      <c r="J54" t="s">
        <v>245</v>
      </c>
      <c r="K54" t="s">
        <v>441</v>
      </c>
    </row>
    <row r="55" spans="1:11">
      <c r="A55" t="s">
        <v>442</v>
      </c>
      <c r="B55" t="s">
        <v>197</v>
      </c>
      <c r="C55" s="120">
        <v>44033.568055555559</v>
      </c>
      <c r="D55" t="s">
        <v>357</v>
      </c>
      <c r="E55" t="s">
        <v>176</v>
      </c>
      <c r="F55" t="s">
        <v>182</v>
      </c>
      <c r="G55" s="120">
        <v>44033.504166666666</v>
      </c>
      <c r="H55" t="s">
        <v>443</v>
      </c>
      <c r="I55" t="s">
        <v>444</v>
      </c>
      <c r="J55" t="s">
        <v>445</v>
      </c>
      <c r="K55" t="s">
        <v>446</v>
      </c>
    </row>
    <row r="56" spans="1:11">
      <c r="A56" t="s">
        <v>447</v>
      </c>
      <c r="B56" t="s">
        <v>448</v>
      </c>
      <c r="C56" s="120">
        <v>44033.534722222219</v>
      </c>
      <c r="D56" t="s">
        <v>213</v>
      </c>
      <c r="E56" t="s">
        <v>176</v>
      </c>
      <c r="F56" t="s">
        <v>182</v>
      </c>
      <c r="G56" s="120">
        <v>44021.492361111108</v>
      </c>
      <c r="H56" t="s">
        <v>449</v>
      </c>
      <c r="I56" t="s">
        <v>450</v>
      </c>
      <c r="J56" t="s">
        <v>451</v>
      </c>
      <c r="K56" t="s">
        <v>452</v>
      </c>
    </row>
    <row r="57" spans="1:11">
      <c r="A57" t="s">
        <v>453</v>
      </c>
      <c r="B57" t="s">
        <v>309</v>
      </c>
      <c r="C57" s="120">
        <v>44033.530555555553</v>
      </c>
      <c r="D57" t="s">
        <v>454</v>
      </c>
      <c r="E57" t="s">
        <v>176</v>
      </c>
      <c r="F57" t="s">
        <v>182</v>
      </c>
      <c r="G57" s="120">
        <v>43978.619444444441</v>
      </c>
      <c r="H57" t="s">
        <v>455</v>
      </c>
      <c r="I57" t="s">
        <v>456</v>
      </c>
      <c r="J57" t="s">
        <v>457</v>
      </c>
      <c r="K57" t="s">
        <v>458</v>
      </c>
    </row>
    <row r="58" spans="1:11">
      <c r="A58" t="s">
        <v>437</v>
      </c>
      <c r="B58" t="s">
        <v>197</v>
      </c>
      <c r="C58" s="120">
        <v>44033.522222222222</v>
      </c>
      <c r="D58" t="s">
        <v>459</v>
      </c>
      <c r="E58" t="s">
        <v>176</v>
      </c>
      <c r="F58" t="s">
        <v>181</v>
      </c>
      <c r="G58" s="120">
        <v>44014.563194444447</v>
      </c>
      <c r="H58" t="s">
        <v>439</v>
      </c>
      <c r="I58" t="s">
        <v>460</v>
      </c>
      <c r="J58" t="s">
        <v>461</v>
      </c>
      <c r="K58" t="s">
        <v>441</v>
      </c>
    </row>
    <row r="59" spans="1:11">
      <c r="A59" t="s">
        <v>462</v>
      </c>
      <c r="B59" t="s">
        <v>197</v>
      </c>
      <c r="C59" s="120">
        <v>44033.484027777777</v>
      </c>
      <c r="D59" t="s">
        <v>463</v>
      </c>
      <c r="E59" t="s">
        <v>176</v>
      </c>
      <c r="F59" t="s">
        <v>181</v>
      </c>
      <c r="G59" s="120">
        <v>43910.386805555558</v>
      </c>
      <c r="H59" t="s">
        <v>464</v>
      </c>
      <c r="I59" t="s">
        <v>465</v>
      </c>
      <c r="J59" t="s">
        <v>466</v>
      </c>
      <c r="K59" t="s">
        <v>467</v>
      </c>
    </row>
    <row r="60" spans="1:11">
      <c r="A60" t="s">
        <v>468</v>
      </c>
      <c r="B60" t="s">
        <v>469</v>
      </c>
      <c r="C60" s="120">
        <v>44032.440972222219</v>
      </c>
      <c r="D60" t="s">
        <v>470</v>
      </c>
      <c r="E60" t="s">
        <v>176</v>
      </c>
      <c r="F60" t="s">
        <v>181</v>
      </c>
      <c r="G60" s="120">
        <v>43965.383333333331</v>
      </c>
      <c r="H60" t="s">
        <v>471</v>
      </c>
      <c r="I60" t="s">
        <v>472</v>
      </c>
      <c r="J60" t="s">
        <v>473</v>
      </c>
      <c r="K60" t="s">
        <v>474</v>
      </c>
    </row>
    <row r="61" spans="1:11">
      <c r="A61" t="s">
        <v>475</v>
      </c>
      <c r="B61" t="s">
        <v>431</v>
      </c>
      <c r="C61" s="120">
        <v>44032.438194444447</v>
      </c>
      <c r="D61" t="s">
        <v>476</v>
      </c>
      <c r="E61" t="s">
        <v>176</v>
      </c>
      <c r="F61" t="s">
        <v>182</v>
      </c>
      <c r="G61" s="120">
        <v>44020.277777777781</v>
      </c>
      <c r="H61" t="s">
        <v>477</v>
      </c>
      <c r="I61" t="s">
        <v>478</v>
      </c>
      <c r="J61" t="s">
        <v>479</v>
      </c>
      <c r="K61" t="s">
        <v>480</v>
      </c>
    </row>
    <row r="62" spans="1:11">
      <c r="A62" t="s">
        <v>481</v>
      </c>
      <c r="B62" t="s">
        <v>482</v>
      </c>
      <c r="C62" s="120">
        <v>44032.273611111108</v>
      </c>
      <c r="D62" t="s">
        <v>483</v>
      </c>
      <c r="E62" t="s">
        <v>176</v>
      </c>
      <c r="F62" t="s">
        <v>183</v>
      </c>
      <c r="G62" s="120">
        <v>44029.365972222222</v>
      </c>
      <c r="H62" t="s">
        <v>484</v>
      </c>
      <c r="I62" t="s">
        <v>485</v>
      </c>
      <c r="J62" t="s">
        <v>486</v>
      </c>
      <c r="K62" t="s">
        <v>487</v>
      </c>
    </row>
    <row r="63" spans="1:11">
      <c r="A63" t="s">
        <v>488</v>
      </c>
      <c r="B63" t="s">
        <v>431</v>
      </c>
      <c r="C63" s="120">
        <v>44032.272222222222</v>
      </c>
      <c r="D63" t="s">
        <v>489</v>
      </c>
      <c r="E63" t="s">
        <v>176</v>
      </c>
      <c r="F63" t="s">
        <v>182</v>
      </c>
      <c r="G63" s="120">
        <v>44028.296527777777</v>
      </c>
      <c r="H63" t="s">
        <v>490</v>
      </c>
      <c r="I63" t="s">
        <v>491</v>
      </c>
      <c r="J63" t="s">
        <v>492</v>
      </c>
      <c r="K63" t="s">
        <v>493</v>
      </c>
    </row>
    <row r="64" spans="1:11">
      <c r="A64" t="s">
        <v>494</v>
      </c>
      <c r="B64" t="s">
        <v>197</v>
      </c>
      <c r="C64" s="120">
        <v>44029.595138888886</v>
      </c>
      <c r="D64" t="s">
        <v>495</v>
      </c>
      <c r="E64" t="s">
        <v>206</v>
      </c>
      <c r="F64" t="s">
        <v>181</v>
      </c>
      <c r="G64" s="120">
        <v>44029.44027777778</v>
      </c>
      <c r="H64" t="s">
        <v>496</v>
      </c>
      <c r="I64" t="s">
        <v>497</v>
      </c>
      <c r="J64" t="s">
        <v>498</v>
      </c>
      <c r="K64" t="s">
        <v>499</v>
      </c>
    </row>
    <row r="65" spans="1:11">
      <c r="A65" t="s">
        <v>378</v>
      </c>
      <c r="B65" t="s">
        <v>372</v>
      </c>
      <c r="C65" s="120">
        <v>44028.551388888889</v>
      </c>
      <c r="D65" t="s">
        <v>500</v>
      </c>
      <c r="E65" t="s">
        <v>176</v>
      </c>
      <c r="F65" t="s">
        <v>181</v>
      </c>
      <c r="G65" s="120">
        <v>43965.547222222223</v>
      </c>
      <c r="H65" t="s">
        <v>380</v>
      </c>
      <c r="I65" t="s">
        <v>501</v>
      </c>
      <c r="J65" t="s">
        <v>245</v>
      </c>
      <c r="K65" t="s">
        <v>383</v>
      </c>
    </row>
    <row r="66" spans="1:11">
      <c r="A66" t="s">
        <v>502</v>
      </c>
      <c r="B66" t="s">
        <v>234</v>
      </c>
      <c r="C66" s="120">
        <v>44028.542361111111</v>
      </c>
      <c r="D66" t="s">
        <v>503</v>
      </c>
      <c r="E66" t="s">
        <v>176</v>
      </c>
      <c r="F66" t="s">
        <v>181</v>
      </c>
      <c r="G66" s="120">
        <v>44013.462500000001</v>
      </c>
      <c r="H66" t="s">
        <v>504</v>
      </c>
      <c r="I66" t="s">
        <v>505</v>
      </c>
      <c r="J66" t="s">
        <v>245</v>
      </c>
      <c r="K66" t="s">
        <v>506</v>
      </c>
    </row>
    <row r="67" spans="1:11">
      <c r="A67" t="s">
        <v>507</v>
      </c>
      <c r="B67" t="s">
        <v>508</v>
      </c>
      <c r="C67" s="120">
        <v>44028.486805555556</v>
      </c>
      <c r="D67" t="s">
        <v>213</v>
      </c>
      <c r="E67" t="s">
        <v>176</v>
      </c>
      <c r="F67" t="s">
        <v>182</v>
      </c>
      <c r="G67" s="120">
        <v>44019.538888888892</v>
      </c>
      <c r="H67" t="s">
        <v>509</v>
      </c>
      <c r="I67" t="s">
        <v>510</v>
      </c>
      <c r="J67" t="s">
        <v>511</v>
      </c>
      <c r="K67" t="s">
        <v>512</v>
      </c>
    </row>
    <row r="68" spans="1:11">
      <c r="A68" t="s">
        <v>513</v>
      </c>
      <c r="B68" t="s">
        <v>204</v>
      </c>
      <c r="C68" s="120">
        <v>44028.484722222223</v>
      </c>
      <c r="D68" t="s">
        <v>514</v>
      </c>
      <c r="E68" t="s">
        <v>177</v>
      </c>
      <c r="F68" t="s">
        <v>182</v>
      </c>
      <c r="G68" s="120">
        <v>43945.393055555556</v>
      </c>
      <c r="H68" t="s">
        <v>515</v>
      </c>
      <c r="I68" t="s">
        <v>516</v>
      </c>
      <c r="J68" t="s">
        <v>517</v>
      </c>
      <c r="K68" t="s">
        <v>518</v>
      </c>
    </row>
    <row r="69" spans="1:11">
      <c r="A69" t="s">
        <v>519</v>
      </c>
      <c r="B69" t="s">
        <v>520</v>
      </c>
      <c r="C69" s="120">
        <v>44028.482638888891</v>
      </c>
      <c r="D69" t="s">
        <v>521</v>
      </c>
      <c r="E69" t="s">
        <v>176</v>
      </c>
      <c r="F69" t="s">
        <v>181</v>
      </c>
      <c r="G69" s="120">
        <v>43907.671527777777</v>
      </c>
      <c r="H69" t="s">
        <v>522</v>
      </c>
      <c r="I69" t="s">
        <v>523</v>
      </c>
      <c r="J69" t="s">
        <v>524</v>
      </c>
      <c r="K69" t="s">
        <v>525</v>
      </c>
    </row>
    <row r="70" spans="1:11">
      <c r="A70" t="s">
        <v>526</v>
      </c>
      <c r="B70" t="s">
        <v>265</v>
      </c>
      <c r="C70" s="120">
        <v>44027.622916666667</v>
      </c>
      <c r="D70" t="s">
        <v>527</v>
      </c>
      <c r="E70" t="s">
        <v>176</v>
      </c>
      <c r="F70" t="s">
        <v>182</v>
      </c>
      <c r="G70" s="120">
        <v>44027.541666666664</v>
      </c>
      <c r="H70" t="s">
        <v>528</v>
      </c>
      <c r="I70" t="s">
        <v>529</v>
      </c>
      <c r="J70" t="s">
        <v>530</v>
      </c>
      <c r="K70" t="s">
        <v>531</v>
      </c>
    </row>
    <row r="71" spans="1:11">
      <c r="A71" t="s">
        <v>532</v>
      </c>
      <c r="B71" t="s">
        <v>234</v>
      </c>
      <c r="C71" s="120">
        <v>44027.604166666664</v>
      </c>
      <c r="D71" t="s">
        <v>533</v>
      </c>
      <c r="E71" t="s">
        <v>176</v>
      </c>
      <c r="F71" t="s">
        <v>181</v>
      </c>
      <c r="G71" s="120">
        <v>43986.356944444444</v>
      </c>
      <c r="H71" t="s">
        <v>534</v>
      </c>
      <c r="I71" t="s">
        <v>36</v>
      </c>
      <c r="J71" t="s">
        <v>535</v>
      </c>
      <c r="K71" t="s">
        <v>536</v>
      </c>
    </row>
    <row r="72" spans="1:11">
      <c r="A72" t="s">
        <v>537</v>
      </c>
      <c r="B72" t="s">
        <v>538</v>
      </c>
      <c r="C72" s="120">
        <v>44027.352777777778</v>
      </c>
      <c r="D72" t="s">
        <v>539</v>
      </c>
      <c r="E72" t="s">
        <v>176</v>
      </c>
      <c r="F72" t="s">
        <v>182</v>
      </c>
      <c r="G72" s="120">
        <v>44027.344444444447</v>
      </c>
      <c r="H72" t="s">
        <v>540</v>
      </c>
      <c r="I72" t="s">
        <v>541</v>
      </c>
      <c r="J72" t="s">
        <v>542</v>
      </c>
      <c r="K72" t="s">
        <v>543</v>
      </c>
    </row>
    <row r="73" spans="1:11">
      <c r="A73" t="s">
        <v>544</v>
      </c>
      <c r="B73" t="s">
        <v>197</v>
      </c>
      <c r="C73" s="120">
        <v>44026.613888888889</v>
      </c>
      <c r="D73" t="s">
        <v>545</v>
      </c>
      <c r="E73" t="s">
        <v>177</v>
      </c>
      <c r="F73" t="s">
        <v>182</v>
      </c>
      <c r="G73" s="120">
        <v>43907.621527777781</v>
      </c>
      <c r="H73" t="s">
        <v>546</v>
      </c>
      <c r="I73" t="s">
        <v>547</v>
      </c>
      <c r="J73" t="s">
        <v>548</v>
      </c>
      <c r="K73" t="s">
        <v>549</v>
      </c>
    </row>
    <row r="74" spans="1:11">
      <c r="A74" t="s">
        <v>550</v>
      </c>
      <c r="B74" t="s">
        <v>316</v>
      </c>
      <c r="C74" s="120">
        <v>44025.609027777777</v>
      </c>
      <c r="D74" t="s">
        <v>551</v>
      </c>
      <c r="E74" t="s">
        <v>176</v>
      </c>
      <c r="F74" t="s">
        <v>182</v>
      </c>
      <c r="G74" s="120">
        <v>44025.603472222225</v>
      </c>
      <c r="H74" t="s">
        <v>552</v>
      </c>
      <c r="I74" t="s">
        <v>553</v>
      </c>
      <c r="J74" t="s">
        <v>554</v>
      </c>
      <c r="K74" t="s">
        <v>555</v>
      </c>
    </row>
    <row r="75" spans="1:11">
      <c r="A75" t="s">
        <v>556</v>
      </c>
      <c r="B75" t="s">
        <v>557</v>
      </c>
      <c r="C75" s="120">
        <v>44025.561111111114</v>
      </c>
      <c r="D75" t="s">
        <v>558</v>
      </c>
      <c r="E75" t="s">
        <v>176</v>
      </c>
      <c r="F75" t="s">
        <v>182</v>
      </c>
      <c r="G75" s="120">
        <v>44021.5625</v>
      </c>
      <c r="H75" t="s">
        <v>559</v>
      </c>
      <c r="I75" t="s">
        <v>560</v>
      </c>
      <c r="J75" t="s">
        <v>561</v>
      </c>
      <c r="K75" t="s">
        <v>560</v>
      </c>
    </row>
    <row r="76" spans="1:11">
      <c r="A76" t="s">
        <v>562</v>
      </c>
      <c r="B76" t="s">
        <v>563</v>
      </c>
      <c r="C76" s="120">
        <v>44025.508333333331</v>
      </c>
      <c r="D76" t="s">
        <v>213</v>
      </c>
      <c r="E76" t="s">
        <v>176</v>
      </c>
      <c r="F76" t="s">
        <v>182</v>
      </c>
      <c r="G76" s="120">
        <v>44022.488194444442</v>
      </c>
      <c r="H76" t="s">
        <v>564</v>
      </c>
      <c r="I76" t="s">
        <v>565</v>
      </c>
      <c r="J76" t="s">
        <v>566</v>
      </c>
      <c r="K76" t="s">
        <v>567</v>
      </c>
    </row>
    <row r="77" spans="1:11">
      <c r="A77" t="s">
        <v>568</v>
      </c>
      <c r="B77" t="s">
        <v>197</v>
      </c>
      <c r="C77" s="120">
        <v>44025.501388888886</v>
      </c>
      <c r="D77" t="s">
        <v>213</v>
      </c>
      <c r="E77" t="s">
        <v>176</v>
      </c>
      <c r="F77" t="s">
        <v>182</v>
      </c>
      <c r="G77" s="120">
        <v>44022.486805555556</v>
      </c>
      <c r="H77" t="s">
        <v>569</v>
      </c>
      <c r="I77" t="s">
        <v>570</v>
      </c>
      <c r="J77" t="s">
        <v>571</v>
      </c>
      <c r="K77" t="s">
        <v>572</v>
      </c>
    </row>
    <row r="78" spans="1:11">
      <c r="A78" t="s">
        <v>573</v>
      </c>
      <c r="B78" t="s">
        <v>574</v>
      </c>
      <c r="C78" s="120">
        <v>44022.534722222219</v>
      </c>
      <c r="D78" t="s">
        <v>213</v>
      </c>
      <c r="E78" t="s">
        <v>176</v>
      </c>
      <c r="F78" t="s">
        <v>182</v>
      </c>
      <c r="G78" s="120">
        <v>44022.53125</v>
      </c>
      <c r="H78" t="s">
        <v>575</v>
      </c>
      <c r="I78" t="s">
        <v>576</v>
      </c>
      <c r="J78" t="s">
        <v>577</v>
      </c>
      <c r="K78" t="s">
        <v>578</v>
      </c>
    </row>
    <row r="79" spans="1:11">
      <c r="A79" t="s">
        <v>579</v>
      </c>
      <c r="B79" t="s">
        <v>316</v>
      </c>
      <c r="C79" s="120">
        <v>44021.397222222222</v>
      </c>
      <c r="D79" t="s">
        <v>213</v>
      </c>
      <c r="E79" t="s">
        <v>176</v>
      </c>
      <c r="F79" t="s">
        <v>182</v>
      </c>
      <c r="G79" s="120">
        <v>44021.393750000003</v>
      </c>
      <c r="H79" t="s">
        <v>580</v>
      </c>
      <c r="I79" t="s">
        <v>581</v>
      </c>
      <c r="J79" t="s">
        <v>582</v>
      </c>
      <c r="K79" t="s">
        <v>583</v>
      </c>
    </row>
    <row r="80" spans="1:11">
      <c r="A80" t="s">
        <v>584</v>
      </c>
      <c r="B80" t="s">
        <v>585</v>
      </c>
      <c r="C80" s="120">
        <v>44021.381249999999</v>
      </c>
      <c r="D80" t="s">
        <v>586</v>
      </c>
      <c r="E80" t="s">
        <v>176</v>
      </c>
      <c r="F80" t="s">
        <v>181</v>
      </c>
      <c r="G80" s="120">
        <v>43902.337500000001</v>
      </c>
      <c r="H80" t="s">
        <v>587</v>
      </c>
      <c r="I80" t="s">
        <v>588</v>
      </c>
      <c r="J80" t="s">
        <v>589</v>
      </c>
      <c r="K80" t="s">
        <v>590</v>
      </c>
    </row>
    <row r="81" spans="1:11">
      <c r="A81" t="s">
        <v>591</v>
      </c>
      <c r="B81" t="s">
        <v>592</v>
      </c>
      <c r="C81" s="120">
        <v>44021.371527777781</v>
      </c>
      <c r="D81" t="s">
        <v>593</v>
      </c>
      <c r="E81" t="s">
        <v>594</v>
      </c>
      <c r="F81" t="s">
        <v>181</v>
      </c>
      <c r="G81" s="120">
        <v>44021.370138888888</v>
      </c>
      <c r="H81" t="s">
        <v>595</v>
      </c>
      <c r="I81" t="s">
        <v>596</v>
      </c>
      <c r="J81" t="s">
        <v>245</v>
      </c>
      <c r="K81" t="s">
        <v>597</v>
      </c>
    </row>
    <row r="82" spans="1:11">
      <c r="A82" t="s">
        <v>598</v>
      </c>
      <c r="B82" t="s">
        <v>204</v>
      </c>
      <c r="C82" s="120">
        <v>44020.643750000003</v>
      </c>
      <c r="D82" t="s">
        <v>599</v>
      </c>
      <c r="E82" t="s">
        <v>600</v>
      </c>
      <c r="F82" t="s">
        <v>182</v>
      </c>
      <c r="G82" s="120">
        <v>43913.397222222222</v>
      </c>
      <c r="H82" t="s">
        <v>601</v>
      </c>
      <c r="I82" t="s">
        <v>602</v>
      </c>
      <c r="J82" t="s">
        <v>603</v>
      </c>
      <c r="K82" t="s">
        <v>604</v>
      </c>
    </row>
    <row r="83" spans="1:11">
      <c r="A83" t="s">
        <v>605</v>
      </c>
      <c r="B83" t="s">
        <v>316</v>
      </c>
      <c r="C83" s="120">
        <v>44020.638194444444</v>
      </c>
      <c r="D83" t="s">
        <v>362</v>
      </c>
      <c r="E83" t="s">
        <v>176</v>
      </c>
      <c r="F83" t="s">
        <v>182</v>
      </c>
      <c r="G83" s="120">
        <v>44020.532638888886</v>
      </c>
      <c r="H83" t="s">
        <v>606</v>
      </c>
      <c r="I83" t="s">
        <v>607</v>
      </c>
      <c r="J83" t="s">
        <v>608</v>
      </c>
      <c r="K83" t="s">
        <v>609</v>
      </c>
    </row>
    <row r="84" spans="1:11">
      <c r="A84" t="s">
        <v>610</v>
      </c>
      <c r="B84" t="s">
        <v>309</v>
      </c>
      <c r="C84" s="120">
        <v>44020.611805555556</v>
      </c>
      <c r="D84" t="s">
        <v>611</v>
      </c>
      <c r="E84" t="s">
        <v>176</v>
      </c>
      <c r="F84" t="s">
        <v>182</v>
      </c>
      <c r="G84" s="120">
        <v>44007.305555555555</v>
      </c>
      <c r="H84" t="s">
        <v>612</v>
      </c>
      <c r="I84" t="s">
        <v>613</v>
      </c>
      <c r="J84" t="s">
        <v>614</v>
      </c>
      <c r="K84" t="s">
        <v>615</v>
      </c>
    </row>
    <row r="85" spans="1:11">
      <c r="A85" t="s">
        <v>591</v>
      </c>
      <c r="B85" t="s">
        <v>592</v>
      </c>
      <c r="C85" s="120">
        <v>44020.555555555555</v>
      </c>
      <c r="D85" t="s">
        <v>616</v>
      </c>
      <c r="E85" t="s">
        <v>177</v>
      </c>
      <c r="F85" t="s">
        <v>181</v>
      </c>
      <c r="G85" s="120">
        <v>43966.677083333336</v>
      </c>
      <c r="H85" t="s">
        <v>595</v>
      </c>
      <c r="I85" t="s">
        <v>616</v>
      </c>
      <c r="J85" t="s">
        <v>617</v>
      </c>
      <c r="K85" t="s">
        <v>597</v>
      </c>
    </row>
    <row r="86" spans="1:11">
      <c r="A86" t="s">
        <v>591</v>
      </c>
      <c r="B86" t="s">
        <v>592</v>
      </c>
      <c r="C86" s="120">
        <v>44020.554861111108</v>
      </c>
      <c r="D86" t="s">
        <v>618</v>
      </c>
      <c r="E86" t="s">
        <v>594</v>
      </c>
      <c r="F86" t="s">
        <v>181</v>
      </c>
      <c r="G86" s="120">
        <v>43966.676388888889</v>
      </c>
      <c r="H86" t="s">
        <v>595</v>
      </c>
      <c r="I86" t="s">
        <v>619</v>
      </c>
      <c r="J86" t="s">
        <v>620</v>
      </c>
      <c r="K86" t="s">
        <v>597</v>
      </c>
    </row>
    <row r="87" spans="1:11">
      <c r="A87" t="s">
        <v>591</v>
      </c>
      <c r="B87" t="s">
        <v>592</v>
      </c>
      <c r="C87" s="120">
        <v>44020.553472222222</v>
      </c>
      <c r="D87" t="s">
        <v>621</v>
      </c>
      <c r="E87" t="s">
        <v>329</v>
      </c>
      <c r="F87" t="s">
        <v>181</v>
      </c>
      <c r="G87" s="120">
        <v>43966.677777777775</v>
      </c>
      <c r="H87" t="s">
        <v>595</v>
      </c>
      <c r="I87" t="s">
        <v>622</v>
      </c>
      <c r="J87" t="s">
        <v>623</v>
      </c>
      <c r="K87" t="s">
        <v>597</v>
      </c>
    </row>
    <row r="88" spans="1:11">
      <c r="A88" t="s">
        <v>468</v>
      </c>
      <c r="B88" t="s">
        <v>469</v>
      </c>
      <c r="C88" s="120">
        <v>44020.54791666667</v>
      </c>
      <c r="D88" t="s">
        <v>624</v>
      </c>
      <c r="E88" t="s">
        <v>177</v>
      </c>
      <c r="F88" t="s">
        <v>181</v>
      </c>
      <c r="G88" s="120">
        <v>44008.553472222222</v>
      </c>
      <c r="H88" t="s">
        <v>471</v>
      </c>
      <c r="I88" t="s">
        <v>625</v>
      </c>
      <c r="J88" t="s">
        <v>626</v>
      </c>
      <c r="K88" t="s">
        <v>474</v>
      </c>
    </row>
    <row r="89" spans="1:11">
      <c r="A89" t="s">
        <v>627</v>
      </c>
      <c r="B89" t="s">
        <v>628</v>
      </c>
      <c r="C89" s="120">
        <v>44020.547222222223</v>
      </c>
      <c r="D89" t="s">
        <v>629</v>
      </c>
      <c r="E89" t="s">
        <v>177</v>
      </c>
      <c r="F89" t="s">
        <v>181</v>
      </c>
      <c r="G89" s="120">
        <v>43984.724305555559</v>
      </c>
      <c r="H89" t="s">
        <v>630</v>
      </c>
      <c r="I89" t="s">
        <v>631</v>
      </c>
      <c r="J89" t="s">
        <v>632</v>
      </c>
      <c r="K89" t="s">
        <v>633</v>
      </c>
    </row>
    <row r="90" spans="1:11">
      <c r="A90" t="s">
        <v>634</v>
      </c>
      <c r="B90" t="s">
        <v>431</v>
      </c>
      <c r="C90" s="120">
        <v>44020.390277777777</v>
      </c>
      <c r="D90" t="s">
        <v>635</v>
      </c>
      <c r="E90" t="s">
        <v>176</v>
      </c>
      <c r="F90" t="s">
        <v>182</v>
      </c>
      <c r="G90" s="120">
        <v>43999.322222222225</v>
      </c>
      <c r="H90" t="s">
        <v>636</v>
      </c>
      <c r="I90" t="s">
        <v>637</v>
      </c>
      <c r="J90" t="s">
        <v>638</v>
      </c>
      <c r="K90" t="s">
        <v>639</v>
      </c>
    </row>
    <row r="91" spans="1:11">
      <c r="A91" t="s">
        <v>640</v>
      </c>
      <c r="B91" t="s">
        <v>431</v>
      </c>
      <c r="C91" s="120">
        <v>44020.384027777778</v>
      </c>
      <c r="D91" t="s">
        <v>641</v>
      </c>
      <c r="E91" t="s">
        <v>176</v>
      </c>
      <c r="F91" t="s">
        <v>182</v>
      </c>
      <c r="G91" s="120">
        <v>43942.411111111112</v>
      </c>
      <c r="H91" t="s">
        <v>642</v>
      </c>
      <c r="I91" t="s">
        <v>643</v>
      </c>
      <c r="J91" t="s">
        <v>644</v>
      </c>
      <c r="K91" t="s">
        <v>645</v>
      </c>
    </row>
    <row r="92" spans="1:11">
      <c r="A92" t="s">
        <v>646</v>
      </c>
      <c r="B92" t="s">
        <v>431</v>
      </c>
      <c r="C92" s="120">
        <v>44020.379166666666</v>
      </c>
      <c r="D92" t="s">
        <v>647</v>
      </c>
      <c r="E92" t="s">
        <v>176</v>
      </c>
      <c r="F92" t="s">
        <v>182</v>
      </c>
      <c r="G92" s="120">
        <v>43915.512499999997</v>
      </c>
      <c r="H92" t="s">
        <v>648</v>
      </c>
      <c r="I92" t="s">
        <v>649</v>
      </c>
      <c r="J92" t="s">
        <v>650</v>
      </c>
      <c r="K92" t="s">
        <v>651</v>
      </c>
    </row>
    <row r="93" spans="1:11">
      <c r="A93" t="s">
        <v>652</v>
      </c>
      <c r="B93" t="s">
        <v>431</v>
      </c>
      <c r="C93" s="120">
        <v>44020.370138888888</v>
      </c>
      <c r="D93" t="s">
        <v>653</v>
      </c>
      <c r="E93" t="s">
        <v>176</v>
      </c>
      <c r="F93" t="s">
        <v>182</v>
      </c>
      <c r="G93" s="120">
        <v>43956.45208333333</v>
      </c>
      <c r="H93" t="s">
        <v>654</v>
      </c>
      <c r="I93" t="s">
        <v>655</v>
      </c>
      <c r="J93" t="s">
        <v>656</v>
      </c>
      <c r="K93" t="s">
        <v>657</v>
      </c>
    </row>
    <row r="94" spans="1:11">
      <c r="A94" t="s">
        <v>658</v>
      </c>
      <c r="B94" t="s">
        <v>431</v>
      </c>
      <c r="C94" s="120">
        <v>44020.366666666669</v>
      </c>
      <c r="D94" t="s">
        <v>659</v>
      </c>
      <c r="E94" t="s">
        <v>176</v>
      </c>
      <c r="F94" t="s">
        <v>182</v>
      </c>
      <c r="G94" s="120">
        <v>43992.616666666669</v>
      </c>
      <c r="H94" t="s">
        <v>660</v>
      </c>
      <c r="I94" t="s">
        <v>661</v>
      </c>
      <c r="J94" t="s">
        <v>662</v>
      </c>
      <c r="K94" t="s">
        <v>663</v>
      </c>
    </row>
    <row r="95" spans="1:11">
      <c r="A95" t="s">
        <v>664</v>
      </c>
      <c r="B95" t="s">
        <v>204</v>
      </c>
      <c r="C95" s="120">
        <v>44019.625</v>
      </c>
      <c r="D95" t="s">
        <v>665</v>
      </c>
      <c r="E95" t="s">
        <v>176</v>
      </c>
      <c r="F95" t="s">
        <v>182</v>
      </c>
      <c r="G95" s="120">
        <v>44019.62222222222</v>
      </c>
      <c r="H95" t="s">
        <v>666</v>
      </c>
      <c r="I95" t="s">
        <v>667</v>
      </c>
      <c r="J95" t="s">
        <v>245</v>
      </c>
      <c r="K95" t="s">
        <v>668</v>
      </c>
    </row>
    <row r="96" spans="1:11">
      <c r="A96" t="s">
        <v>669</v>
      </c>
      <c r="B96" t="s">
        <v>197</v>
      </c>
      <c r="C96" s="120">
        <v>44019.620833333334</v>
      </c>
      <c r="D96" t="s">
        <v>670</v>
      </c>
      <c r="E96" t="s">
        <v>206</v>
      </c>
      <c r="F96" t="s">
        <v>182</v>
      </c>
      <c r="G96" s="120">
        <v>44007.51458333333</v>
      </c>
      <c r="H96" t="s">
        <v>671</v>
      </c>
      <c r="I96" t="s">
        <v>672</v>
      </c>
      <c r="J96" t="s">
        <v>673</v>
      </c>
      <c r="K96" t="s">
        <v>674</v>
      </c>
    </row>
    <row r="97" spans="1:11">
      <c r="A97" t="s">
        <v>675</v>
      </c>
      <c r="B97" t="s">
        <v>676</v>
      </c>
      <c r="C97" s="120">
        <v>44019.59652777778</v>
      </c>
      <c r="D97" t="s">
        <v>213</v>
      </c>
      <c r="E97" t="s">
        <v>176</v>
      </c>
      <c r="F97" t="s">
        <v>182</v>
      </c>
      <c r="G97" s="120">
        <v>44019.552777777775</v>
      </c>
      <c r="H97" t="s">
        <v>288</v>
      </c>
      <c r="I97" t="s">
        <v>677</v>
      </c>
      <c r="J97" t="s">
        <v>678</v>
      </c>
      <c r="K97" t="s">
        <v>679</v>
      </c>
    </row>
    <row r="98" spans="1:11">
      <c r="A98" t="s">
        <v>680</v>
      </c>
      <c r="B98" t="s">
        <v>336</v>
      </c>
      <c r="C98" s="120">
        <v>44019.581250000003</v>
      </c>
      <c r="D98" t="s">
        <v>681</v>
      </c>
      <c r="E98" t="s">
        <v>176</v>
      </c>
      <c r="F98" t="s">
        <v>181</v>
      </c>
      <c r="G98" s="120">
        <v>43979.438888888886</v>
      </c>
      <c r="H98" t="s">
        <v>682</v>
      </c>
      <c r="I98" t="s">
        <v>683</v>
      </c>
      <c r="J98" t="s">
        <v>684</v>
      </c>
      <c r="K98" t="s">
        <v>685</v>
      </c>
    </row>
    <row r="99" spans="1:11">
      <c r="A99" t="s">
        <v>686</v>
      </c>
      <c r="B99" t="s">
        <v>309</v>
      </c>
      <c r="C99" s="120">
        <v>44019.572916666664</v>
      </c>
      <c r="D99" t="s">
        <v>687</v>
      </c>
      <c r="E99" t="s">
        <v>176</v>
      </c>
      <c r="F99" t="s">
        <v>182</v>
      </c>
      <c r="G99" s="120">
        <v>43966.456944444442</v>
      </c>
      <c r="H99" t="s">
        <v>688</v>
      </c>
      <c r="I99" t="s">
        <v>689</v>
      </c>
      <c r="J99" t="s">
        <v>690</v>
      </c>
      <c r="K99" t="s">
        <v>691</v>
      </c>
    </row>
    <row r="100" spans="1:11">
      <c r="A100" t="s">
        <v>692</v>
      </c>
      <c r="B100" t="s">
        <v>197</v>
      </c>
      <c r="C100" s="120">
        <v>44019.56527777778</v>
      </c>
      <c r="D100" t="s">
        <v>693</v>
      </c>
      <c r="E100" t="s">
        <v>176</v>
      </c>
      <c r="F100" t="s">
        <v>182</v>
      </c>
      <c r="G100" s="120">
        <v>44019.446527777778</v>
      </c>
      <c r="H100" t="s">
        <v>267</v>
      </c>
      <c r="I100" t="s">
        <v>694</v>
      </c>
      <c r="J100" t="s">
        <v>695</v>
      </c>
      <c r="K100" t="s">
        <v>696</v>
      </c>
    </row>
    <row r="101" spans="1:11">
      <c r="A101" t="s">
        <v>697</v>
      </c>
      <c r="B101" t="s">
        <v>698</v>
      </c>
      <c r="C101" s="120">
        <v>44019.559027777781</v>
      </c>
      <c r="D101" t="s">
        <v>699</v>
      </c>
      <c r="E101" t="s">
        <v>176</v>
      </c>
      <c r="F101" t="s">
        <v>182</v>
      </c>
      <c r="G101" s="120">
        <v>44019.45416666667</v>
      </c>
      <c r="H101" t="s">
        <v>242</v>
      </c>
      <c r="I101" t="s">
        <v>700</v>
      </c>
      <c r="J101" t="s">
        <v>701</v>
      </c>
      <c r="K101" t="s">
        <v>702</v>
      </c>
    </row>
    <row r="102" spans="1:11">
      <c r="A102" t="s">
        <v>703</v>
      </c>
      <c r="B102" t="s">
        <v>585</v>
      </c>
      <c r="C102" s="120">
        <v>44019.477083333331</v>
      </c>
      <c r="D102" t="s">
        <v>704</v>
      </c>
      <c r="E102" t="s">
        <v>176</v>
      </c>
      <c r="F102" t="s">
        <v>182</v>
      </c>
      <c r="G102" s="120">
        <v>43902.331250000003</v>
      </c>
      <c r="H102" t="s">
        <v>705</v>
      </c>
      <c r="I102" t="s">
        <v>706</v>
      </c>
      <c r="J102" t="s">
        <v>707</v>
      </c>
      <c r="K102" t="s">
        <v>708</v>
      </c>
    </row>
    <row r="103" spans="1:11">
      <c r="A103" t="s">
        <v>709</v>
      </c>
      <c r="B103" t="s">
        <v>204</v>
      </c>
      <c r="C103" s="120">
        <v>44019.320833333331</v>
      </c>
      <c r="D103" t="s">
        <v>710</v>
      </c>
      <c r="E103" t="s">
        <v>176</v>
      </c>
      <c r="F103" t="s">
        <v>183</v>
      </c>
      <c r="G103" s="120">
        <v>43957.547222222223</v>
      </c>
      <c r="H103" t="s">
        <v>711</v>
      </c>
      <c r="I103" t="s">
        <v>712</v>
      </c>
      <c r="J103" t="s">
        <v>713</v>
      </c>
      <c r="K103" t="s">
        <v>714</v>
      </c>
    </row>
    <row r="104" spans="1:11">
      <c r="A104" t="s">
        <v>715</v>
      </c>
      <c r="B104" t="s">
        <v>716</v>
      </c>
      <c r="C104" s="120">
        <v>44018.618750000001</v>
      </c>
      <c r="D104" t="s">
        <v>717</v>
      </c>
      <c r="E104" t="s">
        <v>177</v>
      </c>
      <c r="F104" t="s">
        <v>181</v>
      </c>
      <c r="G104" s="120">
        <v>43955.29791666667</v>
      </c>
      <c r="H104" t="s">
        <v>718</v>
      </c>
      <c r="I104" t="s">
        <v>719</v>
      </c>
      <c r="J104" t="s">
        <v>720</v>
      </c>
      <c r="K104" t="s">
        <v>721</v>
      </c>
    </row>
    <row r="105" spans="1:11">
      <c r="A105" t="s">
        <v>532</v>
      </c>
      <c r="B105" t="s">
        <v>234</v>
      </c>
      <c r="C105" s="120">
        <v>44018.615277777775</v>
      </c>
      <c r="D105" t="s">
        <v>722</v>
      </c>
      <c r="E105" t="s">
        <v>177</v>
      </c>
      <c r="F105" t="s">
        <v>182</v>
      </c>
      <c r="G105" s="120">
        <v>43986.714583333334</v>
      </c>
      <c r="H105" t="s">
        <v>534</v>
      </c>
      <c r="I105" t="s">
        <v>723</v>
      </c>
      <c r="J105" t="s">
        <v>724</v>
      </c>
      <c r="K105" t="s">
        <v>536</v>
      </c>
    </row>
    <row r="106" spans="1:11">
      <c r="A106" t="s">
        <v>725</v>
      </c>
      <c r="B106" t="s">
        <v>726</v>
      </c>
      <c r="C106" s="120">
        <v>44018.574999999997</v>
      </c>
      <c r="D106" t="s">
        <v>727</v>
      </c>
      <c r="E106" t="s">
        <v>176</v>
      </c>
      <c r="F106" t="s">
        <v>182</v>
      </c>
      <c r="G106" s="120">
        <v>44018.458333333336</v>
      </c>
      <c r="H106" t="s">
        <v>728</v>
      </c>
      <c r="I106" t="s">
        <v>729</v>
      </c>
      <c r="J106" t="s">
        <v>730</v>
      </c>
      <c r="K106" t="s">
        <v>731</v>
      </c>
    </row>
    <row r="107" spans="1:11">
      <c r="A107" t="s">
        <v>732</v>
      </c>
      <c r="B107" t="s">
        <v>508</v>
      </c>
      <c r="C107" s="120">
        <v>44018.475694444445</v>
      </c>
      <c r="D107" t="s">
        <v>733</v>
      </c>
      <c r="E107" t="s">
        <v>176</v>
      </c>
      <c r="F107" t="s">
        <v>181</v>
      </c>
      <c r="G107" s="120">
        <v>43985.370138888888</v>
      </c>
      <c r="H107" t="s">
        <v>734</v>
      </c>
      <c r="I107" t="s">
        <v>735</v>
      </c>
      <c r="J107" t="s">
        <v>736</v>
      </c>
      <c r="K107" t="s">
        <v>737</v>
      </c>
    </row>
    <row r="108" spans="1:11">
      <c r="A108" t="s">
        <v>738</v>
      </c>
      <c r="B108" t="s">
        <v>372</v>
      </c>
      <c r="C108" s="120">
        <v>44018.466666666667</v>
      </c>
      <c r="D108" t="s">
        <v>388</v>
      </c>
      <c r="E108" t="s">
        <v>176</v>
      </c>
      <c r="F108" t="s">
        <v>182</v>
      </c>
      <c r="G108" s="120">
        <v>44018.351388888892</v>
      </c>
      <c r="H108" t="s">
        <v>739</v>
      </c>
      <c r="I108" t="s">
        <v>740</v>
      </c>
      <c r="J108" t="s">
        <v>741</v>
      </c>
      <c r="K108" t="s">
        <v>742</v>
      </c>
    </row>
    <row r="109" spans="1:11">
      <c r="A109" t="s">
        <v>743</v>
      </c>
      <c r="B109" t="s">
        <v>234</v>
      </c>
      <c r="C109" s="120">
        <v>44018.399305555555</v>
      </c>
      <c r="D109" t="s">
        <v>744</v>
      </c>
      <c r="E109" t="s">
        <v>176</v>
      </c>
      <c r="F109" t="s">
        <v>182</v>
      </c>
      <c r="G109" s="120">
        <v>44018.34375</v>
      </c>
      <c r="H109" t="s">
        <v>745</v>
      </c>
      <c r="I109" t="s">
        <v>746</v>
      </c>
      <c r="J109" t="s">
        <v>747</v>
      </c>
      <c r="K109" t="s">
        <v>748</v>
      </c>
    </row>
    <row r="110" spans="1:11">
      <c r="A110" t="s">
        <v>749</v>
      </c>
      <c r="B110" t="s">
        <v>372</v>
      </c>
      <c r="C110" s="120">
        <v>44018.384027777778</v>
      </c>
      <c r="D110" t="s">
        <v>388</v>
      </c>
      <c r="E110" t="s">
        <v>176</v>
      </c>
      <c r="F110" t="s">
        <v>182</v>
      </c>
      <c r="G110" s="120">
        <v>44018.347916666666</v>
      </c>
      <c r="H110" t="s">
        <v>750</v>
      </c>
      <c r="I110" t="s">
        <v>751</v>
      </c>
      <c r="J110" t="s">
        <v>752</v>
      </c>
      <c r="K110" t="s">
        <v>753</v>
      </c>
    </row>
    <row r="111" spans="1:11">
      <c r="A111" t="s">
        <v>754</v>
      </c>
      <c r="B111" t="s">
        <v>197</v>
      </c>
      <c r="C111" s="120">
        <v>44014.620833333334</v>
      </c>
      <c r="D111" t="s">
        <v>293</v>
      </c>
      <c r="E111" t="s">
        <v>176</v>
      </c>
      <c r="F111" t="s">
        <v>182</v>
      </c>
      <c r="G111" s="120">
        <v>44014.616666666669</v>
      </c>
      <c r="H111" t="s">
        <v>755</v>
      </c>
      <c r="I111" t="s">
        <v>756</v>
      </c>
      <c r="J111" t="s">
        <v>757</v>
      </c>
      <c r="K111" t="s">
        <v>758</v>
      </c>
    </row>
    <row r="112" spans="1:11">
      <c r="A112" t="s">
        <v>759</v>
      </c>
      <c r="B112" t="s">
        <v>197</v>
      </c>
      <c r="C112" s="120">
        <v>44014.54791666667</v>
      </c>
      <c r="D112" t="s">
        <v>760</v>
      </c>
      <c r="E112" t="s">
        <v>176</v>
      </c>
      <c r="F112" t="s">
        <v>182</v>
      </c>
      <c r="G112" s="120">
        <v>43983.652777777781</v>
      </c>
      <c r="H112" t="s">
        <v>761</v>
      </c>
      <c r="I112" t="s">
        <v>762</v>
      </c>
      <c r="J112" t="s">
        <v>763</v>
      </c>
      <c r="K112" t="s">
        <v>764</v>
      </c>
    </row>
    <row r="113" spans="1:11">
      <c r="A113" t="s">
        <v>765</v>
      </c>
      <c r="B113" t="s">
        <v>766</v>
      </c>
      <c r="C113" s="120">
        <v>44014.281944444447</v>
      </c>
      <c r="D113" t="s">
        <v>213</v>
      </c>
      <c r="E113" t="s">
        <v>176</v>
      </c>
      <c r="F113" t="s">
        <v>182</v>
      </c>
      <c r="G113" s="120">
        <v>44013.62777777778</v>
      </c>
      <c r="H113" t="s">
        <v>767</v>
      </c>
      <c r="I113" t="s">
        <v>768</v>
      </c>
      <c r="J113" t="s">
        <v>769</v>
      </c>
      <c r="K113" t="s">
        <v>770</v>
      </c>
    </row>
    <row r="114" spans="1:11">
      <c r="A114" t="s">
        <v>771</v>
      </c>
      <c r="B114" t="s">
        <v>772</v>
      </c>
      <c r="C114" s="120">
        <v>44014.27847222222</v>
      </c>
      <c r="D114" t="s">
        <v>773</v>
      </c>
      <c r="E114" t="s">
        <v>176</v>
      </c>
      <c r="F114" t="s">
        <v>179</v>
      </c>
      <c r="G114" s="120">
        <v>44014.277083333334</v>
      </c>
      <c r="H114" t="s">
        <v>774</v>
      </c>
      <c r="I114" t="s">
        <v>775</v>
      </c>
      <c r="J114" t="s">
        <v>245</v>
      </c>
      <c r="K114" t="s">
        <v>776</v>
      </c>
    </row>
    <row r="115" spans="1:11">
      <c r="A115" t="s">
        <v>777</v>
      </c>
      <c r="B115" t="s">
        <v>265</v>
      </c>
      <c r="C115" s="120">
        <v>44013.636111111111</v>
      </c>
      <c r="D115" t="s">
        <v>778</v>
      </c>
      <c r="E115" t="s">
        <v>176</v>
      </c>
      <c r="F115" t="s">
        <v>179</v>
      </c>
      <c r="G115" s="120">
        <v>44013.635416666664</v>
      </c>
      <c r="H115" t="s">
        <v>779</v>
      </c>
      <c r="I115" t="s">
        <v>780</v>
      </c>
      <c r="J115" t="s">
        <v>245</v>
      </c>
      <c r="K115" t="s">
        <v>781</v>
      </c>
    </row>
    <row r="116" spans="1:11">
      <c r="A116" t="s">
        <v>782</v>
      </c>
      <c r="B116" t="s">
        <v>783</v>
      </c>
      <c r="C116" s="120">
        <v>44013.635416666664</v>
      </c>
      <c r="D116" t="s">
        <v>784</v>
      </c>
      <c r="E116" t="s">
        <v>177</v>
      </c>
      <c r="F116" t="s">
        <v>179</v>
      </c>
      <c r="G116" s="120">
        <v>44013.634722222225</v>
      </c>
      <c r="H116" t="s">
        <v>785</v>
      </c>
      <c r="I116" t="s">
        <v>786</v>
      </c>
      <c r="J116" t="s">
        <v>245</v>
      </c>
      <c r="K116" t="s">
        <v>787</v>
      </c>
    </row>
    <row r="117" spans="1:11">
      <c r="A117" t="s">
        <v>788</v>
      </c>
      <c r="B117" t="s">
        <v>234</v>
      </c>
      <c r="C117" s="120">
        <v>44013.453472222223</v>
      </c>
      <c r="D117" t="s">
        <v>744</v>
      </c>
      <c r="E117" t="s">
        <v>176</v>
      </c>
      <c r="F117" t="s">
        <v>182</v>
      </c>
      <c r="G117" s="120">
        <v>44012.573611111111</v>
      </c>
      <c r="H117" t="s">
        <v>789</v>
      </c>
      <c r="I117" t="s">
        <v>790</v>
      </c>
      <c r="J117" t="s">
        <v>791</v>
      </c>
      <c r="K117" t="s">
        <v>792</v>
      </c>
    </row>
    <row r="118" spans="1:11">
      <c r="A118" t="s">
        <v>793</v>
      </c>
      <c r="B118" t="s">
        <v>794</v>
      </c>
      <c r="C118" s="120">
        <v>44013.396527777775</v>
      </c>
      <c r="D118" t="s">
        <v>795</v>
      </c>
      <c r="E118" t="s">
        <v>176</v>
      </c>
      <c r="F118" t="s">
        <v>182</v>
      </c>
      <c r="G118" s="120">
        <v>44013.318055555559</v>
      </c>
      <c r="H118" t="s">
        <v>796</v>
      </c>
      <c r="I118" t="s">
        <v>797</v>
      </c>
      <c r="J118" t="s">
        <v>798</v>
      </c>
      <c r="K118" t="s">
        <v>799</v>
      </c>
    </row>
    <row r="119" spans="1:11">
      <c r="A119" t="s">
        <v>800</v>
      </c>
      <c r="B119" t="s">
        <v>801</v>
      </c>
      <c r="C119" s="120">
        <v>44012.517361111109</v>
      </c>
      <c r="D119" t="s">
        <v>802</v>
      </c>
      <c r="E119" t="s">
        <v>176</v>
      </c>
      <c r="F119" t="s">
        <v>182</v>
      </c>
      <c r="G119" s="120">
        <v>44012.412499999999</v>
      </c>
      <c r="H119" t="s">
        <v>803</v>
      </c>
      <c r="I119" t="s">
        <v>804</v>
      </c>
      <c r="J119" t="s">
        <v>805</v>
      </c>
      <c r="K119" t="s">
        <v>806</v>
      </c>
    </row>
    <row r="120" spans="1:11">
      <c r="A120" t="s">
        <v>807</v>
      </c>
      <c r="B120" t="s">
        <v>431</v>
      </c>
      <c r="C120" s="120">
        <v>44012.453472222223</v>
      </c>
      <c r="D120" t="s">
        <v>808</v>
      </c>
      <c r="E120" t="s">
        <v>176</v>
      </c>
      <c r="F120" t="s">
        <v>182</v>
      </c>
      <c r="G120" s="120">
        <v>44012.410416666666</v>
      </c>
      <c r="H120" t="s">
        <v>809</v>
      </c>
      <c r="I120" t="s">
        <v>810</v>
      </c>
      <c r="J120" t="s">
        <v>811</v>
      </c>
      <c r="K120" t="s">
        <v>812</v>
      </c>
    </row>
    <row r="121" spans="1:11">
      <c r="A121" t="s">
        <v>813</v>
      </c>
      <c r="B121" t="s">
        <v>814</v>
      </c>
      <c r="C121" s="120">
        <v>44011.568749999999</v>
      </c>
      <c r="D121" t="s">
        <v>815</v>
      </c>
      <c r="E121" t="s">
        <v>176</v>
      </c>
      <c r="F121" t="s">
        <v>182</v>
      </c>
      <c r="G121" s="120">
        <v>44011.54791666667</v>
      </c>
      <c r="H121" t="s">
        <v>816</v>
      </c>
      <c r="I121" t="s">
        <v>817</v>
      </c>
      <c r="J121" t="s">
        <v>818</v>
      </c>
      <c r="K121" t="s">
        <v>819</v>
      </c>
    </row>
    <row r="122" spans="1:11">
      <c r="A122" t="s">
        <v>820</v>
      </c>
      <c r="B122" t="s">
        <v>585</v>
      </c>
      <c r="C122" s="120">
        <v>44008.546527777777</v>
      </c>
      <c r="D122" t="s">
        <v>821</v>
      </c>
      <c r="E122" t="s">
        <v>176</v>
      </c>
      <c r="F122" t="s">
        <v>182</v>
      </c>
      <c r="G122" s="120">
        <v>43971.631249999999</v>
      </c>
      <c r="H122" t="s">
        <v>822</v>
      </c>
      <c r="I122" t="s">
        <v>823</v>
      </c>
      <c r="J122" t="s">
        <v>824</v>
      </c>
      <c r="K122" t="s">
        <v>825</v>
      </c>
    </row>
    <row r="123" spans="1:11">
      <c r="A123" t="s">
        <v>820</v>
      </c>
      <c r="B123" t="s">
        <v>585</v>
      </c>
      <c r="C123" s="120">
        <v>44008.532638888886</v>
      </c>
      <c r="D123" t="s">
        <v>826</v>
      </c>
      <c r="E123" t="s">
        <v>177</v>
      </c>
      <c r="F123" t="s">
        <v>182</v>
      </c>
      <c r="G123" s="120">
        <v>43971.634027777778</v>
      </c>
      <c r="H123" t="s">
        <v>822</v>
      </c>
      <c r="I123" t="s">
        <v>827</v>
      </c>
      <c r="J123" t="s">
        <v>828</v>
      </c>
      <c r="K123" t="s">
        <v>825</v>
      </c>
    </row>
    <row r="124" spans="1:11">
      <c r="A124" t="s">
        <v>829</v>
      </c>
      <c r="B124" t="s">
        <v>585</v>
      </c>
      <c r="C124" s="120">
        <v>44008.525694444441</v>
      </c>
      <c r="D124" t="s">
        <v>830</v>
      </c>
      <c r="E124" t="s">
        <v>176</v>
      </c>
      <c r="F124" t="s">
        <v>178</v>
      </c>
      <c r="G124" s="120">
        <v>43963.670138888891</v>
      </c>
      <c r="H124" t="s">
        <v>831</v>
      </c>
      <c r="I124" t="s">
        <v>832</v>
      </c>
      <c r="J124" t="s">
        <v>833</v>
      </c>
      <c r="K124" t="s">
        <v>834</v>
      </c>
    </row>
    <row r="125" spans="1:11">
      <c r="A125" t="s">
        <v>829</v>
      </c>
      <c r="B125" t="s">
        <v>585</v>
      </c>
      <c r="C125" s="120">
        <v>44008.434027777781</v>
      </c>
      <c r="D125" t="s">
        <v>835</v>
      </c>
      <c r="E125" t="s">
        <v>177</v>
      </c>
      <c r="F125" t="s">
        <v>181</v>
      </c>
      <c r="G125" s="120">
        <v>44007.539583333331</v>
      </c>
      <c r="H125" t="s">
        <v>831</v>
      </c>
      <c r="I125" t="s">
        <v>836</v>
      </c>
      <c r="J125" t="s">
        <v>837</v>
      </c>
      <c r="K125" t="s">
        <v>834</v>
      </c>
    </row>
    <row r="126" spans="1:11">
      <c r="A126" t="s">
        <v>838</v>
      </c>
      <c r="B126" t="s">
        <v>336</v>
      </c>
      <c r="C126" s="120">
        <v>44008.350694444445</v>
      </c>
      <c r="D126" t="s">
        <v>839</v>
      </c>
      <c r="E126" t="s">
        <v>176</v>
      </c>
      <c r="F126" t="s">
        <v>182</v>
      </c>
      <c r="G126" s="120">
        <v>44008.273611111108</v>
      </c>
      <c r="H126" t="s">
        <v>840</v>
      </c>
      <c r="I126" t="s">
        <v>841</v>
      </c>
      <c r="J126" t="s">
        <v>842</v>
      </c>
      <c r="K126" t="s">
        <v>843</v>
      </c>
    </row>
    <row r="127" spans="1:11">
      <c r="A127" t="s">
        <v>844</v>
      </c>
      <c r="B127" t="s">
        <v>845</v>
      </c>
      <c r="C127" s="120">
        <v>44007.620833333334</v>
      </c>
      <c r="D127" t="s">
        <v>846</v>
      </c>
      <c r="E127" t="s">
        <v>176</v>
      </c>
      <c r="F127" t="s">
        <v>182</v>
      </c>
      <c r="G127" s="120">
        <v>44007.560416666667</v>
      </c>
      <c r="H127" t="s">
        <v>847</v>
      </c>
      <c r="I127" t="s">
        <v>848</v>
      </c>
      <c r="J127" t="s">
        <v>849</v>
      </c>
      <c r="K127" t="s">
        <v>850</v>
      </c>
    </row>
    <row r="128" spans="1:11">
      <c r="A128" t="s">
        <v>851</v>
      </c>
      <c r="B128" t="s">
        <v>265</v>
      </c>
      <c r="C128" s="120">
        <v>44007.551388888889</v>
      </c>
      <c r="D128" t="s">
        <v>852</v>
      </c>
      <c r="E128" t="s">
        <v>176</v>
      </c>
      <c r="F128" t="s">
        <v>178</v>
      </c>
      <c r="G128" s="120">
        <v>43964.707638888889</v>
      </c>
      <c r="H128" t="s">
        <v>267</v>
      </c>
      <c r="I128" t="s">
        <v>853</v>
      </c>
      <c r="J128" t="s">
        <v>854</v>
      </c>
      <c r="K128" t="s">
        <v>855</v>
      </c>
    </row>
    <row r="129" spans="1:11">
      <c r="A129" t="s">
        <v>371</v>
      </c>
      <c r="B129" t="s">
        <v>372</v>
      </c>
      <c r="C129" s="120">
        <v>44007.536805555559</v>
      </c>
      <c r="D129" t="s">
        <v>373</v>
      </c>
      <c r="E129" t="s">
        <v>176</v>
      </c>
      <c r="F129" t="s">
        <v>178</v>
      </c>
      <c r="G129" s="120">
        <v>44001.504861111112</v>
      </c>
      <c r="H129" t="s">
        <v>374</v>
      </c>
      <c r="I129" t="s">
        <v>856</v>
      </c>
      <c r="J129" t="s">
        <v>245</v>
      </c>
      <c r="K129" t="s">
        <v>377</v>
      </c>
    </row>
    <row r="130" spans="1:11">
      <c r="A130" t="s">
        <v>857</v>
      </c>
      <c r="B130" t="s">
        <v>557</v>
      </c>
      <c r="C130" s="120">
        <v>44007.523611111108</v>
      </c>
      <c r="D130" t="s">
        <v>858</v>
      </c>
      <c r="E130" t="s">
        <v>176</v>
      </c>
      <c r="F130" t="s">
        <v>182</v>
      </c>
      <c r="G130" s="120">
        <v>44007.402777777781</v>
      </c>
      <c r="H130" t="s">
        <v>859</v>
      </c>
      <c r="I130" t="s">
        <v>860</v>
      </c>
      <c r="J130" t="s">
        <v>861</v>
      </c>
      <c r="K130" t="s">
        <v>862</v>
      </c>
    </row>
    <row r="131" spans="1:11">
      <c r="A131" t="s">
        <v>863</v>
      </c>
      <c r="B131" t="s">
        <v>197</v>
      </c>
      <c r="C131" s="120">
        <v>44007.501388888886</v>
      </c>
      <c r="D131" t="s">
        <v>864</v>
      </c>
      <c r="E131" t="s">
        <v>176</v>
      </c>
      <c r="F131" t="s">
        <v>182</v>
      </c>
      <c r="G131" s="120">
        <v>44007.464583333334</v>
      </c>
      <c r="H131" t="s">
        <v>443</v>
      </c>
      <c r="I131" t="s">
        <v>865</v>
      </c>
      <c r="J131" t="s">
        <v>866</v>
      </c>
      <c r="K131" t="s">
        <v>867</v>
      </c>
    </row>
    <row r="132" spans="1:11">
      <c r="A132" t="s">
        <v>868</v>
      </c>
      <c r="B132" t="s">
        <v>309</v>
      </c>
      <c r="C132" s="120">
        <v>44007.341666666667</v>
      </c>
      <c r="D132" t="s">
        <v>869</v>
      </c>
      <c r="E132" t="s">
        <v>329</v>
      </c>
      <c r="F132" t="s">
        <v>183</v>
      </c>
      <c r="G132" s="120">
        <v>43978.622916666667</v>
      </c>
      <c r="H132" t="s">
        <v>870</v>
      </c>
      <c r="I132" t="s">
        <v>871</v>
      </c>
      <c r="J132" t="s">
        <v>245</v>
      </c>
      <c r="K132" t="s">
        <v>872</v>
      </c>
    </row>
    <row r="133" spans="1:11">
      <c r="A133" t="s">
        <v>873</v>
      </c>
      <c r="B133" t="s">
        <v>197</v>
      </c>
      <c r="C133" s="120">
        <v>44007.335416666669</v>
      </c>
      <c r="D133" t="s">
        <v>874</v>
      </c>
      <c r="E133" t="s">
        <v>176</v>
      </c>
      <c r="F133" t="s">
        <v>182</v>
      </c>
      <c r="G133" s="120">
        <v>43993.577777777777</v>
      </c>
      <c r="H133" t="s">
        <v>875</v>
      </c>
      <c r="I133" t="s">
        <v>876</v>
      </c>
      <c r="J133" t="s">
        <v>877</v>
      </c>
      <c r="K133" t="s">
        <v>878</v>
      </c>
    </row>
    <row r="134" spans="1:11">
      <c r="A134" t="s">
        <v>879</v>
      </c>
      <c r="B134" t="s">
        <v>372</v>
      </c>
      <c r="C134" s="120">
        <v>44006.539583333331</v>
      </c>
      <c r="D134" t="s">
        <v>880</v>
      </c>
      <c r="E134" t="s">
        <v>176</v>
      </c>
      <c r="F134" t="s">
        <v>181</v>
      </c>
      <c r="G134" s="120">
        <v>43966.609722222223</v>
      </c>
      <c r="H134" t="s">
        <v>881</v>
      </c>
      <c r="I134" t="s">
        <v>882</v>
      </c>
      <c r="J134" t="s">
        <v>883</v>
      </c>
      <c r="K134" t="s">
        <v>884</v>
      </c>
    </row>
    <row r="135" spans="1:11">
      <c r="A135" t="s">
        <v>885</v>
      </c>
      <c r="B135" t="s">
        <v>204</v>
      </c>
      <c r="C135" s="120">
        <v>44006.536111111112</v>
      </c>
      <c r="D135" t="s">
        <v>886</v>
      </c>
      <c r="E135" t="s">
        <v>176</v>
      </c>
      <c r="F135" t="s">
        <v>181</v>
      </c>
      <c r="G135" s="120">
        <v>43948.631249999999</v>
      </c>
      <c r="H135" t="s">
        <v>343</v>
      </c>
      <c r="I135" t="s">
        <v>887</v>
      </c>
      <c r="J135" t="s">
        <v>888</v>
      </c>
      <c r="K135" t="s">
        <v>889</v>
      </c>
    </row>
    <row r="136" spans="1:11">
      <c r="A136" t="s">
        <v>890</v>
      </c>
      <c r="B136" t="s">
        <v>448</v>
      </c>
      <c r="C136" s="120">
        <v>44006.531944444447</v>
      </c>
      <c r="D136" t="s">
        <v>891</v>
      </c>
      <c r="E136" t="s">
        <v>176</v>
      </c>
      <c r="F136" t="s">
        <v>182</v>
      </c>
      <c r="G136" s="120">
        <v>44001.279166666667</v>
      </c>
      <c r="H136" t="s">
        <v>892</v>
      </c>
      <c r="I136" t="s">
        <v>893</v>
      </c>
      <c r="J136" t="s">
        <v>894</v>
      </c>
      <c r="K136" t="s">
        <v>895</v>
      </c>
    </row>
    <row r="137" spans="1:11">
      <c r="A137" t="s">
        <v>896</v>
      </c>
      <c r="B137" t="s">
        <v>897</v>
      </c>
      <c r="C137" s="120">
        <v>44006.500694444447</v>
      </c>
      <c r="D137" t="s">
        <v>898</v>
      </c>
      <c r="E137" t="s">
        <v>176</v>
      </c>
      <c r="F137" t="s">
        <v>182</v>
      </c>
      <c r="G137" s="120">
        <v>44006.420138888891</v>
      </c>
      <c r="H137" t="s">
        <v>899</v>
      </c>
      <c r="I137" t="s">
        <v>900</v>
      </c>
      <c r="J137" t="s">
        <v>901</v>
      </c>
      <c r="K137" t="s">
        <v>902</v>
      </c>
    </row>
    <row r="138" spans="1:11">
      <c r="A138" t="s">
        <v>903</v>
      </c>
      <c r="B138" t="s">
        <v>204</v>
      </c>
      <c r="C138" s="120">
        <v>44006.472916666666</v>
      </c>
      <c r="D138" t="s">
        <v>904</v>
      </c>
      <c r="E138" t="s">
        <v>206</v>
      </c>
      <c r="F138" t="s">
        <v>181</v>
      </c>
      <c r="G138" s="120">
        <v>44006.472222222219</v>
      </c>
      <c r="H138" t="s">
        <v>905</v>
      </c>
      <c r="I138" t="s">
        <v>906</v>
      </c>
      <c r="J138" t="s">
        <v>245</v>
      </c>
      <c r="K138" t="s">
        <v>907</v>
      </c>
    </row>
    <row r="139" spans="1:11">
      <c r="A139" t="s">
        <v>908</v>
      </c>
      <c r="B139" t="s">
        <v>204</v>
      </c>
      <c r="C139" s="120">
        <v>44006.47152777778</v>
      </c>
      <c r="D139" t="s">
        <v>205</v>
      </c>
      <c r="E139" t="s">
        <v>206</v>
      </c>
      <c r="F139" t="s">
        <v>181</v>
      </c>
      <c r="G139" s="120">
        <v>44006.470833333333</v>
      </c>
      <c r="H139" t="s">
        <v>909</v>
      </c>
      <c r="I139" t="s">
        <v>910</v>
      </c>
      <c r="J139" t="s">
        <v>245</v>
      </c>
      <c r="K139" t="s">
        <v>911</v>
      </c>
    </row>
    <row r="140" spans="1:11">
      <c r="A140" t="s">
        <v>912</v>
      </c>
      <c r="B140" t="s">
        <v>372</v>
      </c>
      <c r="C140" s="120">
        <v>44006.32708333333</v>
      </c>
      <c r="D140" t="s">
        <v>913</v>
      </c>
      <c r="E140" t="s">
        <v>176</v>
      </c>
      <c r="F140" t="s">
        <v>182</v>
      </c>
      <c r="G140" s="120">
        <v>44006.275694444441</v>
      </c>
      <c r="H140" t="s">
        <v>913</v>
      </c>
      <c r="I140" t="s">
        <v>914</v>
      </c>
      <c r="J140" t="s">
        <v>915</v>
      </c>
      <c r="K140" t="s">
        <v>916</v>
      </c>
    </row>
    <row r="141" spans="1:11">
      <c r="A141" t="s">
        <v>917</v>
      </c>
      <c r="B141" t="s">
        <v>197</v>
      </c>
      <c r="C141" s="120">
        <v>44005.597222222219</v>
      </c>
      <c r="D141" t="s">
        <v>293</v>
      </c>
      <c r="E141" t="s">
        <v>176</v>
      </c>
      <c r="F141" t="s">
        <v>182</v>
      </c>
      <c r="G141" s="120">
        <v>44005.570833333331</v>
      </c>
      <c r="H141" t="s">
        <v>293</v>
      </c>
      <c r="I141" t="s">
        <v>918</v>
      </c>
      <c r="J141" t="s">
        <v>919</v>
      </c>
      <c r="K141" t="s">
        <v>920</v>
      </c>
    </row>
    <row r="142" spans="1:11">
      <c r="A142" t="s">
        <v>921</v>
      </c>
      <c r="B142" t="s">
        <v>234</v>
      </c>
      <c r="C142" s="120">
        <v>44005.588194444441</v>
      </c>
      <c r="D142" t="s">
        <v>744</v>
      </c>
      <c r="E142" t="s">
        <v>176</v>
      </c>
      <c r="F142" t="s">
        <v>182</v>
      </c>
      <c r="G142" s="120">
        <v>44005.556944444441</v>
      </c>
      <c r="H142" t="s">
        <v>922</v>
      </c>
      <c r="I142" t="s">
        <v>923</v>
      </c>
      <c r="J142" t="s">
        <v>924</v>
      </c>
      <c r="K142" t="s">
        <v>925</v>
      </c>
    </row>
    <row r="143" spans="1:11">
      <c r="A143" t="s">
        <v>926</v>
      </c>
      <c r="B143" t="s">
        <v>234</v>
      </c>
      <c r="C143" s="120">
        <v>44005.581944444442</v>
      </c>
      <c r="D143" t="s">
        <v>927</v>
      </c>
      <c r="E143" t="s">
        <v>176</v>
      </c>
      <c r="F143" t="s">
        <v>182</v>
      </c>
      <c r="G143" s="120">
        <v>44005.551388888889</v>
      </c>
      <c r="H143" t="s">
        <v>928</v>
      </c>
      <c r="I143" t="s">
        <v>929</v>
      </c>
      <c r="J143" t="s">
        <v>930</v>
      </c>
      <c r="K143" t="s">
        <v>931</v>
      </c>
    </row>
    <row r="144" spans="1:11">
      <c r="A144" t="s">
        <v>932</v>
      </c>
      <c r="B144" t="s">
        <v>585</v>
      </c>
      <c r="C144" s="120">
        <v>44005.520833333336</v>
      </c>
      <c r="D144" t="s">
        <v>933</v>
      </c>
      <c r="E144" t="s">
        <v>176</v>
      </c>
      <c r="F144" t="s">
        <v>182</v>
      </c>
      <c r="G144" s="120">
        <v>43966.386111111111</v>
      </c>
      <c r="H144" t="s">
        <v>934</v>
      </c>
      <c r="I144" t="s">
        <v>935</v>
      </c>
      <c r="J144" t="s">
        <v>936</v>
      </c>
      <c r="K144" t="s">
        <v>937</v>
      </c>
    </row>
    <row r="145" spans="1:11">
      <c r="A145" t="s">
        <v>932</v>
      </c>
      <c r="B145" t="s">
        <v>585</v>
      </c>
      <c r="C145" s="120">
        <v>44005.490972222222</v>
      </c>
      <c r="D145" t="s">
        <v>938</v>
      </c>
      <c r="E145" t="s">
        <v>177</v>
      </c>
      <c r="F145" t="s">
        <v>182</v>
      </c>
      <c r="G145" s="120">
        <v>43972.434027777781</v>
      </c>
      <c r="H145" t="s">
        <v>934</v>
      </c>
      <c r="I145" t="s">
        <v>939</v>
      </c>
      <c r="J145" t="s">
        <v>245</v>
      </c>
      <c r="K145" t="s">
        <v>937</v>
      </c>
    </row>
    <row r="146" spans="1:11">
      <c r="A146" t="s">
        <v>940</v>
      </c>
      <c r="B146" t="s">
        <v>204</v>
      </c>
      <c r="C146" s="120">
        <v>44001.59375</v>
      </c>
      <c r="D146" t="s">
        <v>941</v>
      </c>
      <c r="E146" t="s">
        <v>206</v>
      </c>
      <c r="F146" t="s">
        <v>182</v>
      </c>
      <c r="G146" s="120">
        <v>44001.593055555553</v>
      </c>
      <c r="H146" t="s">
        <v>942</v>
      </c>
      <c r="I146" t="s">
        <v>943</v>
      </c>
      <c r="J146" t="s">
        <v>245</v>
      </c>
      <c r="K146" t="s">
        <v>944</v>
      </c>
    </row>
    <row r="147" spans="1:11">
      <c r="A147" t="s">
        <v>945</v>
      </c>
      <c r="B147" t="s">
        <v>946</v>
      </c>
      <c r="C147" s="120">
        <v>44001.554166666669</v>
      </c>
      <c r="D147" t="s">
        <v>947</v>
      </c>
      <c r="E147" t="s">
        <v>176</v>
      </c>
      <c r="F147" t="s">
        <v>182</v>
      </c>
      <c r="G147" s="120">
        <v>43983.474305555559</v>
      </c>
      <c r="H147" t="s">
        <v>948</v>
      </c>
      <c r="I147" t="s">
        <v>949</v>
      </c>
      <c r="J147" t="s">
        <v>950</v>
      </c>
      <c r="K147" t="s">
        <v>951</v>
      </c>
    </row>
    <row r="148" spans="1:11">
      <c r="A148" t="s">
        <v>952</v>
      </c>
      <c r="B148" t="s">
        <v>953</v>
      </c>
      <c r="C148" s="120">
        <v>44001.501388888886</v>
      </c>
      <c r="D148" t="s">
        <v>954</v>
      </c>
      <c r="E148" t="s">
        <v>176</v>
      </c>
      <c r="F148" t="s">
        <v>182</v>
      </c>
      <c r="G148" s="120">
        <v>43999.386111111111</v>
      </c>
      <c r="H148" t="s">
        <v>955</v>
      </c>
      <c r="I148" t="s">
        <v>956</v>
      </c>
      <c r="J148" t="s">
        <v>957</v>
      </c>
      <c r="K148" t="s">
        <v>958</v>
      </c>
    </row>
    <row r="149" spans="1:11">
      <c r="A149" t="s">
        <v>959</v>
      </c>
      <c r="B149" t="s">
        <v>265</v>
      </c>
      <c r="C149" s="120">
        <v>44001.499305555553</v>
      </c>
      <c r="D149" t="s">
        <v>960</v>
      </c>
      <c r="E149" t="s">
        <v>176</v>
      </c>
      <c r="F149" t="s">
        <v>182</v>
      </c>
      <c r="G149" s="120">
        <v>44001.32916666667</v>
      </c>
      <c r="H149" t="s">
        <v>961</v>
      </c>
      <c r="I149" t="s">
        <v>962</v>
      </c>
      <c r="J149" t="s">
        <v>963</v>
      </c>
      <c r="K149" t="s">
        <v>964</v>
      </c>
    </row>
    <row r="150" spans="1:11">
      <c r="A150" t="s">
        <v>873</v>
      </c>
      <c r="B150" t="s">
        <v>197</v>
      </c>
      <c r="C150" s="120">
        <v>44001.495833333334</v>
      </c>
      <c r="D150" t="s">
        <v>965</v>
      </c>
      <c r="E150" t="s">
        <v>177</v>
      </c>
      <c r="F150" t="s">
        <v>182</v>
      </c>
      <c r="G150" s="120">
        <v>43993.636805555558</v>
      </c>
      <c r="H150" t="s">
        <v>875</v>
      </c>
      <c r="I150" t="s">
        <v>966</v>
      </c>
      <c r="J150" t="s">
        <v>967</v>
      </c>
      <c r="K150" t="s">
        <v>878</v>
      </c>
    </row>
    <row r="151" spans="1:11">
      <c r="A151" t="s">
        <v>968</v>
      </c>
      <c r="B151" t="s">
        <v>197</v>
      </c>
      <c r="C151" s="120">
        <v>44001.486805555556</v>
      </c>
      <c r="D151" t="s">
        <v>969</v>
      </c>
      <c r="E151" t="s">
        <v>176</v>
      </c>
      <c r="F151" t="s">
        <v>182</v>
      </c>
      <c r="G151" s="120">
        <v>43986.729861111111</v>
      </c>
      <c r="H151" t="s">
        <v>970</v>
      </c>
      <c r="I151" t="s">
        <v>971</v>
      </c>
      <c r="J151" t="s">
        <v>972</v>
      </c>
      <c r="K151" t="s">
        <v>973</v>
      </c>
    </row>
    <row r="152" spans="1:11">
      <c r="A152" t="s">
        <v>974</v>
      </c>
      <c r="B152" t="s">
        <v>197</v>
      </c>
      <c r="C152" s="120">
        <v>44001.484027777777</v>
      </c>
      <c r="D152" t="s">
        <v>975</v>
      </c>
      <c r="E152" t="s">
        <v>176</v>
      </c>
      <c r="F152" t="s">
        <v>182</v>
      </c>
      <c r="G152" s="120">
        <v>43971.324999999997</v>
      </c>
      <c r="H152" t="s">
        <v>976</v>
      </c>
      <c r="I152" t="s">
        <v>977</v>
      </c>
      <c r="J152" t="s">
        <v>978</v>
      </c>
      <c r="K152" t="s">
        <v>979</v>
      </c>
    </row>
    <row r="153" spans="1:11">
      <c r="A153" t="s">
        <v>980</v>
      </c>
      <c r="B153" t="s">
        <v>336</v>
      </c>
      <c r="C153" s="120">
        <v>44001.461111111108</v>
      </c>
      <c r="D153" t="s">
        <v>981</v>
      </c>
      <c r="E153" t="s">
        <v>176</v>
      </c>
      <c r="F153" t="s">
        <v>182</v>
      </c>
      <c r="G153" s="120">
        <v>43985.375</v>
      </c>
      <c r="H153" t="s">
        <v>982</v>
      </c>
      <c r="I153" t="s">
        <v>983</v>
      </c>
      <c r="J153" t="s">
        <v>984</v>
      </c>
      <c r="K153" t="s">
        <v>985</v>
      </c>
    </row>
    <row r="154" spans="1:11">
      <c r="A154" t="s">
        <v>986</v>
      </c>
      <c r="B154" t="s">
        <v>372</v>
      </c>
      <c r="C154" s="120">
        <v>44001.45</v>
      </c>
      <c r="D154" t="s">
        <v>987</v>
      </c>
      <c r="E154" t="s">
        <v>176</v>
      </c>
      <c r="F154" t="s">
        <v>182</v>
      </c>
      <c r="G154" s="120">
        <v>44001.404166666667</v>
      </c>
      <c r="H154" t="s">
        <v>913</v>
      </c>
      <c r="I154" t="s">
        <v>988</v>
      </c>
      <c r="J154" t="s">
        <v>989</v>
      </c>
      <c r="K154" t="s">
        <v>990</v>
      </c>
    </row>
    <row r="155" spans="1:11">
      <c r="A155" t="s">
        <v>991</v>
      </c>
      <c r="B155" t="s">
        <v>946</v>
      </c>
      <c r="C155" s="120">
        <v>44000.292361111111</v>
      </c>
      <c r="D155" t="s">
        <v>992</v>
      </c>
      <c r="E155" t="s">
        <v>176</v>
      </c>
      <c r="F155" t="s">
        <v>183</v>
      </c>
      <c r="G155" s="120">
        <v>43998.547222222223</v>
      </c>
      <c r="H155" t="s">
        <v>993</v>
      </c>
      <c r="I155" t="s">
        <v>994</v>
      </c>
      <c r="J155" t="s">
        <v>995</v>
      </c>
      <c r="K155" t="s">
        <v>996</v>
      </c>
    </row>
    <row r="156" spans="1:11">
      <c r="A156" t="s">
        <v>997</v>
      </c>
      <c r="B156" t="s">
        <v>448</v>
      </c>
      <c r="C156" s="120">
        <v>43999.629861111112</v>
      </c>
      <c r="D156" t="s">
        <v>998</v>
      </c>
      <c r="E156" t="s">
        <v>176</v>
      </c>
      <c r="F156" t="s">
        <v>181</v>
      </c>
      <c r="G156" s="120">
        <v>43971.326388888891</v>
      </c>
      <c r="H156" t="s">
        <v>999</v>
      </c>
      <c r="I156" t="s">
        <v>1000</v>
      </c>
      <c r="J156" t="s">
        <v>1001</v>
      </c>
      <c r="K156" t="s">
        <v>1002</v>
      </c>
    </row>
    <row r="157" spans="1:11">
      <c r="A157" t="s">
        <v>1003</v>
      </c>
      <c r="B157" t="s">
        <v>585</v>
      </c>
      <c r="C157" s="120">
        <v>43999.581250000003</v>
      </c>
      <c r="D157" t="s">
        <v>1004</v>
      </c>
      <c r="E157" t="s">
        <v>176</v>
      </c>
      <c r="F157" t="s">
        <v>182</v>
      </c>
      <c r="G157" s="120">
        <v>43914.426388888889</v>
      </c>
      <c r="H157" t="s">
        <v>1005</v>
      </c>
      <c r="I157" t="s">
        <v>1006</v>
      </c>
      <c r="J157" t="s">
        <v>1007</v>
      </c>
      <c r="K157" t="s">
        <v>1008</v>
      </c>
    </row>
    <row r="158" spans="1:11">
      <c r="A158" t="s">
        <v>1009</v>
      </c>
      <c r="B158" t="s">
        <v>431</v>
      </c>
      <c r="C158" s="120">
        <v>43999.576388888891</v>
      </c>
      <c r="D158" t="s">
        <v>1010</v>
      </c>
      <c r="E158" t="s">
        <v>206</v>
      </c>
      <c r="F158" t="s">
        <v>181</v>
      </c>
      <c r="G158" s="120">
        <v>43997.417361111111</v>
      </c>
      <c r="H158" t="s">
        <v>1011</v>
      </c>
      <c r="I158" t="s">
        <v>1012</v>
      </c>
      <c r="J158" t="s">
        <v>1013</v>
      </c>
      <c r="K158" t="s">
        <v>1014</v>
      </c>
    </row>
    <row r="159" spans="1:11">
      <c r="A159" t="s">
        <v>1015</v>
      </c>
      <c r="B159" t="s">
        <v>431</v>
      </c>
      <c r="C159" s="120">
        <v>43999.398611111108</v>
      </c>
      <c r="D159" t="s">
        <v>1016</v>
      </c>
      <c r="E159" t="s">
        <v>176</v>
      </c>
      <c r="F159" t="s">
        <v>182</v>
      </c>
      <c r="G159" s="120">
        <v>43997.412499999999</v>
      </c>
      <c r="H159" t="s">
        <v>1017</v>
      </c>
      <c r="I159" t="s">
        <v>1018</v>
      </c>
      <c r="J159" t="s">
        <v>1019</v>
      </c>
      <c r="K159" t="s">
        <v>1020</v>
      </c>
    </row>
    <row r="160" spans="1:11">
      <c r="A160" t="s">
        <v>1021</v>
      </c>
      <c r="B160" t="s">
        <v>204</v>
      </c>
      <c r="C160" s="120">
        <v>43998.550694444442</v>
      </c>
      <c r="D160" t="s">
        <v>1022</v>
      </c>
      <c r="E160" t="s">
        <v>206</v>
      </c>
      <c r="F160" t="s">
        <v>181</v>
      </c>
      <c r="G160" s="120">
        <v>43998.4375</v>
      </c>
      <c r="H160" t="s">
        <v>1023</v>
      </c>
      <c r="I160" t="s">
        <v>1024</v>
      </c>
      <c r="J160" t="s">
        <v>1025</v>
      </c>
      <c r="K160" t="s">
        <v>1026</v>
      </c>
    </row>
    <row r="161" spans="1:11">
      <c r="A161" t="s">
        <v>1027</v>
      </c>
      <c r="B161" t="s">
        <v>204</v>
      </c>
      <c r="C161" s="120">
        <v>43998.51666666667</v>
      </c>
      <c r="D161" t="s">
        <v>1028</v>
      </c>
      <c r="E161" t="s">
        <v>177</v>
      </c>
      <c r="F161" t="s">
        <v>182</v>
      </c>
      <c r="G161" s="120">
        <v>43951.447916666664</v>
      </c>
      <c r="H161" t="s">
        <v>1029</v>
      </c>
      <c r="I161" t="s">
        <v>1030</v>
      </c>
      <c r="J161" t="s">
        <v>1031</v>
      </c>
      <c r="K161" t="s">
        <v>1032</v>
      </c>
    </row>
    <row r="162" spans="1:11">
      <c r="A162" t="s">
        <v>1033</v>
      </c>
      <c r="B162" t="s">
        <v>1034</v>
      </c>
      <c r="C162" s="120">
        <v>43998.513194444444</v>
      </c>
      <c r="D162" t="s">
        <v>1035</v>
      </c>
      <c r="E162" t="s">
        <v>177</v>
      </c>
      <c r="F162" t="s">
        <v>182</v>
      </c>
      <c r="G162" s="120">
        <v>43951.508333333331</v>
      </c>
      <c r="H162" t="s">
        <v>1036</v>
      </c>
      <c r="I162" t="s">
        <v>1037</v>
      </c>
      <c r="J162" t="s">
        <v>1038</v>
      </c>
      <c r="K162" t="s">
        <v>1039</v>
      </c>
    </row>
    <row r="163" spans="1:11">
      <c r="A163" t="s">
        <v>1040</v>
      </c>
      <c r="B163" t="s">
        <v>1041</v>
      </c>
      <c r="C163" s="120">
        <v>43998.509722222225</v>
      </c>
      <c r="D163" t="s">
        <v>1042</v>
      </c>
      <c r="E163" t="s">
        <v>177</v>
      </c>
      <c r="F163" t="s">
        <v>182</v>
      </c>
      <c r="G163" s="120">
        <v>43964.522916666669</v>
      </c>
      <c r="H163" t="s">
        <v>1043</v>
      </c>
      <c r="I163" t="s">
        <v>1044</v>
      </c>
      <c r="J163" t="s">
        <v>1045</v>
      </c>
      <c r="K163" t="s">
        <v>1046</v>
      </c>
    </row>
    <row r="164" spans="1:11">
      <c r="A164" t="s">
        <v>732</v>
      </c>
      <c r="B164" t="s">
        <v>508</v>
      </c>
      <c r="C164" s="120">
        <v>43998.506249999999</v>
      </c>
      <c r="D164" t="s">
        <v>1047</v>
      </c>
      <c r="E164" t="s">
        <v>177</v>
      </c>
      <c r="F164" t="s">
        <v>178</v>
      </c>
      <c r="G164" s="120">
        <v>43985.544444444444</v>
      </c>
      <c r="H164" t="s">
        <v>734</v>
      </c>
      <c r="I164" t="s">
        <v>1048</v>
      </c>
      <c r="J164" t="s">
        <v>1049</v>
      </c>
      <c r="K164" t="s">
        <v>737</v>
      </c>
    </row>
    <row r="165" spans="1:11">
      <c r="A165" t="s">
        <v>1050</v>
      </c>
      <c r="B165" t="s">
        <v>585</v>
      </c>
      <c r="C165" s="120">
        <v>43998.496527777781</v>
      </c>
      <c r="D165" t="s">
        <v>1051</v>
      </c>
      <c r="E165" t="s">
        <v>176</v>
      </c>
      <c r="F165" t="s">
        <v>182</v>
      </c>
      <c r="G165" s="120">
        <v>43971.625</v>
      </c>
      <c r="H165" t="s">
        <v>1052</v>
      </c>
      <c r="I165" t="s">
        <v>1053</v>
      </c>
      <c r="J165" t="s">
        <v>1054</v>
      </c>
      <c r="K165" t="s">
        <v>1055</v>
      </c>
    </row>
    <row r="166" spans="1:11">
      <c r="A166" t="s">
        <v>1056</v>
      </c>
      <c r="B166" t="s">
        <v>204</v>
      </c>
      <c r="C166" s="120">
        <v>43998.481944444444</v>
      </c>
      <c r="D166" t="s">
        <v>1057</v>
      </c>
      <c r="E166" t="s">
        <v>176</v>
      </c>
      <c r="F166" t="s">
        <v>182</v>
      </c>
      <c r="G166" s="120">
        <v>43921.65902777778</v>
      </c>
      <c r="H166" t="s">
        <v>1058</v>
      </c>
      <c r="I166" t="s">
        <v>1059</v>
      </c>
      <c r="J166" t="s">
        <v>1060</v>
      </c>
      <c r="K166" t="s">
        <v>1061</v>
      </c>
    </row>
    <row r="167" spans="1:11">
      <c r="A167" t="s">
        <v>1062</v>
      </c>
      <c r="B167" t="s">
        <v>585</v>
      </c>
      <c r="C167" s="120">
        <v>43998.434027777781</v>
      </c>
      <c r="D167" t="s">
        <v>1063</v>
      </c>
      <c r="E167" t="s">
        <v>206</v>
      </c>
      <c r="F167" t="s">
        <v>179</v>
      </c>
      <c r="G167" s="120">
        <v>43998.433333333334</v>
      </c>
      <c r="H167" t="s">
        <v>1064</v>
      </c>
      <c r="I167" t="s">
        <v>1065</v>
      </c>
      <c r="J167" t="s">
        <v>245</v>
      </c>
      <c r="K167" t="s">
        <v>1066</v>
      </c>
    </row>
    <row r="168" spans="1:11">
      <c r="A168" t="s">
        <v>1067</v>
      </c>
      <c r="B168" t="s">
        <v>431</v>
      </c>
      <c r="C168" s="120">
        <v>43997.64166666667</v>
      </c>
      <c r="D168" t="s">
        <v>1068</v>
      </c>
      <c r="E168" t="s">
        <v>176</v>
      </c>
      <c r="F168" t="s">
        <v>182</v>
      </c>
      <c r="G168" s="120">
        <v>43997.414583333331</v>
      </c>
      <c r="H168" t="s">
        <v>1069</v>
      </c>
      <c r="I168" t="s">
        <v>1070</v>
      </c>
      <c r="J168" t="s">
        <v>1071</v>
      </c>
      <c r="K168" t="s">
        <v>1072</v>
      </c>
    </row>
    <row r="169" spans="1:11">
      <c r="A169" t="s">
        <v>1073</v>
      </c>
      <c r="B169" t="s">
        <v>431</v>
      </c>
      <c r="C169" s="120">
        <v>43997.617361111108</v>
      </c>
      <c r="D169" t="s">
        <v>1074</v>
      </c>
      <c r="E169" t="s">
        <v>176</v>
      </c>
      <c r="F169" t="s">
        <v>182</v>
      </c>
      <c r="G169" s="120">
        <v>43987.435416666667</v>
      </c>
      <c r="H169" t="s">
        <v>1075</v>
      </c>
      <c r="I169" t="s">
        <v>1076</v>
      </c>
      <c r="J169" t="s">
        <v>1077</v>
      </c>
      <c r="K169" t="s">
        <v>1078</v>
      </c>
    </row>
    <row r="170" spans="1:11">
      <c r="A170" t="s">
        <v>1079</v>
      </c>
      <c r="B170" t="s">
        <v>1080</v>
      </c>
      <c r="C170" s="120">
        <v>43997.604861111111</v>
      </c>
      <c r="D170" t="s">
        <v>1081</v>
      </c>
      <c r="E170" t="s">
        <v>176</v>
      </c>
      <c r="F170" t="s">
        <v>181</v>
      </c>
      <c r="G170" s="120">
        <v>43977.463888888888</v>
      </c>
      <c r="H170" t="s">
        <v>1082</v>
      </c>
      <c r="I170" t="s">
        <v>1083</v>
      </c>
      <c r="J170" t="s">
        <v>1084</v>
      </c>
      <c r="K170" t="s">
        <v>1085</v>
      </c>
    </row>
    <row r="171" spans="1:11">
      <c r="A171" t="s">
        <v>1086</v>
      </c>
      <c r="B171" t="s">
        <v>1087</v>
      </c>
      <c r="C171" s="120">
        <v>43997.600694444445</v>
      </c>
      <c r="D171" t="s">
        <v>1088</v>
      </c>
      <c r="E171" t="s">
        <v>176</v>
      </c>
      <c r="F171" t="s">
        <v>182</v>
      </c>
      <c r="G171" s="120">
        <v>43969.686111111114</v>
      </c>
      <c r="H171" t="s">
        <v>1089</v>
      </c>
      <c r="I171" t="s">
        <v>1090</v>
      </c>
      <c r="J171" t="s">
        <v>1091</v>
      </c>
      <c r="K171" t="s">
        <v>1092</v>
      </c>
    </row>
    <row r="172" spans="1:11">
      <c r="A172" t="s">
        <v>1093</v>
      </c>
      <c r="B172" t="s">
        <v>1094</v>
      </c>
      <c r="C172" s="120">
        <v>43997.595138888886</v>
      </c>
      <c r="D172" t="s">
        <v>1095</v>
      </c>
      <c r="E172" t="s">
        <v>176</v>
      </c>
      <c r="F172" t="s">
        <v>182</v>
      </c>
      <c r="G172" s="120">
        <v>43978.475694444445</v>
      </c>
      <c r="H172" t="s">
        <v>1096</v>
      </c>
      <c r="I172" t="s">
        <v>1097</v>
      </c>
      <c r="J172" t="s">
        <v>1098</v>
      </c>
      <c r="K172" t="s">
        <v>1099</v>
      </c>
    </row>
    <row r="173" spans="1:11">
      <c r="A173" t="s">
        <v>1100</v>
      </c>
      <c r="B173" t="s">
        <v>1101</v>
      </c>
      <c r="C173" s="120">
        <v>43997.590277777781</v>
      </c>
      <c r="D173" t="s">
        <v>1102</v>
      </c>
      <c r="E173" t="s">
        <v>176</v>
      </c>
      <c r="F173" t="s">
        <v>182</v>
      </c>
      <c r="G173" s="120">
        <v>43970.702777777777</v>
      </c>
      <c r="H173" t="s">
        <v>1103</v>
      </c>
      <c r="I173" t="s">
        <v>1104</v>
      </c>
      <c r="J173" t="s">
        <v>1105</v>
      </c>
      <c r="K173" t="s">
        <v>1106</v>
      </c>
    </row>
    <row r="174" spans="1:11">
      <c r="A174" t="s">
        <v>1009</v>
      </c>
      <c r="B174" t="s">
        <v>431</v>
      </c>
      <c r="C174" s="120">
        <v>43997.418055555558</v>
      </c>
      <c r="D174" t="s">
        <v>1107</v>
      </c>
      <c r="E174" t="s">
        <v>329</v>
      </c>
      <c r="F174" t="s">
        <v>179</v>
      </c>
      <c r="G174" s="120">
        <v>43997.418055555558</v>
      </c>
      <c r="H174" t="s">
        <v>1011</v>
      </c>
      <c r="I174" t="s">
        <v>1108</v>
      </c>
      <c r="J174" t="s">
        <v>245</v>
      </c>
      <c r="K174" t="s">
        <v>1014</v>
      </c>
    </row>
    <row r="175" spans="1:11">
      <c r="A175" t="s">
        <v>1109</v>
      </c>
      <c r="B175" t="s">
        <v>265</v>
      </c>
      <c r="C175" s="120">
        <v>43993.628472222219</v>
      </c>
      <c r="D175" t="s">
        <v>1110</v>
      </c>
      <c r="E175" t="s">
        <v>176</v>
      </c>
      <c r="F175" t="s">
        <v>182</v>
      </c>
      <c r="G175" s="120">
        <v>43955.488194444442</v>
      </c>
      <c r="H175" t="s">
        <v>1111</v>
      </c>
      <c r="I175" t="s">
        <v>1112</v>
      </c>
      <c r="J175" t="s">
        <v>1113</v>
      </c>
      <c r="K175" t="s">
        <v>1114</v>
      </c>
    </row>
    <row r="176" spans="1:11">
      <c r="A176" t="s">
        <v>1109</v>
      </c>
      <c r="B176" t="s">
        <v>265</v>
      </c>
      <c r="C176" s="120">
        <v>43993.62777777778</v>
      </c>
      <c r="D176" t="s">
        <v>1115</v>
      </c>
      <c r="E176" t="s">
        <v>177</v>
      </c>
      <c r="F176" t="s">
        <v>182</v>
      </c>
      <c r="G176" s="120">
        <v>43955.487500000003</v>
      </c>
      <c r="H176" t="s">
        <v>1111</v>
      </c>
      <c r="I176" t="s">
        <v>1116</v>
      </c>
      <c r="J176" t="s">
        <v>1117</v>
      </c>
      <c r="K176" t="s">
        <v>1114</v>
      </c>
    </row>
    <row r="177" spans="1:11">
      <c r="A177" t="s">
        <v>1118</v>
      </c>
      <c r="B177" t="s">
        <v>197</v>
      </c>
      <c r="C177" s="120">
        <v>43993.622916666667</v>
      </c>
      <c r="D177" t="s">
        <v>1119</v>
      </c>
      <c r="E177" t="s">
        <v>176</v>
      </c>
      <c r="F177" t="s">
        <v>182</v>
      </c>
      <c r="G177" s="120">
        <v>43963.470138888886</v>
      </c>
      <c r="H177" t="s">
        <v>1120</v>
      </c>
      <c r="I177" t="s">
        <v>1121</v>
      </c>
      <c r="J177" t="s">
        <v>1122</v>
      </c>
      <c r="K177" t="s">
        <v>1121</v>
      </c>
    </row>
    <row r="178" spans="1:11">
      <c r="A178" t="s">
        <v>1123</v>
      </c>
      <c r="B178" t="s">
        <v>309</v>
      </c>
      <c r="C178" s="120">
        <v>43993.616666666669</v>
      </c>
      <c r="D178" t="s">
        <v>1124</v>
      </c>
      <c r="E178" t="s">
        <v>176</v>
      </c>
      <c r="F178" t="s">
        <v>182</v>
      </c>
      <c r="G178" s="120">
        <v>43969.693055555559</v>
      </c>
      <c r="H178" t="s">
        <v>1125</v>
      </c>
      <c r="I178" t="s">
        <v>1126</v>
      </c>
      <c r="J178" t="s">
        <v>1127</v>
      </c>
      <c r="K178" t="s">
        <v>1128</v>
      </c>
    </row>
    <row r="179" spans="1:11">
      <c r="A179" t="s">
        <v>1129</v>
      </c>
      <c r="B179" t="s">
        <v>372</v>
      </c>
      <c r="C179" s="120">
        <v>43993.611805555556</v>
      </c>
      <c r="D179" t="s">
        <v>1130</v>
      </c>
      <c r="E179" t="s">
        <v>176</v>
      </c>
      <c r="F179" t="s">
        <v>182</v>
      </c>
      <c r="G179" s="120">
        <v>43952.579861111109</v>
      </c>
      <c r="H179" t="s">
        <v>1131</v>
      </c>
      <c r="I179" t="s">
        <v>1132</v>
      </c>
      <c r="J179" t="s">
        <v>1133</v>
      </c>
      <c r="K179" t="s">
        <v>1134</v>
      </c>
    </row>
    <row r="180" spans="1:11">
      <c r="A180" t="s">
        <v>1135</v>
      </c>
      <c r="B180" t="s">
        <v>197</v>
      </c>
      <c r="C180" s="120">
        <v>43993.412499999999</v>
      </c>
      <c r="D180" t="s">
        <v>1136</v>
      </c>
      <c r="E180" t="s">
        <v>176</v>
      </c>
      <c r="F180" t="s">
        <v>182</v>
      </c>
      <c r="G180" s="120">
        <v>43963.481944444444</v>
      </c>
      <c r="H180" t="s">
        <v>1137</v>
      </c>
      <c r="I180" t="s">
        <v>1138</v>
      </c>
      <c r="J180" t="s">
        <v>1139</v>
      </c>
      <c r="K180" t="s">
        <v>1140</v>
      </c>
    </row>
    <row r="181" spans="1:11">
      <c r="A181" t="s">
        <v>1141</v>
      </c>
      <c r="B181" t="s">
        <v>204</v>
      </c>
      <c r="C181" s="120">
        <v>43992.647222222222</v>
      </c>
      <c r="D181" t="s">
        <v>1142</v>
      </c>
      <c r="E181" t="s">
        <v>206</v>
      </c>
      <c r="F181" t="s">
        <v>181</v>
      </c>
      <c r="G181" s="120">
        <v>43992.646527777775</v>
      </c>
      <c r="H181" t="s">
        <v>1143</v>
      </c>
      <c r="I181" t="s">
        <v>1142</v>
      </c>
      <c r="J181" t="s">
        <v>1144</v>
      </c>
      <c r="K181" t="s">
        <v>1145</v>
      </c>
    </row>
    <row r="182" spans="1:11">
      <c r="A182" t="s">
        <v>1146</v>
      </c>
      <c r="B182" t="s">
        <v>204</v>
      </c>
      <c r="C182" s="120">
        <v>43992.634722222225</v>
      </c>
      <c r="D182" t="s">
        <v>1147</v>
      </c>
      <c r="E182" t="s">
        <v>206</v>
      </c>
      <c r="F182" t="s">
        <v>181</v>
      </c>
      <c r="G182" s="120">
        <v>43992.633333333331</v>
      </c>
      <c r="H182" t="s">
        <v>1148</v>
      </c>
      <c r="I182" t="s">
        <v>1149</v>
      </c>
      <c r="J182" t="s">
        <v>1150</v>
      </c>
      <c r="K182" t="s">
        <v>1151</v>
      </c>
    </row>
    <row r="183" spans="1:11">
      <c r="A183" t="s">
        <v>1152</v>
      </c>
      <c r="B183" t="s">
        <v>448</v>
      </c>
      <c r="C183" s="120">
        <v>43992.613888888889</v>
      </c>
      <c r="D183" t="s">
        <v>1153</v>
      </c>
      <c r="E183" t="s">
        <v>176</v>
      </c>
      <c r="F183" t="s">
        <v>182</v>
      </c>
      <c r="G183" s="120">
        <v>43959.367361111108</v>
      </c>
      <c r="H183" t="s">
        <v>1154</v>
      </c>
      <c r="I183" t="s">
        <v>1155</v>
      </c>
      <c r="J183" t="s">
        <v>1156</v>
      </c>
      <c r="K183" t="s">
        <v>1157</v>
      </c>
    </row>
    <row r="184" spans="1:11">
      <c r="A184" t="s">
        <v>1158</v>
      </c>
      <c r="B184" t="s">
        <v>431</v>
      </c>
      <c r="C184" s="120">
        <v>43992.598611111112</v>
      </c>
      <c r="D184" t="s">
        <v>1159</v>
      </c>
      <c r="E184" t="s">
        <v>176</v>
      </c>
      <c r="F184" t="s">
        <v>182</v>
      </c>
      <c r="G184" s="120">
        <v>43906.450694444444</v>
      </c>
      <c r="H184" t="s">
        <v>1159</v>
      </c>
      <c r="I184" t="s">
        <v>1160</v>
      </c>
      <c r="J184" t="s">
        <v>1161</v>
      </c>
      <c r="K184" t="s">
        <v>1162</v>
      </c>
    </row>
    <row r="185" spans="1:11">
      <c r="A185" t="s">
        <v>1163</v>
      </c>
      <c r="B185" t="s">
        <v>197</v>
      </c>
      <c r="C185" s="120">
        <v>43992.520138888889</v>
      </c>
      <c r="D185" t="s">
        <v>1164</v>
      </c>
      <c r="E185" t="s">
        <v>177</v>
      </c>
      <c r="F185" t="s">
        <v>182</v>
      </c>
      <c r="G185" s="120">
        <v>43910.496527777781</v>
      </c>
      <c r="H185" t="s">
        <v>1165</v>
      </c>
      <c r="I185" t="s">
        <v>1166</v>
      </c>
      <c r="J185" t="s">
        <v>1167</v>
      </c>
      <c r="K185" t="s">
        <v>1168</v>
      </c>
    </row>
    <row r="186" spans="1:11">
      <c r="A186" t="s">
        <v>1169</v>
      </c>
      <c r="B186" t="s">
        <v>204</v>
      </c>
      <c r="C186" s="120">
        <v>43992.513194444444</v>
      </c>
      <c r="D186" t="s">
        <v>1170</v>
      </c>
      <c r="E186" t="s">
        <v>176</v>
      </c>
      <c r="F186" t="s">
        <v>182</v>
      </c>
      <c r="G186" s="120">
        <v>43979.677777777775</v>
      </c>
      <c r="H186" t="s">
        <v>1171</v>
      </c>
      <c r="I186" t="s">
        <v>1172</v>
      </c>
      <c r="J186" t="s">
        <v>1173</v>
      </c>
      <c r="K186" t="s">
        <v>1174</v>
      </c>
    </row>
    <row r="187" spans="1:11">
      <c r="A187" t="s">
        <v>1175</v>
      </c>
      <c r="B187" t="s">
        <v>204</v>
      </c>
      <c r="C187" s="120">
        <v>43992.511805555558</v>
      </c>
      <c r="D187" t="s">
        <v>1176</v>
      </c>
      <c r="E187" t="s">
        <v>176</v>
      </c>
      <c r="F187" t="s">
        <v>182</v>
      </c>
      <c r="G187" s="120">
        <v>43979.679861111108</v>
      </c>
      <c r="H187" t="s">
        <v>1177</v>
      </c>
      <c r="I187" t="s">
        <v>1178</v>
      </c>
      <c r="J187" t="s">
        <v>1179</v>
      </c>
      <c r="K187" t="s">
        <v>1180</v>
      </c>
    </row>
    <row r="188" spans="1:11">
      <c r="A188" t="s">
        <v>1181</v>
      </c>
      <c r="B188" t="s">
        <v>197</v>
      </c>
      <c r="C188" s="120">
        <v>43992.349305555559</v>
      </c>
      <c r="D188" t="s">
        <v>1182</v>
      </c>
      <c r="E188" t="s">
        <v>176</v>
      </c>
      <c r="F188" t="s">
        <v>182</v>
      </c>
      <c r="G188" s="120">
        <v>43992.294444444444</v>
      </c>
      <c r="H188" t="s">
        <v>1183</v>
      </c>
      <c r="I188" t="s">
        <v>1184</v>
      </c>
      <c r="J188" t="s">
        <v>1185</v>
      </c>
      <c r="K188" t="s">
        <v>1186</v>
      </c>
    </row>
    <row r="189" spans="1:11">
      <c r="A189" t="s">
        <v>1187</v>
      </c>
      <c r="B189" t="s">
        <v>197</v>
      </c>
      <c r="C189" s="120">
        <v>43992.345833333333</v>
      </c>
      <c r="D189" t="s">
        <v>1188</v>
      </c>
      <c r="E189" t="s">
        <v>176</v>
      </c>
      <c r="F189" t="s">
        <v>182</v>
      </c>
      <c r="G189" s="120">
        <v>43992.279166666667</v>
      </c>
      <c r="H189" t="s">
        <v>1189</v>
      </c>
      <c r="I189" t="s">
        <v>1190</v>
      </c>
      <c r="J189" t="s">
        <v>1191</v>
      </c>
      <c r="K189" t="s">
        <v>1192</v>
      </c>
    </row>
    <row r="190" spans="1:11">
      <c r="A190" t="s">
        <v>1193</v>
      </c>
      <c r="B190" t="s">
        <v>585</v>
      </c>
      <c r="C190" s="120">
        <v>43991.590277777781</v>
      </c>
      <c r="D190" t="s">
        <v>1194</v>
      </c>
      <c r="E190" t="s">
        <v>176</v>
      </c>
      <c r="F190" t="s">
        <v>182</v>
      </c>
      <c r="G190" s="120">
        <v>43902.334027777775</v>
      </c>
      <c r="H190" t="s">
        <v>1195</v>
      </c>
      <c r="I190" t="s">
        <v>1196</v>
      </c>
      <c r="J190" t="s">
        <v>1197</v>
      </c>
      <c r="K190" t="s">
        <v>1198</v>
      </c>
    </row>
    <row r="191" spans="1:11">
      <c r="A191" t="s">
        <v>1199</v>
      </c>
      <c r="B191" t="s">
        <v>772</v>
      </c>
      <c r="C191" s="120">
        <v>43991.578472222223</v>
      </c>
      <c r="D191" t="s">
        <v>1200</v>
      </c>
      <c r="E191" t="s">
        <v>176</v>
      </c>
      <c r="F191" t="s">
        <v>182</v>
      </c>
      <c r="G191" s="120">
        <v>43943.476388888892</v>
      </c>
      <c r="H191" t="s">
        <v>1200</v>
      </c>
      <c r="I191" t="s">
        <v>1201</v>
      </c>
      <c r="J191" t="s">
        <v>1202</v>
      </c>
      <c r="K191" t="s">
        <v>1203</v>
      </c>
    </row>
    <row r="192" spans="1:11">
      <c r="A192" t="s">
        <v>1204</v>
      </c>
      <c r="B192" t="s">
        <v>1205</v>
      </c>
      <c r="C192" s="120">
        <v>43991.575694444444</v>
      </c>
      <c r="D192" t="s">
        <v>1206</v>
      </c>
      <c r="E192" t="s">
        <v>176</v>
      </c>
      <c r="F192" t="s">
        <v>182</v>
      </c>
      <c r="G192" s="120">
        <v>43930.857638888891</v>
      </c>
      <c r="H192" t="s">
        <v>1207</v>
      </c>
      <c r="I192" t="s">
        <v>1208</v>
      </c>
      <c r="J192" t="s">
        <v>1209</v>
      </c>
      <c r="K192" t="s">
        <v>1210</v>
      </c>
    </row>
    <row r="193" spans="1:11">
      <c r="A193" t="s">
        <v>1211</v>
      </c>
      <c r="B193" t="s">
        <v>204</v>
      </c>
      <c r="C193" s="120">
        <v>43991.573611111111</v>
      </c>
      <c r="D193" t="s">
        <v>1212</v>
      </c>
      <c r="E193" t="s">
        <v>176</v>
      </c>
      <c r="F193" t="s">
        <v>182</v>
      </c>
      <c r="G193" s="120">
        <v>43948.51666666667</v>
      </c>
      <c r="H193" t="s">
        <v>1213</v>
      </c>
      <c r="I193" t="s">
        <v>1214</v>
      </c>
      <c r="J193" t="s">
        <v>1215</v>
      </c>
      <c r="K193" t="s">
        <v>1216</v>
      </c>
    </row>
    <row r="194" spans="1:11">
      <c r="A194" t="s">
        <v>1217</v>
      </c>
      <c r="B194" t="s">
        <v>1218</v>
      </c>
      <c r="C194" s="120">
        <v>43991.571527777778</v>
      </c>
      <c r="D194" t="s">
        <v>1219</v>
      </c>
      <c r="E194" t="s">
        <v>176</v>
      </c>
      <c r="F194" t="s">
        <v>183</v>
      </c>
      <c r="G194" s="120">
        <v>43951.634027777778</v>
      </c>
      <c r="H194" t="s">
        <v>1220</v>
      </c>
      <c r="I194" t="s">
        <v>1221</v>
      </c>
      <c r="J194" t="s">
        <v>1222</v>
      </c>
      <c r="K194" t="s">
        <v>1223</v>
      </c>
    </row>
    <row r="195" spans="1:11">
      <c r="A195" t="s">
        <v>1224</v>
      </c>
      <c r="B195" t="s">
        <v>309</v>
      </c>
      <c r="C195" s="120">
        <v>43991.54791666667</v>
      </c>
      <c r="D195" t="s">
        <v>1225</v>
      </c>
      <c r="E195" t="s">
        <v>176</v>
      </c>
      <c r="F195" t="s">
        <v>182</v>
      </c>
      <c r="G195" s="120">
        <v>43955.34375</v>
      </c>
      <c r="H195" t="s">
        <v>688</v>
      </c>
      <c r="I195" t="s">
        <v>1226</v>
      </c>
      <c r="J195" t="s">
        <v>1227</v>
      </c>
      <c r="K195" t="s">
        <v>1228</v>
      </c>
    </row>
    <row r="196" spans="1:11">
      <c r="A196" t="s">
        <v>1229</v>
      </c>
      <c r="B196" t="s">
        <v>1230</v>
      </c>
      <c r="C196" s="120">
        <v>43991.54583333333</v>
      </c>
      <c r="D196" t="s">
        <v>1231</v>
      </c>
      <c r="E196" t="s">
        <v>176</v>
      </c>
      <c r="F196" t="s">
        <v>182</v>
      </c>
      <c r="G196" s="120">
        <v>43957.634027777778</v>
      </c>
      <c r="H196" t="s">
        <v>1231</v>
      </c>
      <c r="I196" t="s">
        <v>1232</v>
      </c>
      <c r="J196" t="s">
        <v>1233</v>
      </c>
      <c r="K196" t="s">
        <v>1234</v>
      </c>
    </row>
    <row r="197" spans="1:11">
      <c r="A197" t="s">
        <v>1235</v>
      </c>
      <c r="B197" t="s">
        <v>197</v>
      </c>
      <c r="C197" s="120">
        <v>43991.542361111111</v>
      </c>
      <c r="D197" t="s">
        <v>1236</v>
      </c>
      <c r="E197" t="s">
        <v>176</v>
      </c>
      <c r="F197" t="s">
        <v>182</v>
      </c>
      <c r="G197" s="120">
        <v>43963.467361111114</v>
      </c>
      <c r="H197" t="s">
        <v>1237</v>
      </c>
      <c r="I197" t="s">
        <v>1238</v>
      </c>
      <c r="J197" t="s">
        <v>1239</v>
      </c>
      <c r="K197" t="s">
        <v>1240</v>
      </c>
    </row>
    <row r="198" spans="1:11">
      <c r="A198" t="s">
        <v>1241</v>
      </c>
      <c r="B198" t="s">
        <v>783</v>
      </c>
      <c r="C198" s="120">
        <v>43991.538194444445</v>
      </c>
      <c r="D198" t="s">
        <v>1242</v>
      </c>
      <c r="E198" t="s">
        <v>176</v>
      </c>
      <c r="F198" t="s">
        <v>182</v>
      </c>
      <c r="G198" s="120">
        <v>43952.299305555556</v>
      </c>
      <c r="H198" t="s">
        <v>1243</v>
      </c>
      <c r="I198" t="s">
        <v>1244</v>
      </c>
      <c r="J198" t="s">
        <v>1245</v>
      </c>
      <c r="K198" t="s">
        <v>1246</v>
      </c>
    </row>
    <row r="199" spans="1:11">
      <c r="A199" t="s">
        <v>1247</v>
      </c>
      <c r="B199" t="s">
        <v>1248</v>
      </c>
      <c r="C199" s="120">
        <v>43991.535416666666</v>
      </c>
      <c r="D199" t="s">
        <v>1249</v>
      </c>
      <c r="E199" t="s">
        <v>176</v>
      </c>
      <c r="F199" t="s">
        <v>182</v>
      </c>
      <c r="G199" s="120">
        <v>43964.525000000001</v>
      </c>
      <c r="H199" t="s">
        <v>1250</v>
      </c>
      <c r="I199" t="s">
        <v>1251</v>
      </c>
      <c r="J199" t="s">
        <v>1252</v>
      </c>
      <c r="K199" t="s">
        <v>1253</v>
      </c>
    </row>
    <row r="200" spans="1:11">
      <c r="A200" t="s">
        <v>1254</v>
      </c>
      <c r="B200" t="s">
        <v>1255</v>
      </c>
      <c r="C200" s="120">
        <v>43991.533333333333</v>
      </c>
      <c r="D200" t="s">
        <v>1256</v>
      </c>
      <c r="E200" t="s">
        <v>176</v>
      </c>
      <c r="F200" t="s">
        <v>182</v>
      </c>
      <c r="G200" s="120">
        <v>43964.52847222222</v>
      </c>
      <c r="H200" t="s">
        <v>1257</v>
      </c>
      <c r="I200" t="s">
        <v>1258</v>
      </c>
      <c r="J200" t="s">
        <v>1259</v>
      </c>
      <c r="K200" t="s">
        <v>1260</v>
      </c>
    </row>
    <row r="201" spans="1:11">
      <c r="A201" t="s">
        <v>1261</v>
      </c>
      <c r="B201" t="s">
        <v>1262</v>
      </c>
      <c r="C201" s="120">
        <v>43991.529861111114</v>
      </c>
      <c r="D201" t="s">
        <v>1263</v>
      </c>
      <c r="E201" t="s">
        <v>176</v>
      </c>
      <c r="F201" t="s">
        <v>182</v>
      </c>
      <c r="G201" s="120">
        <v>43969.470833333333</v>
      </c>
      <c r="H201" t="s">
        <v>1264</v>
      </c>
      <c r="I201" t="s">
        <v>1265</v>
      </c>
      <c r="J201" t="s">
        <v>1266</v>
      </c>
      <c r="K201" t="s">
        <v>1267</v>
      </c>
    </row>
    <row r="202" spans="1:11">
      <c r="A202" t="s">
        <v>1268</v>
      </c>
      <c r="B202" t="s">
        <v>355</v>
      </c>
      <c r="C202" s="120">
        <v>43991.527777777781</v>
      </c>
      <c r="D202" t="s">
        <v>1269</v>
      </c>
      <c r="E202" t="s">
        <v>176</v>
      </c>
      <c r="F202" t="s">
        <v>182</v>
      </c>
      <c r="G202" s="120">
        <v>43990.367361111108</v>
      </c>
      <c r="H202" t="s">
        <v>1270</v>
      </c>
      <c r="I202" t="s">
        <v>1271</v>
      </c>
      <c r="J202" t="s">
        <v>1272</v>
      </c>
      <c r="K202" t="s">
        <v>1273</v>
      </c>
    </row>
    <row r="203" spans="1:11">
      <c r="A203" t="s">
        <v>1274</v>
      </c>
      <c r="B203" t="s">
        <v>431</v>
      </c>
      <c r="C203" s="120">
        <v>43991.504166666666</v>
      </c>
      <c r="D203" t="s">
        <v>1275</v>
      </c>
      <c r="E203" t="s">
        <v>176</v>
      </c>
      <c r="F203" t="s">
        <v>182</v>
      </c>
      <c r="G203" s="120">
        <v>43984.700694444444</v>
      </c>
      <c r="H203" t="s">
        <v>1276</v>
      </c>
      <c r="I203" t="s">
        <v>1277</v>
      </c>
      <c r="J203" t="s">
        <v>1278</v>
      </c>
      <c r="K203" t="s">
        <v>1279</v>
      </c>
    </row>
    <row r="204" spans="1:11">
      <c r="A204" t="s">
        <v>1280</v>
      </c>
      <c r="B204" t="s">
        <v>946</v>
      </c>
      <c r="C204" s="120">
        <v>43991.48333333333</v>
      </c>
      <c r="D204" t="s">
        <v>1281</v>
      </c>
      <c r="E204" t="s">
        <v>176</v>
      </c>
      <c r="F204" t="s">
        <v>182</v>
      </c>
      <c r="G204" s="120">
        <v>43978.627083333333</v>
      </c>
      <c r="H204" t="s">
        <v>1282</v>
      </c>
      <c r="I204" t="s">
        <v>1283</v>
      </c>
      <c r="J204" t="s">
        <v>1284</v>
      </c>
      <c r="K204" t="s">
        <v>1285</v>
      </c>
    </row>
    <row r="205" spans="1:11">
      <c r="A205" t="s">
        <v>1286</v>
      </c>
      <c r="B205" t="s">
        <v>1287</v>
      </c>
      <c r="C205" s="120">
        <v>43991.472222222219</v>
      </c>
      <c r="D205" t="s">
        <v>1288</v>
      </c>
      <c r="E205" t="s">
        <v>176</v>
      </c>
      <c r="F205" t="s">
        <v>182</v>
      </c>
      <c r="G205" s="120">
        <v>43971.434027777781</v>
      </c>
      <c r="H205" t="s">
        <v>1289</v>
      </c>
      <c r="I205" t="s">
        <v>1290</v>
      </c>
      <c r="J205" t="s">
        <v>1291</v>
      </c>
      <c r="K205" t="s">
        <v>1292</v>
      </c>
    </row>
    <row r="206" spans="1:11">
      <c r="A206" t="s">
        <v>1293</v>
      </c>
      <c r="B206" t="s">
        <v>431</v>
      </c>
      <c r="C206" s="120">
        <v>43991.460416666669</v>
      </c>
      <c r="D206" t="s">
        <v>1294</v>
      </c>
      <c r="E206" t="s">
        <v>176</v>
      </c>
      <c r="F206" t="s">
        <v>182</v>
      </c>
      <c r="G206" s="120">
        <v>43991.29791666667</v>
      </c>
      <c r="H206" t="s">
        <v>1295</v>
      </c>
      <c r="I206" t="s">
        <v>1296</v>
      </c>
      <c r="J206" t="s">
        <v>1297</v>
      </c>
      <c r="K206" t="s">
        <v>1298</v>
      </c>
    </row>
    <row r="207" spans="1:11">
      <c r="A207" t="s">
        <v>1299</v>
      </c>
      <c r="B207" t="s">
        <v>265</v>
      </c>
      <c r="C207" s="120">
        <v>43991.411111111112</v>
      </c>
      <c r="D207" t="s">
        <v>1300</v>
      </c>
      <c r="E207" t="s">
        <v>176</v>
      </c>
      <c r="F207" t="s">
        <v>181</v>
      </c>
      <c r="G207" s="120">
        <v>43991.301388888889</v>
      </c>
      <c r="H207" t="s">
        <v>1301</v>
      </c>
      <c r="I207" t="s">
        <v>1302</v>
      </c>
      <c r="J207" t="s">
        <v>1303</v>
      </c>
      <c r="K207" t="s">
        <v>1304</v>
      </c>
    </row>
    <row r="208" spans="1:11">
      <c r="A208" t="s">
        <v>1305</v>
      </c>
      <c r="B208" t="s">
        <v>1306</v>
      </c>
      <c r="C208" s="120">
        <v>43991.36041666667</v>
      </c>
      <c r="D208" t="s">
        <v>1307</v>
      </c>
      <c r="E208" t="s">
        <v>176</v>
      </c>
      <c r="F208" t="s">
        <v>182</v>
      </c>
      <c r="G208" s="120">
        <v>43991.356249999997</v>
      </c>
      <c r="H208" t="s">
        <v>1308</v>
      </c>
      <c r="I208" t="s">
        <v>1309</v>
      </c>
      <c r="J208" t="s">
        <v>1310</v>
      </c>
      <c r="K208" t="s">
        <v>1311</v>
      </c>
    </row>
    <row r="209" spans="1:11">
      <c r="A209" t="s">
        <v>1312</v>
      </c>
      <c r="B209" t="s">
        <v>355</v>
      </c>
      <c r="C209" s="120">
        <v>43990.669444444444</v>
      </c>
      <c r="D209" t="s">
        <v>1313</v>
      </c>
      <c r="E209" t="s">
        <v>176</v>
      </c>
      <c r="F209" t="s">
        <v>182</v>
      </c>
      <c r="G209" s="120">
        <v>43990.656944444447</v>
      </c>
      <c r="H209" t="s">
        <v>1314</v>
      </c>
      <c r="I209" t="s">
        <v>1315</v>
      </c>
      <c r="J209" t="s">
        <v>1316</v>
      </c>
      <c r="K209" t="s">
        <v>1317</v>
      </c>
    </row>
    <row r="210" spans="1:11">
      <c r="A210" t="s">
        <v>1318</v>
      </c>
      <c r="B210" t="s">
        <v>234</v>
      </c>
      <c r="C210" s="120">
        <v>43990.664583333331</v>
      </c>
      <c r="D210" t="s">
        <v>1319</v>
      </c>
      <c r="E210" t="s">
        <v>176</v>
      </c>
      <c r="F210" t="s">
        <v>182</v>
      </c>
      <c r="G210" s="120">
        <v>43944.573611111111</v>
      </c>
      <c r="H210" t="s">
        <v>1320</v>
      </c>
      <c r="I210" t="s">
        <v>1321</v>
      </c>
      <c r="J210" t="s">
        <v>1322</v>
      </c>
      <c r="K210" t="s">
        <v>1323</v>
      </c>
    </row>
    <row r="211" spans="1:11">
      <c r="A211" t="s">
        <v>1324</v>
      </c>
      <c r="B211" t="s">
        <v>1325</v>
      </c>
      <c r="C211" s="120">
        <v>43990.628472222219</v>
      </c>
      <c r="D211" t="s">
        <v>1326</v>
      </c>
      <c r="E211" t="s">
        <v>176</v>
      </c>
      <c r="F211" t="s">
        <v>182</v>
      </c>
      <c r="G211" s="120">
        <v>43984.666666666664</v>
      </c>
      <c r="H211" t="s">
        <v>1327</v>
      </c>
      <c r="I211" t="s">
        <v>1328</v>
      </c>
      <c r="J211" t="s">
        <v>1329</v>
      </c>
      <c r="K211" t="s">
        <v>1330</v>
      </c>
    </row>
    <row r="212" spans="1:11">
      <c r="A212" t="s">
        <v>1318</v>
      </c>
      <c r="B212" t="s">
        <v>234</v>
      </c>
      <c r="C212" s="120">
        <v>43990.513194444444</v>
      </c>
      <c r="D212" t="s">
        <v>1331</v>
      </c>
      <c r="E212" t="s">
        <v>177</v>
      </c>
      <c r="F212" t="s">
        <v>182</v>
      </c>
      <c r="G212" s="120">
        <v>43944.587500000001</v>
      </c>
      <c r="H212" t="s">
        <v>1320</v>
      </c>
      <c r="I212" t="s">
        <v>1332</v>
      </c>
      <c r="J212" t="s">
        <v>1333</v>
      </c>
      <c r="K212" t="s">
        <v>1323</v>
      </c>
    </row>
    <row r="213" spans="1:11">
      <c r="A213" t="s">
        <v>1334</v>
      </c>
      <c r="B213" t="s">
        <v>431</v>
      </c>
      <c r="C213" s="120">
        <v>43990.459722222222</v>
      </c>
      <c r="D213" t="s">
        <v>1335</v>
      </c>
      <c r="E213" t="s">
        <v>176</v>
      </c>
      <c r="F213" t="s">
        <v>182</v>
      </c>
      <c r="G213" s="120">
        <v>43913.600694444445</v>
      </c>
      <c r="H213" t="s">
        <v>1336</v>
      </c>
      <c r="I213" t="s">
        <v>1337</v>
      </c>
      <c r="J213" t="s">
        <v>1338</v>
      </c>
      <c r="K213" t="s">
        <v>1339</v>
      </c>
    </row>
    <row r="214" spans="1:11">
      <c r="A214" t="s">
        <v>1340</v>
      </c>
      <c r="B214" t="s">
        <v>197</v>
      </c>
      <c r="C214" s="120">
        <v>43990.401388888888</v>
      </c>
      <c r="D214" t="s">
        <v>1341</v>
      </c>
      <c r="E214" t="s">
        <v>176</v>
      </c>
      <c r="F214" t="s">
        <v>182</v>
      </c>
      <c r="G214" s="120">
        <v>43978.37777777778</v>
      </c>
      <c r="H214" t="s">
        <v>1342</v>
      </c>
      <c r="I214" t="s">
        <v>1343</v>
      </c>
      <c r="J214" t="s">
        <v>1344</v>
      </c>
      <c r="K214" t="s">
        <v>1345</v>
      </c>
    </row>
    <row r="215" spans="1:11">
      <c r="A215" t="s">
        <v>1346</v>
      </c>
      <c r="B215" t="s">
        <v>508</v>
      </c>
      <c r="C215" s="120">
        <v>43990.354166666664</v>
      </c>
      <c r="D215" t="s">
        <v>1347</v>
      </c>
      <c r="E215" t="s">
        <v>176</v>
      </c>
      <c r="F215" t="s">
        <v>182</v>
      </c>
      <c r="G215" s="120">
        <v>43957.317361111112</v>
      </c>
      <c r="H215" t="s">
        <v>1348</v>
      </c>
      <c r="I215" t="s">
        <v>1349</v>
      </c>
      <c r="J215" t="s">
        <v>1350</v>
      </c>
      <c r="K215" t="s">
        <v>1351</v>
      </c>
    </row>
    <row r="216" spans="1:11">
      <c r="A216" t="s">
        <v>1352</v>
      </c>
      <c r="B216" t="s">
        <v>508</v>
      </c>
      <c r="C216" s="120">
        <v>43990.34375</v>
      </c>
      <c r="D216" t="s">
        <v>1353</v>
      </c>
      <c r="E216" t="s">
        <v>176</v>
      </c>
      <c r="F216" t="s">
        <v>182</v>
      </c>
      <c r="G216" s="120">
        <v>43938.5625</v>
      </c>
      <c r="H216" t="s">
        <v>1354</v>
      </c>
      <c r="I216" t="s">
        <v>1355</v>
      </c>
      <c r="J216" t="s">
        <v>1356</v>
      </c>
      <c r="K216" t="s">
        <v>1357</v>
      </c>
    </row>
    <row r="217" spans="1:11">
      <c r="A217" t="s">
        <v>1358</v>
      </c>
      <c r="B217" t="s">
        <v>197</v>
      </c>
      <c r="C217" s="120">
        <v>43987.476388888892</v>
      </c>
      <c r="D217" t="s">
        <v>1359</v>
      </c>
      <c r="E217" t="s">
        <v>176</v>
      </c>
      <c r="F217" t="s">
        <v>182</v>
      </c>
      <c r="G217" s="120">
        <v>43986.745833333334</v>
      </c>
      <c r="H217" t="s">
        <v>1360</v>
      </c>
      <c r="I217" t="s">
        <v>1361</v>
      </c>
      <c r="J217" t="s">
        <v>1362</v>
      </c>
      <c r="K217" t="s">
        <v>1363</v>
      </c>
    </row>
    <row r="218" spans="1:11">
      <c r="A218" t="s">
        <v>1364</v>
      </c>
      <c r="B218" t="s">
        <v>265</v>
      </c>
      <c r="C218" s="120">
        <v>43987.456250000003</v>
      </c>
      <c r="D218" t="s">
        <v>1365</v>
      </c>
      <c r="E218" t="s">
        <v>176</v>
      </c>
      <c r="F218" t="s">
        <v>182</v>
      </c>
      <c r="G218" s="120">
        <v>43986.727083333331</v>
      </c>
      <c r="H218" t="s">
        <v>1366</v>
      </c>
      <c r="I218" t="s">
        <v>1367</v>
      </c>
      <c r="J218" t="s">
        <v>1368</v>
      </c>
      <c r="K218" t="s">
        <v>1369</v>
      </c>
    </row>
    <row r="219" spans="1:11">
      <c r="A219" t="s">
        <v>1370</v>
      </c>
      <c r="B219" t="s">
        <v>204</v>
      </c>
      <c r="C219" s="120">
        <v>43985.695138888892</v>
      </c>
      <c r="D219" t="s">
        <v>1371</v>
      </c>
      <c r="E219" t="s">
        <v>206</v>
      </c>
      <c r="F219" t="s">
        <v>179</v>
      </c>
      <c r="G219" s="120">
        <v>43985.692361111112</v>
      </c>
      <c r="H219" t="s">
        <v>1372</v>
      </c>
      <c r="I219" t="s">
        <v>1373</v>
      </c>
      <c r="J219" t="s">
        <v>1374</v>
      </c>
      <c r="K219" t="s">
        <v>1375</v>
      </c>
    </row>
    <row r="220" spans="1:11">
      <c r="A220" t="s">
        <v>1376</v>
      </c>
      <c r="B220" t="s">
        <v>197</v>
      </c>
      <c r="C220" s="120">
        <v>43985.366666666669</v>
      </c>
      <c r="D220" t="s">
        <v>1377</v>
      </c>
      <c r="E220" t="s">
        <v>176</v>
      </c>
      <c r="F220" t="s">
        <v>182</v>
      </c>
      <c r="G220" s="120">
        <v>43963.479861111111</v>
      </c>
      <c r="H220" t="s">
        <v>1378</v>
      </c>
      <c r="I220" t="s">
        <v>1379</v>
      </c>
      <c r="J220" t="s">
        <v>1380</v>
      </c>
      <c r="K220" t="s">
        <v>1381</v>
      </c>
    </row>
    <row r="221" spans="1:11">
      <c r="A221" t="s">
        <v>1382</v>
      </c>
      <c r="B221" t="s">
        <v>197</v>
      </c>
      <c r="C221" s="120">
        <v>43984.458333333336</v>
      </c>
      <c r="D221" t="s">
        <v>1383</v>
      </c>
      <c r="E221" t="s">
        <v>177</v>
      </c>
      <c r="F221" t="s">
        <v>182</v>
      </c>
      <c r="G221" s="120">
        <v>43957.593055555553</v>
      </c>
      <c r="H221" t="s">
        <v>1384</v>
      </c>
      <c r="I221" t="s">
        <v>1385</v>
      </c>
      <c r="J221" t="s">
        <v>1386</v>
      </c>
      <c r="K221" t="s">
        <v>1387</v>
      </c>
    </row>
    <row r="222" spans="1:11">
      <c r="A222" t="s">
        <v>1388</v>
      </c>
      <c r="B222" t="s">
        <v>372</v>
      </c>
      <c r="C222" s="120">
        <v>43984.439583333333</v>
      </c>
      <c r="D222" t="s">
        <v>1389</v>
      </c>
      <c r="E222" t="s">
        <v>176</v>
      </c>
      <c r="F222" t="s">
        <v>181</v>
      </c>
      <c r="G222" s="120">
        <v>43971.638888888891</v>
      </c>
      <c r="H222" t="s">
        <v>1390</v>
      </c>
      <c r="I222" t="s">
        <v>1391</v>
      </c>
      <c r="J222" t="s">
        <v>1392</v>
      </c>
      <c r="K222" t="s">
        <v>1393</v>
      </c>
    </row>
    <row r="223" spans="1:11">
      <c r="A223" t="s">
        <v>1388</v>
      </c>
      <c r="B223" t="s">
        <v>372</v>
      </c>
      <c r="C223" s="120">
        <v>43984.438194444447</v>
      </c>
      <c r="D223" t="s">
        <v>1394</v>
      </c>
      <c r="E223" t="s">
        <v>177</v>
      </c>
      <c r="F223" t="s">
        <v>182</v>
      </c>
      <c r="G223" s="120">
        <v>43952.594444444447</v>
      </c>
      <c r="H223" t="s">
        <v>1390</v>
      </c>
      <c r="I223" t="s">
        <v>1395</v>
      </c>
      <c r="J223" t="s">
        <v>1396</v>
      </c>
      <c r="K223" t="s">
        <v>1393</v>
      </c>
    </row>
    <row r="224" spans="1:11">
      <c r="A224" t="s">
        <v>1169</v>
      </c>
      <c r="B224" t="s">
        <v>204</v>
      </c>
      <c r="C224" s="120">
        <v>43980.52847222222</v>
      </c>
      <c r="D224" t="s">
        <v>1397</v>
      </c>
      <c r="E224" t="s">
        <v>176</v>
      </c>
      <c r="F224" t="s">
        <v>182</v>
      </c>
      <c r="G224" s="120">
        <v>43980.527777777781</v>
      </c>
      <c r="H224" t="s">
        <v>1171</v>
      </c>
      <c r="I224" t="s">
        <v>1398</v>
      </c>
      <c r="J224" t="s">
        <v>245</v>
      </c>
      <c r="K224" t="s">
        <v>1174</v>
      </c>
    </row>
    <row r="225" spans="1:11">
      <c r="A225" t="s">
        <v>1175</v>
      </c>
      <c r="B225" t="s">
        <v>204</v>
      </c>
      <c r="C225" s="120">
        <v>43980.527777777781</v>
      </c>
      <c r="D225" t="s">
        <v>1397</v>
      </c>
      <c r="E225" t="s">
        <v>176</v>
      </c>
      <c r="F225" t="s">
        <v>182</v>
      </c>
      <c r="G225" s="120">
        <v>43980.526388888888</v>
      </c>
      <c r="H225" t="s">
        <v>1177</v>
      </c>
      <c r="I225" t="s">
        <v>1399</v>
      </c>
      <c r="J225" t="s">
        <v>245</v>
      </c>
      <c r="K225" t="s">
        <v>1180</v>
      </c>
    </row>
    <row r="226" spans="1:11">
      <c r="A226" t="s">
        <v>1400</v>
      </c>
      <c r="B226" t="s">
        <v>204</v>
      </c>
      <c r="C226" s="120">
        <v>43979.595833333333</v>
      </c>
      <c r="D226" t="s">
        <v>1401</v>
      </c>
      <c r="E226" t="s">
        <v>206</v>
      </c>
      <c r="F226" t="s">
        <v>1402</v>
      </c>
      <c r="G226" s="120">
        <v>43973.479861111111</v>
      </c>
      <c r="H226" t="s">
        <v>1403</v>
      </c>
      <c r="I226" t="s">
        <v>1404</v>
      </c>
      <c r="J226" t="s">
        <v>245</v>
      </c>
      <c r="K226" t="s">
        <v>1405</v>
      </c>
    </row>
    <row r="227" spans="1:11">
      <c r="A227" t="s">
        <v>1406</v>
      </c>
      <c r="B227" t="s">
        <v>265</v>
      </c>
      <c r="C227" s="120">
        <v>43979.442361111112</v>
      </c>
      <c r="D227" t="s">
        <v>1407</v>
      </c>
      <c r="E227" t="s">
        <v>176</v>
      </c>
      <c r="F227" t="s">
        <v>183</v>
      </c>
      <c r="G227" s="120">
        <v>43938.565972222219</v>
      </c>
      <c r="H227" t="s">
        <v>1408</v>
      </c>
      <c r="I227" t="s">
        <v>1409</v>
      </c>
      <c r="J227" t="s">
        <v>1410</v>
      </c>
      <c r="K227" t="s">
        <v>1411</v>
      </c>
    </row>
    <row r="228" spans="1:11">
      <c r="A228" t="s">
        <v>1412</v>
      </c>
      <c r="B228" t="s">
        <v>265</v>
      </c>
      <c r="C228" s="120">
        <v>43979.383333333331</v>
      </c>
      <c r="D228" t="s">
        <v>1413</v>
      </c>
      <c r="E228" t="s">
        <v>176</v>
      </c>
      <c r="F228" t="s">
        <v>183</v>
      </c>
      <c r="G228" s="120">
        <v>43955.482638888891</v>
      </c>
      <c r="H228" t="s">
        <v>1414</v>
      </c>
      <c r="I228" t="s">
        <v>1415</v>
      </c>
      <c r="J228" t="s">
        <v>1416</v>
      </c>
      <c r="K228" t="s">
        <v>1417</v>
      </c>
    </row>
    <row r="229" spans="1:11">
      <c r="A229" t="s">
        <v>1412</v>
      </c>
      <c r="B229" t="s">
        <v>265</v>
      </c>
      <c r="C229" s="120">
        <v>43979.383333333331</v>
      </c>
      <c r="D229" t="s">
        <v>1418</v>
      </c>
      <c r="E229" t="s">
        <v>177</v>
      </c>
      <c r="F229" t="s">
        <v>183</v>
      </c>
      <c r="G229" s="120">
        <v>43955.48333333333</v>
      </c>
      <c r="H229" t="s">
        <v>1414</v>
      </c>
      <c r="I229" t="s">
        <v>1413</v>
      </c>
      <c r="J229" t="s">
        <v>1419</v>
      </c>
      <c r="K229" t="s">
        <v>1417</v>
      </c>
    </row>
    <row r="230" spans="1:11">
      <c r="A230" t="s">
        <v>1420</v>
      </c>
      <c r="B230" t="s">
        <v>265</v>
      </c>
      <c r="C230" s="120">
        <v>43979.380555555559</v>
      </c>
      <c r="D230" t="s">
        <v>1421</v>
      </c>
      <c r="E230" t="s">
        <v>176</v>
      </c>
      <c r="F230" t="s">
        <v>183</v>
      </c>
      <c r="G230" s="120">
        <v>43959.677083333336</v>
      </c>
      <c r="H230" t="s">
        <v>1422</v>
      </c>
      <c r="I230" t="s">
        <v>1423</v>
      </c>
      <c r="J230" t="s">
        <v>1424</v>
      </c>
      <c r="K230" t="s">
        <v>1425</v>
      </c>
    </row>
    <row r="231" spans="1:11">
      <c r="A231" t="s">
        <v>1426</v>
      </c>
      <c r="B231" t="s">
        <v>508</v>
      </c>
      <c r="C231" s="120">
        <v>43978.683333333334</v>
      </c>
      <c r="D231" t="s">
        <v>1427</v>
      </c>
      <c r="E231" t="s">
        <v>176</v>
      </c>
      <c r="F231" t="s">
        <v>182</v>
      </c>
      <c r="G231" s="120">
        <v>43966.686805555553</v>
      </c>
      <c r="H231" t="s">
        <v>1428</v>
      </c>
      <c r="I231" t="s">
        <v>1429</v>
      </c>
      <c r="J231" t="s">
        <v>1430</v>
      </c>
      <c r="K231" t="s">
        <v>1431</v>
      </c>
    </row>
    <row r="232" spans="1:11">
      <c r="A232" t="s">
        <v>1432</v>
      </c>
      <c r="B232" t="s">
        <v>585</v>
      </c>
      <c r="C232" s="120">
        <v>43978.372916666667</v>
      </c>
      <c r="D232" t="s">
        <v>1433</v>
      </c>
      <c r="E232" t="s">
        <v>176</v>
      </c>
      <c r="F232" t="s">
        <v>182</v>
      </c>
      <c r="G232" s="120">
        <v>43902.331944444442</v>
      </c>
      <c r="H232" t="s">
        <v>1434</v>
      </c>
      <c r="I232" t="s">
        <v>1435</v>
      </c>
      <c r="J232" t="s">
        <v>1436</v>
      </c>
      <c r="K232" t="s">
        <v>1437</v>
      </c>
    </row>
    <row r="233" spans="1:11">
      <c r="A233" t="s">
        <v>1438</v>
      </c>
      <c r="B233" t="s">
        <v>197</v>
      </c>
      <c r="C233" s="120">
        <v>43978.368750000001</v>
      </c>
      <c r="D233" t="s">
        <v>1439</v>
      </c>
      <c r="E233" t="s">
        <v>176</v>
      </c>
      <c r="F233" t="s">
        <v>182</v>
      </c>
      <c r="G233" s="120">
        <v>43973.675000000003</v>
      </c>
      <c r="H233" t="s">
        <v>267</v>
      </c>
      <c r="I233" t="s">
        <v>1440</v>
      </c>
      <c r="J233" t="s">
        <v>1441</v>
      </c>
      <c r="K233" t="s">
        <v>1442</v>
      </c>
    </row>
    <row r="234" spans="1:11">
      <c r="A234" t="s">
        <v>1438</v>
      </c>
      <c r="B234" t="s">
        <v>197</v>
      </c>
      <c r="C234" s="120">
        <v>43978.366666666669</v>
      </c>
      <c r="D234" t="s">
        <v>1443</v>
      </c>
      <c r="E234" t="s">
        <v>329</v>
      </c>
      <c r="F234" t="s">
        <v>182</v>
      </c>
      <c r="G234" s="120">
        <v>43971.529166666667</v>
      </c>
      <c r="H234" t="s">
        <v>267</v>
      </c>
      <c r="I234" t="s">
        <v>1444</v>
      </c>
      <c r="J234" t="s">
        <v>245</v>
      </c>
      <c r="K234" t="s">
        <v>1442</v>
      </c>
    </row>
    <row r="235" spans="1:11">
      <c r="A235" t="s">
        <v>1445</v>
      </c>
      <c r="B235" t="s">
        <v>234</v>
      </c>
      <c r="C235" s="120">
        <v>43978.3125</v>
      </c>
      <c r="D235" t="s">
        <v>1446</v>
      </c>
      <c r="E235" t="s">
        <v>176</v>
      </c>
      <c r="F235" t="s">
        <v>182</v>
      </c>
      <c r="G235" s="120">
        <v>43963.667361111111</v>
      </c>
      <c r="H235" t="s">
        <v>1447</v>
      </c>
      <c r="I235" t="s">
        <v>1448</v>
      </c>
      <c r="J235" t="s">
        <v>1449</v>
      </c>
      <c r="K235" t="s">
        <v>1450</v>
      </c>
    </row>
    <row r="236" spans="1:11">
      <c r="A236" t="s">
        <v>1451</v>
      </c>
      <c r="B236" t="s">
        <v>204</v>
      </c>
      <c r="C236" s="120">
        <v>43977.670138888891</v>
      </c>
      <c r="D236" t="s">
        <v>1452</v>
      </c>
      <c r="E236" t="s">
        <v>206</v>
      </c>
      <c r="F236" t="s">
        <v>181</v>
      </c>
      <c r="G236" s="120">
        <v>43977.628472222219</v>
      </c>
      <c r="H236" t="s">
        <v>1453</v>
      </c>
      <c r="I236" t="s">
        <v>1454</v>
      </c>
      <c r="J236" t="s">
        <v>1455</v>
      </c>
      <c r="K236" t="s">
        <v>1456</v>
      </c>
    </row>
    <row r="237" spans="1:11">
      <c r="A237" t="s">
        <v>1457</v>
      </c>
      <c r="B237" t="s">
        <v>431</v>
      </c>
      <c r="C237" s="120">
        <v>43977.636111111111</v>
      </c>
      <c r="D237" t="s">
        <v>1458</v>
      </c>
      <c r="E237" t="s">
        <v>176</v>
      </c>
      <c r="F237" t="s">
        <v>182</v>
      </c>
      <c r="G237" s="120">
        <v>43956.441666666666</v>
      </c>
      <c r="H237" t="s">
        <v>1459</v>
      </c>
      <c r="I237" t="s">
        <v>1460</v>
      </c>
      <c r="J237" t="s">
        <v>1461</v>
      </c>
      <c r="K237" t="s">
        <v>1462</v>
      </c>
    </row>
    <row r="238" spans="1:11">
      <c r="A238" t="s">
        <v>1463</v>
      </c>
      <c r="B238" t="s">
        <v>204</v>
      </c>
      <c r="C238" s="120">
        <v>43977.634027777778</v>
      </c>
      <c r="D238" t="s">
        <v>1464</v>
      </c>
      <c r="E238" t="s">
        <v>206</v>
      </c>
      <c r="F238" t="s">
        <v>179</v>
      </c>
      <c r="G238" s="120">
        <v>43977.630555555559</v>
      </c>
      <c r="H238" t="s">
        <v>1465</v>
      </c>
      <c r="I238" t="s">
        <v>1466</v>
      </c>
      <c r="J238" t="s">
        <v>245</v>
      </c>
      <c r="K238" t="s">
        <v>1467</v>
      </c>
    </row>
    <row r="239" spans="1:11">
      <c r="A239" t="s">
        <v>1468</v>
      </c>
      <c r="B239" t="s">
        <v>204</v>
      </c>
      <c r="C239" s="120">
        <v>43977.633333333331</v>
      </c>
      <c r="D239" t="s">
        <v>1469</v>
      </c>
      <c r="E239" t="s">
        <v>206</v>
      </c>
      <c r="F239" t="s">
        <v>179</v>
      </c>
      <c r="G239" s="120">
        <v>43977.631944444445</v>
      </c>
      <c r="H239" t="s">
        <v>1470</v>
      </c>
      <c r="I239" t="s">
        <v>1471</v>
      </c>
      <c r="J239" t="s">
        <v>245</v>
      </c>
      <c r="K239" t="s">
        <v>1472</v>
      </c>
    </row>
    <row r="240" spans="1:11">
      <c r="A240" t="s">
        <v>1473</v>
      </c>
      <c r="B240" t="s">
        <v>197</v>
      </c>
      <c r="C240" s="120">
        <v>43977.625694444447</v>
      </c>
      <c r="D240" t="s">
        <v>1474</v>
      </c>
      <c r="E240" t="s">
        <v>177</v>
      </c>
      <c r="F240" t="s">
        <v>182</v>
      </c>
      <c r="G240" s="120">
        <v>43957.588888888888</v>
      </c>
      <c r="H240" t="s">
        <v>1475</v>
      </c>
      <c r="I240" t="s">
        <v>1476</v>
      </c>
      <c r="J240" t="s">
        <v>1477</v>
      </c>
      <c r="K240" t="s">
        <v>1478</v>
      </c>
    </row>
    <row r="241" spans="1:11">
      <c r="A241" t="s">
        <v>1479</v>
      </c>
      <c r="B241" t="s">
        <v>336</v>
      </c>
      <c r="C241" s="120">
        <v>43977.625</v>
      </c>
      <c r="D241" t="s">
        <v>1480</v>
      </c>
      <c r="E241" t="s">
        <v>176</v>
      </c>
      <c r="F241" t="s">
        <v>182</v>
      </c>
      <c r="G241" s="120">
        <v>43950.3125</v>
      </c>
      <c r="H241" t="s">
        <v>1481</v>
      </c>
      <c r="I241" t="s">
        <v>1482</v>
      </c>
      <c r="J241" t="s">
        <v>1483</v>
      </c>
      <c r="K241" t="s">
        <v>1484</v>
      </c>
    </row>
    <row r="242" spans="1:11">
      <c r="A242" t="s">
        <v>1485</v>
      </c>
      <c r="B242" t="s">
        <v>265</v>
      </c>
      <c r="C242" s="120">
        <v>43977.504166666666</v>
      </c>
      <c r="D242" t="s">
        <v>1486</v>
      </c>
      <c r="E242" t="s">
        <v>176</v>
      </c>
      <c r="F242" t="s">
        <v>183</v>
      </c>
      <c r="G242" s="120">
        <v>43959.675000000003</v>
      </c>
      <c r="H242" t="s">
        <v>1487</v>
      </c>
      <c r="I242" t="s">
        <v>1488</v>
      </c>
      <c r="J242" t="s">
        <v>1489</v>
      </c>
      <c r="K242" t="s">
        <v>1490</v>
      </c>
    </row>
    <row r="243" spans="1:11">
      <c r="A243" t="s">
        <v>1491</v>
      </c>
      <c r="B243" t="s">
        <v>265</v>
      </c>
      <c r="C243" s="120">
        <v>43977.50277777778</v>
      </c>
      <c r="D243" t="s">
        <v>1492</v>
      </c>
      <c r="E243" t="s">
        <v>176</v>
      </c>
      <c r="F243" t="s">
        <v>183</v>
      </c>
      <c r="G243" s="120">
        <v>43959.678472222222</v>
      </c>
      <c r="H243" t="s">
        <v>1493</v>
      </c>
      <c r="I243" t="s">
        <v>1494</v>
      </c>
      <c r="J243" t="s">
        <v>1495</v>
      </c>
      <c r="K243" t="s">
        <v>1496</v>
      </c>
    </row>
    <row r="244" spans="1:11">
      <c r="A244" t="s">
        <v>1497</v>
      </c>
      <c r="B244" t="s">
        <v>265</v>
      </c>
      <c r="C244" s="120">
        <v>43973.679166666669</v>
      </c>
      <c r="D244" t="s">
        <v>1498</v>
      </c>
      <c r="E244" t="s">
        <v>594</v>
      </c>
      <c r="F244" t="s">
        <v>182</v>
      </c>
      <c r="G244" s="120">
        <v>43970.420138888891</v>
      </c>
      <c r="H244" t="s">
        <v>1499</v>
      </c>
      <c r="I244" t="s">
        <v>1500</v>
      </c>
      <c r="J244" t="s">
        <v>1501</v>
      </c>
      <c r="K244" t="s">
        <v>1502</v>
      </c>
    </row>
    <row r="245" spans="1:11">
      <c r="A245" t="s">
        <v>1503</v>
      </c>
      <c r="B245" t="s">
        <v>585</v>
      </c>
      <c r="C245" s="120">
        <v>43973.623611111114</v>
      </c>
      <c r="D245" t="s">
        <v>1504</v>
      </c>
      <c r="E245" t="s">
        <v>176</v>
      </c>
      <c r="F245" t="s">
        <v>182</v>
      </c>
      <c r="G245" s="120">
        <v>43970.688194444447</v>
      </c>
      <c r="H245" t="s">
        <v>1505</v>
      </c>
      <c r="I245" t="s">
        <v>1506</v>
      </c>
      <c r="J245" t="s">
        <v>1507</v>
      </c>
      <c r="K245" t="s">
        <v>1506</v>
      </c>
    </row>
    <row r="246" spans="1:11">
      <c r="A246" t="s">
        <v>1508</v>
      </c>
      <c r="B246" t="s">
        <v>946</v>
      </c>
      <c r="C246" s="120">
        <v>43973.620833333334</v>
      </c>
      <c r="D246" t="s">
        <v>1509</v>
      </c>
      <c r="E246" t="s">
        <v>176</v>
      </c>
      <c r="F246" t="s">
        <v>182</v>
      </c>
      <c r="G246" s="120">
        <v>43972.368055555555</v>
      </c>
      <c r="H246" t="s">
        <v>1510</v>
      </c>
      <c r="I246" t="s">
        <v>1511</v>
      </c>
      <c r="J246" t="s">
        <v>1512</v>
      </c>
      <c r="K246" t="s">
        <v>1513</v>
      </c>
    </row>
    <row r="247" spans="1:11">
      <c r="A247" t="s">
        <v>1514</v>
      </c>
      <c r="B247" t="s">
        <v>1218</v>
      </c>
      <c r="C247" s="120">
        <v>43973.46597222222</v>
      </c>
      <c r="D247" t="s">
        <v>1515</v>
      </c>
      <c r="E247" t="s">
        <v>176</v>
      </c>
      <c r="F247" t="s">
        <v>182</v>
      </c>
      <c r="G247" s="120">
        <v>43973.402083333334</v>
      </c>
      <c r="H247" t="s">
        <v>1516</v>
      </c>
      <c r="I247" t="s">
        <v>1517</v>
      </c>
      <c r="J247" t="s">
        <v>1518</v>
      </c>
      <c r="K247" t="s">
        <v>1519</v>
      </c>
    </row>
    <row r="248" spans="1:11">
      <c r="A248" t="s">
        <v>1520</v>
      </c>
      <c r="B248" t="s">
        <v>585</v>
      </c>
      <c r="C248" s="120">
        <v>43972.587500000001</v>
      </c>
      <c r="D248" t="s">
        <v>1521</v>
      </c>
      <c r="E248" t="s">
        <v>177</v>
      </c>
      <c r="F248" t="s">
        <v>183</v>
      </c>
      <c r="G248" s="120">
        <v>43972.569444444445</v>
      </c>
      <c r="H248" t="s">
        <v>1522</v>
      </c>
      <c r="I248" t="s">
        <v>1523</v>
      </c>
      <c r="J248" t="s">
        <v>1524</v>
      </c>
      <c r="K248" t="s">
        <v>1525</v>
      </c>
    </row>
    <row r="249" spans="1:11">
      <c r="A249" t="s">
        <v>1526</v>
      </c>
      <c r="B249" t="s">
        <v>448</v>
      </c>
      <c r="C249" s="120">
        <v>43972.438888888886</v>
      </c>
      <c r="D249" t="s">
        <v>1527</v>
      </c>
      <c r="E249" t="s">
        <v>329</v>
      </c>
      <c r="F249" t="s">
        <v>183</v>
      </c>
      <c r="G249" s="120">
        <v>43966.384722222225</v>
      </c>
      <c r="H249" t="s">
        <v>267</v>
      </c>
      <c r="I249" t="s">
        <v>1528</v>
      </c>
      <c r="J249" t="s">
        <v>1529</v>
      </c>
      <c r="K249" t="s">
        <v>1530</v>
      </c>
    </row>
    <row r="250" spans="1:11">
      <c r="A250" t="s">
        <v>1531</v>
      </c>
      <c r="B250" t="s">
        <v>204</v>
      </c>
      <c r="C250" s="120">
        <v>43971.577777777777</v>
      </c>
      <c r="D250" t="s">
        <v>1464</v>
      </c>
      <c r="E250" t="s">
        <v>206</v>
      </c>
      <c r="F250" t="s">
        <v>181</v>
      </c>
      <c r="G250" s="120">
        <v>43955.573611111111</v>
      </c>
      <c r="H250" t="s">
        <v>1532</v>
      </c>
      <c r="I250" t="s">
        <v>1533</v>
      </c>
      <c r="J250" t="s">
        <v>1534</v>
      </c>
      <c r="K250" t="s">
        <v>1535</v>
      </c>
    </row>
    <row r="251" spans="1:11">
      <c r="A251" t="s">
        <v>1536</v>
      </c>
      <c r="B251" t="s">
        <v>204</v>
      </c>
      <c r="C251" s="120">
        <v>43971.572222222225</v>
      </c>
      <c r="D251" t="s">
        <v>1469</v>
      </c>
      <c r="E251" t="s">
        <v>206</v>
      </c>
      <c r="F251" t="s">
        <v>181</v>
      </c>
      <c r="G251" s="120">
        <v>43963.602777777778</v>
      </c>
      <c r="H251" t="s">
        <v>1537</v>
      </c>
      <c r="I251" t="s">
        <v>1538</v>
      </c>
      <c r="J251" t="s">
        <v>1539</v>
      </c>
      <c r="K251" t="s">
        <v>1540</v>
      </c>
    </row>
    <row r="252" spans="1:11">
      <c r="A252" t="s">
        <v>1541</v>
      </c>
      <c r="B252" t="s">
        <v>772</v>
      </c>
      <c r="C252" s="120">
        <v>43971.42291666667</v>
      </c>
      <c r="D252" t="s">
        <v>1542</v>
      </c>
      <c r="E252" t="s">
        <v>176</v>
      </c>
      <c r="F252" t="s">
        <v>182</v>
      </c>
      <c r="G252" s="120">
        <v>43915.379166666666</v>
      </c>
      <c r="H252" t="s">
        <v>1543</v>
      </c>
      <c r="I252" t="s">
        <v>1544</v>
      </c>
      <c r="J252" t="s">
        <v>1545</v>
      </c>
      <c r="K252" t="s">
        <v>1546</v>
      </c>
    </row>
    <row r="253" spans="1:11">
      <c r="A253" t="s">
        <v>1547</v>
      </c>
      <c r="B253" t="s">
        <v>431</v>
      </c>
      <c r="C253" s="120">
        <v>43970.633333333331</v>
      </c>
      <c r="D253" t="s">
        <v>1548</v>
      </c>
      <c r="E253" t="s">
        <v>206</v>
      </c>
      <c r="F253" t="s">
        <v>182</v>
      </c>
      <c r="G253" s="120">
        <v>43965.550694444442</v>
      </c>
      <c r="H253" t="s">
        <v>1011</v>
      </c>
      <c r="I253" t="s">
        <v>1549</v>
      </c>
      <c r="J253" t="s">
        <v>1550</v>
      </c>
      <c r="K253" t="s">
        <v>1549</v>
      </c>
    </row>
    <row r="254" spans="1:11">
      <c r="A254" t="s">
        <v>1551</v>
      </c>
      <c r="B254" t="s">
        <v>204</v>
      </c>
      <c r="C254" s="120">
        <v>43970.511805555558</v>
      </c>
      <c r="D254" t="s">
        <v>1552</v>
      </c>
      <c r="E254" t="s">
        <v>206</v>
      </c>
      <c r="F254" t="s">
        <v>181</v>
      </c>
      <c r="G254" s="120">
        <v>43970.482638888891</v>
      </c>
      <c r="H254" t="s">
        <v>1553</v>
      </c>
      <c r="I254" t="s">
        <v>1554</v>
      </c>
      <c r="J254" t="s">
        <v>1555</v>
      </c>
      <c r="K254" t="s">
        <v>1556</v>
      </c>
    </row>
    <row r="255" spans="1:11">
      <c r="A255" t="s">
        <v>1346</v>
      </c>
      <c r="B255" t="s">
        <v>508</v>
      </c>
      <c r="C255" s="120">
        <v>43970.499305555553</v>
      </c>
      <c r="D255" t="s">
        <v>1557</v>
      </c>
      <c r="E255" t="s">
        <v>177</v>
      </c>
      <c r="F255" t="s">
        <v>182</v>
      </c>
      <c r="G255" s="120">
        <v>43957.320138888892</v>
      </c>
      <c r="H255" t="s">
        <v>1348</v>
      </c>
      <c r="I255" t="s">
        <v>1558</v>
      </c>
      <c r="J255" t="s">
        <v>1559</v>
      </c>
      <c r="K255" t="s">
        <v>1351</v>
      </c>
    </row>
    <row r="256" spans="1:11">
      <c r="A256" t="s">
        <v>1560</v>
      </c>
      <c r="B256" t="s">
        <v>1080</v>
      </c>
      <c r="C256" s="120">
        <v>43970.446527777778</v>
      </c>
      <c r="D256" t="s">
        <v>1561</v>
      </c>
      <c r="E256" t="s">
        <v>176</v>
      </c>
      <c r="F256" t="s">
        <v>182</v>
      </c>
      <c r="G256" s="120">
        <v>43969.688194444447</v>
      </c>
      <c r="H256" t="s">
        <v>1562</v>
      </c>
      <c r="I256" t="s">
        <v>1563</v>
      </c>
      <c r="J256" t="s">
        <v>1564</v>
      </c>
      <c r="K256" t="s">
        <v>1565</v>
      </c>
    </row>
    <row r="257" spans="1:11">
      <c r="A257" t="s">
        <v>1566</v>
      </c>
      <c r="B257" t="s">
        <v>372</v>
      </c>
      <c r="C257" s="120">
        <v>43970.4375</v>
      </c>
      <c r="D257" t="s">
        <v>1567</v>
      </c>
      <c r="E257" t="s">
        <v>176</v>
      </c>
      <c r="F257" t="s">
        <v>182</v>
      </c>
      <c r="G257" s="120">
        <v>43969.696527777778</v>
      </c>
      <c r="H257" t="s">
        <v>420</v>
      </c>
      <c r="I257" t="s">
        <v>1568</v>
      </c>
      <c r="J257" t="s">
        <v>1569</v>
      </c>
      <c r="K257" t="s">
        <v>1570</v>
      </c>
    </row>
    <row r="258" spans="1:11">
      <c r="A258" t="s">
        <v>1571</v>
      </c>
      <c r="B258" t="s">
        <v>204</v>
      </c>
      <c r="C258" s="120">
        <v>43969.638888888891</v>
      </c>
      <c r="D258" t="s">
        <v>1464</v>
      </c>
      <c r="E258" t="s">
        <v>206</v>
      </c>
      <c r="F258" t="s">
        <v>181</v>
      </c>
      <c r="G258" s="120">
        <v>43969.629861111112</v>
      </c>
      <c r="H258" t="s">
        <v>1572</v>
      </c>
      <c r="I258" t="s">
        <v>1573</v>
      </c>
      <c r="J258" t="s">
        <v>1574</v>
      </c>
      <c r="K258" t="s">
        <v>1575</v>
      </c>
    </row>
    <row r="259" spans="1:11">
      <c r="A259" t="s">
        <v>1576</v>
      </c>
      <c r="B259" t="s">
        <v>204</v>
      </c>
      <c r="C259" s="120">
        <v>43969.638194444444</v>
      </c>
      <c r="D259" t="s">
        <v>1469</v>
      </c>
      <c r="E259" t="s">
        <v>206</v>
      </c>
      <c r="F259" t="s">
        <v>181</v>
      </c>
      <c r="G259" s="120">
        <v>43969.634027777778</v>
      </c>
      <c r="H259" t="s">
        <v>1577</v>
      </c>
      <c r="I259" t="s">
        <v>1578</v>
      </c>
      <c r="J259" t="s">
        <v>1579</v>
      </c>
      <c r="K259" t="s">
        <v>1580</v>
      </c>
    </row>
    <row r="260" spans="1:11">
      <c r="A260" t="s">
        <v>1581</v>
      </c>
      <c r="B260" t="s">
        <v>1582</v>
      </c>
      <c r="C260" s="120">
        <v>43969.422222222223</v>
      </c>
      <c r="D260" t="s">
        <v>1583</v>
      </c>
      <c r="E260" t="s">
        <v>177</v>
      </c>
      <c r="F260" t="s">
        <v>181</v>
      </c>
      <c r="G260" s="120">
        <v>43899.460416666669</v>
      </c>
      <c r="H260" t="s">
        <v>1584</v>
      </c>
      <c r="I260" t="s">
        <v>1585</v>
      </c>
      <c r="J260" t="s">
        <v>1586</v>
      </c>
      <c r="K260" t="s">
        <v>1587</v>
      </c>
    </row>
    <row r="261" spans="1:11">
      <c r="A261" t="s">
        <v>1588</v>
      </c>
      <c r="B261" t="s">
        <v>265</v>
      </c>
      <c r="C261" s="120">
        <v>43966.708333333336</v>
      </c>
      <c r="D261" t="s">
        <v>1589</v>
      </c>
      <c r="E261" t="s">
        <v>177</v>
      </c>
      <c r="F261" t="s">
        <v>183</v>
      </c>
      <c r="G261" s="120">
        <v>43917.666666666664</v>
      </c>
      <c r="H261" t="s">
        <v>1590</v>
      </c>
      <c r="I261" t="s">
        <v>1591</v>
      </c>
      <c r="J261" t="s">
        <v>1592</v>
      </c>
      <c r="K261" t="s">
        <v>1593</v>
      </c>
    </row>
    <row r="262" spans="1:11">
      <c r="A262" t="s">
        <v>1594</v>
      </c>
      <c r="B262" t="s">
        <v>508</v>
      </c>
      <c r="C262" s="120">
        <v>43966.706250000003</v>
      </c>
      <c r="D262" t="s">
        <v>1595</v>
      </c>
      <c r="E262" t="s">
        <v>176</v>
      </c>
      <c r="F262" t="s">
        <v>183</v>
      </c>
      <c r="G262" s="120">
        <v>43964.714583333334</v>
      </c>
      <c r="H262" t="s">
        <v>1596</v>
      </c>
      <c r="I262" t="s">
        <v>1597</v>
      </c>
      <c r="J262" t="s">
        <v>1598</v>
      </c>
      <c r="K262" t="s">
        <v>1599</v>
      </c>
    </row>
    <row r="263" spans="1:11">
      <c r="A263" t="s">
        <v>1594</v>
      </c>
      <c r="B263" t="s">
        <v>508</v>
      </c>
      <c r="C263" s="120">
        <v>43966.705555555556</v>
      </c>
      <c r="D263" t="s">
        <v>1595</v>
      </c>
      <c r="E263" t="s">
        <v>177</v>
      </c>
      <c r="F263" t="s">
        <v>183</v>
      </c>
      <c r="G263" s="120">
        <v>43964.715277777781</v>
      </c>
      <c r="H263" t="s">
        <v>1596</v>
      </c>
      <c r="I263" t="s">
        <v>1597</v>
      </c>
      <c r="J263" t="s">
        <v>1600</v>
      </c>
      <c r="K263" t="s">
        <v>1599</v>
      </c>
    </row>
    <row r="264" spans="1:11">
      <c r="A264" t="s">
        <v>1601</v>
      </c>
      <c r="B264" t="s">
        <v>204</v>
      </c>
      <c r="C264" s="120">
        <v>43966.661805555559</v>
      </c>
      <c r="D264" t="s">
        <v>1602</v>
      </c>
      <c r="E264" t="s">
        <v>206</v>
      </c>
      <c r="F264" t="s">
        <v>183</v>
      </c>
      <c r="G264" s="120">
        <v>43938.427777777775</v>
      </c>
      <c r="H264" t="s">
        <v>1603</v>
      </c>
      <c r="I264" t="s">
        <v>1604</v>
      </c>
      <c r="J264" t="s">
        <v>1605</v>
      </c>
      <c r="K264" t="s">
        <v>1606</v>
      </c>
    </row>
    <row r="265" spans="1:11">
      <c r="A265" t="s">
        <v>1607</v>
      </c>
      <c r="B265" t="s">
        <v>1608</v>
      </c>
      <c r="C265" s="120">
        <v>43966.638888888891</v>
      </c>
      <c r="D265" t="s">
        <v>1609</v>
      </c>
      <c r="E265" t="s">
        <v>176</v>
      </c>
      <c r="F265" t="s">
        <v>182</v>
      </c>
      <c r="G265" s="120">
        <v>43966.56527777778</v>
      </c>
      <c r="H265" t="s">
        <v>1610</v>
      </c>
      <c r="I265" t="s">
        <v>1611</v>
      </c>
      <c r="J265" t="s">
        <v>1612</v>
      </c>
      <c r="K265" t="s">
        <v>1613</v>
      </c>
    </row>
    <row r="266" spans="1:11">
      <c r="A266" t="s">
        <v>1614</v>
      </c>
      <c r="B266" t="s">
        <v>265</v>
      </c>
      <c r="C266" s="120">
        <v>43966.636805555558</v>
      </c>
      <c r="D266" t="s">
        <v>1615</v>
      </c>
      <c r="E266" t="s">
        <v>176</v>
      </c>
      <c r="F266" t="s">
        <v>182</v>
      </c>
      <c r="G266" s="120">
        <v>43966.611805555556</v>
      </c>
      <c r="H266" t="s">
        <v>93</v>
      </c>
      <c r="I266" t="s">
        <v>1616</v>
      </c>
      <c r="J266" t="s">
        <v>1617</v>
      </c>
      <c r="K266" t="s">
        <v>1618</v>
      </c>
    </row>
    <row r="267" spans="1:11">
      <c r="A267" t="s">
        <v>1619</v>
      </c>
      <c r="B267" t="s">
        <v>1620</v>
      </c>
      <c r="C267" s="120">
        <v>43965.59097222222</v>
      </c>
      <c r="D267" t="s">
        <v>1621</v>
      </c>
      <c r="E267" t="s">
        <v>176</v>
      </c>
      <c r="F267" t="s">
        <v>182</v>
      </c>
      <c r="G267" s="120">
        <v>43965.590277777781</v>
      </c>
      <c r="H267" t="s">
        <v>1622</v>
      </c>
      <c r="I267" t="s">
        <v>1623</v>
      </c>
      <c r="J267" t="s">
        <v>245</v>
      </c>
      <c r="K267" t="s">
        <v>1624</v>
      </c>
    </row>
    <row r="268" spans="1:11">
      <c r="A268" t="s">
        <v>1625</v>
      </c>
      <c r="B268" t="s">
        <v>1230</v>
      </c>
      <c r="C268" s="120">
        <v>43965.547222222223</v>
      </c>
      <c r="D268" t="s">
        <v>1626</v>
      </c>
      <c r="E268" t="s">
        <v>176</v>
      </c>
      <c r="F268" t="s">
        <v>182</v>
      </c>
      <c r="G268" s="120">
        <v>43965.381249999999</v>
      </c>
      <c r="H268" t="s">
        <v>1627</v>
      </c>
      <c r="I268" t="s">
        <v>1628</v>
      </c>
      <c r="J268" t="s">
        <v>1629</v>
      </c>
      <c r="K268" t="s">
        <v>1630</v>
      </c>
    </row>
    <row r="269" spans="1:11">
      <c r="A269" t="s">
        <v>1631</v>
      </c>
      <c r="B269" t="s">
        <v>1632</v>
      </c>
      <c r="C269" s="120">
        <v>43965.526388888888</v>
      </c>
      <c r="D269" t="s">
        <v>1633</v>
      </c>
      <c r="E269" t="s">
        <v>176</v>
      </c>
      <c r="F269" t="s">
        <v>182</v>
      </c>
      <c r="G269" s="120">
        <v>43965.420138888891</v>
      </c>
      <c r="H269" t="s">
        <v>1634</v>
      </c>
      <c r="I269" t="s">
        <v>1635</v>
      </c>
      <c r="J269" t="s">
        <v>1636</v>
      </c>
      <c r="K269" t="s">
        <v>1637</v>
      </c>
    </row>
    <row r="270" spans="1:11">
      <c r="A270" t="s">
        <v>1638</v>
      </c>
      <c r="B270" t="s">
        <v>585</v>
      </c>
      <c r="C270" s="120">
        <v>43964.712500000001</v>
      </c>
      <c r="D270" t="s">
        <v>1639</v>
      </c>
      <c r="E270" t="s">
        <v>176</v>
      </c>
      <c r="F270" t="s">
        <v>179</v>
      </c>
      <c r="G270" s="120">
        <v>43964.711805555555</v>
      </c>
      <c r="H270" t="s">
        <v>1640</v>
      </c>
      <c r="I270" t="s">
        <v>1641</v>
      </c>
      <c r="J270" t="s">
        <v>245</v>
      </c>
      <c r="K270" t="s">
        <v>1642</v>
      </c>
    </row>
    <row r="271" spans="1:11">
      <c r="A271" t="s">
        <v>1643</v>
      </c>
      <c r="B271" t="s">
        <v>204</v>
      </c>
      <c r="C271" s="120">
        <v>43964.565972222219</v>
      </c>
      <c r="D271" t="s">
        <v>1644</v>
      </c>
      <c r="E271" t="s">
        <v>206</v>
      </c>
      <c r="F271" t="s">
        <v>181</v>
      </c>
      <c r="G271" s="120">
        <v>43951.679166666669</v>
      </c>
      <c r="H271" t="s">
        <v>1645</v>
      </c>
      <c r="I271" t="s">
        <v>1646</v>
      </c>
      <c r="J271" t="s">
        <v>1647</v>
      </c>
      <c r="K271" t="s">
        <v>1648</v>
      </c>
    </row>
    <row r="272" spans="1:11">
      <c r="A272" t="s">
        <v>1649</v>
      </c>
      <c r="B272" t="s">
        <v>336</v>
      </c>
      <c r="C272" s="120">
        <v>43963.664583333331</v>
      </c>
      <c r="D272" t="s">
        <v>1650</v>
      </c>
      <c r="E272" t="s">
        <v>176</v>
      </c>
      <c r="F272" t="s">
        <v>182</v>
      </c>
      <c r="G272" s="120">
        <v>43963.472916666666</v>
      </c>
      <c r="H272" t="s">
        <v>1651</v>
      </c>
      <c r="I272" t="s">
        <v>1652</v>
      </c>
      <c r="J272" t="s">
        <v>1653</v>
      </c>
      <c r="K272" t="s">
        <v>1654</v>
      </c>
    </row>
    <row r="273" spans="1:11">
      <c r="A273" t="s">
        <v>1655</v>
      </c>
      <c r="B273" t="s">
        <v>585</v>
      </c>
      <c r="C273" s="120">
        <v>43963.663194444445</v>
      </c>
      <c r="D273" t="s">
        <v>1656</v>
      </c>
      <c r="E273" t="s">
        <v>176</v>
      </c>
      <c r="F273" t="s">
        <v>182</v>
      </c>
      <c r="G273" s="120">
        <v>43902.330555555556</v>
      </c>
      <c r="H273" t="s">
        <v>1657</v>
      </c>
      <c r="I273" t="s">
        <v>1658</v>
      </c>
      <c r="J273" t="s">
        <v>1659</v>
      </c>
      <c r="K273" t="s">
        <v>1660</v>
      </c>
    </row>
    <row r="274" spans="1:11">
      <c r="A274" t="s">
        <v>1661</v>
      </c>
      <c r="B274" t="s">
        <v>204</v>
      </c>
      <c r="C274" s="120">
        <v>43963.647222222222</v>
      </c>
      <c r="D274" t="s">
        <v>1662</v>
      </c>
      <c r="E274" t="s">
        <v>206</v>
      </c>
      <c r="F274" t="s">
        <v>181</v>
      </c>
      <c r="G274" s="120">
        <v>43962.567361111112</v>
      </c>
      <c r="H274" t="s">
        <v>1663</v>
      </c>
      <c r="I274" t="s">
        <v>1664</v>
      </c>
      <c r="J274" t="s">
        <v>1665</v>
      </c>
      <c r="K274" t="s">
        <v>1666</v>
      </c>
    </row>
    <row r="275" spans="1:11">
      <c r="A275" t="s">
        <v>1667</v>
      </c>
      <c r="B275" t="s">
        <v>204</v>
      </c>
      <c r="C275" s="120">
        <v>43963.611805555556</v>
      </c>
      <c r="D275" t="s">
        <v>1552</v>
      </c>
      <c r="E275" t="s">
        <v>206</v>
      </c>
      <c r="F275" t="s">
        <v>179</v>
      </c>
      <c r="G275" s="120">
        <v>43963.61041666667</v>
      </c>
      <c r="H275" t="s">
        <v>1668</v>
      </c>
      <c r="I275" t="s">
        <v>1669</v>
      </c>
      <c r="J275" t="s">
        <v>245</v>
      </c>
      <c r="K275" t="s">
        <v>1670</v>
      </c>
    </row>
    <row r="276" spans="1:11">
      <c r="A276" t="s">
        <v>1671</v>
      </c>
      <c r="B276" t="s">
        <v>204</v>
      </c>
      <c r="C276" s="120">
        <v>43963.515972222223</v>
      </c>
      <c r="D276" t="s">
        <v>1672</v>
      </c>
      <c r="E276" t="s">
        <v>206</v>
      </c>
      <c r="F276" t="s">
        <v>183</v>
      </c>
      <c r="G276" s="120">
        <v>43949.440972222219</v>
      </c>
      <c r="H276" t="s">
        <v>1673</v>
      </c>
      <c r="I276" t="s">
        <v>1674</v>
      </c>
      <c r="J276" t="s">
        <v>1675</v>
      </c>
      <c r="K276" t="s">
        <v>1676</v>
      </c>
    </row>
    <row r="277" spans="1:11">
      <c r="A277" t="s">
        <v>1677</v>
      </c>
      <c r="B277" t="s">
        <v>204</v>
      </c>
      <c r="C277" s="120">
        <v>43962.699305555558</v>
      </c>
      <c r="D277" t="s">
        <v>1678</v>
      </c>
      <c r="E277" t="s">
        <v>206</v>
      </c>
      <c r="F277" t="s">
        <v>183</v>
      </c>
      <c r="G277" s="120">
        <v>43937.509722222225</v>
      </c>
      <c r="H277" t="s">
        <v>1679</v>
      </c>
      <c r="I277" t="s">
        <v>1680</v>
      </c>
      <c r="J277" t="s">
        <v>1681</v>
      </c>
      <c r="K277" t="s">
        <v>1682</v>
      </c>
    </row>
    <row r="278" spans="1:11">
      <c r="A278" t="s">
        <v>1683</v>
      </c>
      <c r="B278" t="s">
        <v>204</v>
      </c>
      <c r="C278" s="120">
        <v>43962.692361111112</v>
      </c>
      <c r="D278" t="s">
        <v>1684</v>
      </c>
      <c r="E278" t="s">
        <v>177</v>
      </c>
      <c r="F278" t="s">
        <v>182</v>
      </c>
      <c r="G278" s="120">
        <v>43945.356944444444</v>
      </c>
      <c r="H278" t="s">
        <v>1685</v>
      </c>
      <c r="I278" t="s">
        <v>1686</v>
      </c>
      <c r="J278" t="s">
        <v>1687</v>
      </c>
      <c r="K278" t="s">
        <v>1688</v>
      </c>
    </row>
    <row r="279" spans="1:11">
      <c r="A279" t="s">
        <v>1689</v>
      </c>
      <c r="B279" t="s">
        <v>448</v>
      </c>
      <c r="C279" s="120">
        <v>43962.68472222222</v>
      </c>
      <c r="D279" t="s">
        <v>1690</v>
      </c>
      <c r="E279" t="s">
        <v>177</v>
      </c>
      <c r="F279" t="s">
        <v>181</v>
      </c>
      <c r="G279" s="120">
        <v>43955.605555555558</v>
      </c>
      <c r="H279" t="s">
        <v>1691</v>
      </c>
      <c r="I279" t="s">
        <v>1692</v>
      </c>
      <c r="J279" t="s">
        <v>1693</v>
      </c>
      <c r="K279" t="s">
        <v>1694</v>
      </c>
    </row>
    <row r="280" spans="1:11">
      <c r="A280" t="s">
        <v>1695</v>
      </c>
      <c r="B280" t="s">
        <v>204</v>
      </c>
      <c r="C280" s="120">
        <v>43962.675694444442</v>
      </c>
      <c r="D280" t="s">
        <v>1696</v>
      </c>
      <c r="E280" t="s">
        <v>177</v>
      </c>
      <c r="F280" t="s">
        <v>181</v>
      </c>
      <c r="G280" s="120">
        <v>43953.765277777777</v>
      </c>
      <c r="H280" t="s">
        <v>1697</v>
      </c>
      <c r="I280" t="s">
        <v>1698</v>
      </c>
      <c r="J280" t="s">
        <v>1699</v>
      </c>
      <c r="K280" t="s">
        <v>1700</v>
      </c>
    </row>
    <row r="281" spans="1:11">
      <c r="A281" t="s">
        <v>1701</v>
      </c>
      <c r="B281" t="s">
        <v>204</v>
      </c>
      <c r="C281" s="120">
        <v>43959.56527777778</v>
      </c>
      <c r="D281" t="s">
        <v>1702</v>
      </c>
      <c r="E281" t="s">
        <v>206</v>
      </c>
      <c r="F281" t="s">
        <v>182</v>
      </c>
      <c r="G281" s="120">
        <v>43943.445833333331</v>
      </c>
      <c r="H281" t="s">
        <v>1703</v>
      </c>
      <c r="I281" t="s">
        <v>1704</v>
      </c>
      <c r="J281" t="s">
        <v>1705</v>
      </c>
      <c r="K281" t="s">
        <v>1706</v>
      </c>
    </row>
    <row r="282" spans="1:11">
      <c r="A282" t="s">
        <v>1707</v>
      </c>
      <c r="B282" t="s">
        <v>204</v>
      </c>
      <c r="C282" s="120">
        <v>43959.561805555553</v>
      </c>
      <c r="D282" t="s">
        <v>1552</v>
      </c>
      <c r="E282" t="s">
        <v>206</v>
      </c>
      <c r="F282" t="s">
        <v>181</v>
      </c>
      <c r="G282" s="120">
        <v>43956.617361111108</v>
      </c>
      <c r="H282" t="s">
        <v>1708</v>
      </c>
      <c r="I282" t="s">
        <v>1709</v>
      </c>
      <c r="J282" t="s">
        <v>1710</v>
      </c>
      <c r="K282" t="s">
        <v>1711</v>
      </c>
    </row>
    <row r="283" spans="1:11">
      <c r="A283" t="s">
        <v>1712</v>
      </c>
      <c r="B283" t="s">
        <v>204</v>
      </c>
      <c r="C283" s="120">
        <v>43959.548611111109</v>
      </c>
      <c r="D283" t="s">
        <v>1713</v>
      </c>
      <c r="E283" t="s">
        <v>206</v>
      </c>
      <c r="F283" t="s">
        <v>183</v>
      </c>
      <c r="G283" s="120">
        <v>43924.452777777777</v>
      </c>
      <c r="H283" t="s">
        <v>1714</v>
      </c>
      <c r="I283" t="s">
        <v>1715</v>
      </c>
      <c r="J283" t="s">
        <v>1716</v>
      </c>
      <c r="K283" t="s">
        <v>1717</v>
      </c>
    </row>
    <row r="284" spans="1:11">
      <c r="A284" t="s">
        <v>1718</v>
      </c>
      <c r="B284" t="s">
        <v>431</v>
      </c>
      <c r="C284" s="120">
        <v>43959.520138888889</v>
      </c>
      <c r="D284" t="s">
        <v>1719</v>
      </c>
      <c r="E284" t="s">
        <v>176</v>
      </c>
      <c r="F284" t="s">
        <v>182</v>
      </c>
      <c r="G284" s="120">
        <v>43920.557638888888</v>
      </c>
      <c r="H284" t="s">
        <v>1720</v>
      </c>
      <c r="I284" t="s">
        <v>1721</v>
      </c>
      <c r="J284" t="s">
        <v>1722</v>
      </c>
      <c r="K284" t="s">
        <v>1723</v>
      </c>
    </row>
    <row r="285" spans="1:11">
      <c r="A285" t="s">
        <v>1724</v>
      </c>
      <c r="B285" t="s">
        <v>265</v>
      </c>
      <c r="C285" s="120">
        <v>43959.504861111112</v>
      </c>
      <c r="D285" t="s">
        <v>1725</v>
      </c>
      <c r="E285" t="s">
        <v>176</v>
      </c>
      <c r="F285" t="s">
        <v>182</v>
      </c>
      <c r="G285" s="120">
        <v>43959.429861111108</v>
      </c>
      <c r="H285" t="s">
        <v>93</v>
      </c>
      <c r="I285" t="s">
        <v>1726</v>
      </c>
      <c r="J285" t="s">
        <v>1727</v>
      </c>
      <c r="K285" t="s">
        <v>1728</v>
      </c>
    </row>
    <row r="286" spans="1:11">
      <c r="A286" t="s">
        <v>1729</v>
      </c>
      <c r="B286" t="s">
        <v>197</v>
      </c>
      <c r="C286" s="120">
        <v>43959.449305555558</v>
      </c>
      <c r="D286" t="s">
        <v>1730</v>
      </c>
      <c r="E286" t="s">
        <v>177</v>
      </c>
      <c r="F286" t="s">
        <v>182</v>
      </c>
      <c r="G286" s="120">
        <v>43922.595138888886</v>
      </c>
      <c r="H286" t="s">
        <v>1731</v>
      </c>
      <c r="I286" t="s">
        <v>1732</v>
      </c>
      <c r="J286" t="s">
        <v>1733</v>
      </c>
      <c r="K286" t="s">
        <v>1734</v>
      </c>
    </row>
    <row r="287" spans="1:11">
      <c r="A287" t="s">
        <v>1735</v>
      </c>
      <c r="B287" t="s">
        <v>1736</v>
      </c>
      <c r="C287" s="120">
        <v>43958.631249999999</v>
      </c>
      <c r="D287" t="s">
        <v>1737</v>
      </c>
      <c r="E287" t="s">
        <v>176</v>
      </c>
      <c r="F287" t="s">
        <v>182</v>
      </c>
      <c r="G287" s="120">
        <v>43958.630555555559</v>
      </c>
      <c r="H287" t="s">
        <v>1738</v>
      </c>
      <c r="I287" t="s">
        <v>1739</v>
      </c>
      <c r="J287" t="s">
        <v>245</v>
      </c>
      <c r="K287" t="s">
        <v>1740</v>
      </c>
    </row>
    <row r="288" spans="1:11">
      <c r="A288" t="s">
        <v>1741</v>
      </c>
      <c r="B288" t="s">
        <v>197</v>
      </c>
      <c r="C288" s="120">
        <v>43958.628472222219</v>
      </c>
      <c r="D288" t="s">
        <v>1742</v>
      </c>
      <c r="E288" t="s">
        <v>176</v>
      </c>
      <c r="F288" t="s">
        <v>182</v>
      </c>
      <c r="G288" s="120">
        <v>43958.531944444447</v>
      </c>
      <c r="H288" t="s">
        <v>970</v>
      </c>
      <c r="I288" t="s">
        <v>1743</v>
      </c>
      <c r="J288" t="s">
        <v>1744</v>
      </c>
      <c r="K288" t="s">
        <v>1745</v>
      </c>
    </row>
    <row r="289" spans="1:11">
      <c r="A289" t="s">
        <v>1746</v>
      </c>
      <c r="B289" t="s">
        <v>336</v>
      </c>
      <c r="C289" s="120">
        <v>43958.627083333333</v>
      </c>
      <c r="D289" t="s">
        <v>1747</v>
      </c>
      <c r="E289" t="s">
        <v>176</v>
      </c>
      <c r="F289" t="s">
        <v>182</v>
      </c>
      <c r="G289" s="120">
        <v>43957.638888888891</v>
      </c>
      <c r="H289" t="s">
        <v>1748</v>
      </c>
      <c r="I289" t="s">
        <v>1749</v>
      </c>
      <c r="J289" t="s">
        <v>1750</v>
      </c>
      <c r="K289" t="s">
        <v>1751</v>
      </c>
    </row>
    <row r="290" spans="1:11">
      <c r="A290" t="s">
        <v>308</v>
      </c>
      <c r="B290" t="s">
        <v>309</v>
      </c>
      <c r="C290" s="120">
        <v>43957.554861111108</v>
      </c>
      <c r="D290" t="s">
        <v>1752</v>
      </c>
      <c r="E290" t="s">
        <v>177</v>
      </c>
      <c r="F290" t="s">
        <v>181</v>
      </c>
      <c r="G290" s="120">
        <v>43941.667361111111</v>
      </c>
      <c r="H290" t="s">
        <v>311</v>
      </c>
      <c r="I290" t="s">
        <v>1753</v>
      </c>
      <c r="J290" t="s">
        <v>1754</v>
      </c>
      <c r="K290" t="s">
        <v>314</v>
      </c>
    </row>
    <row r="291" spans="1:11">
      <c r="A291" t="s">
        <v>1755</v>
      </c>
      <c r="B291" t="s">
        <v>197</v>
      </c>
      <c r="C291" s="120">
        <v>43956.665972222225</v>
      </c>
      <c r="D291" t="s">
        <v>1756</v>
      </c>
      <c r="E291" t="s">
        <v>329</v>
      </c>
      <c r="F291" t="s">
        <v>181</v>
      </c>
      <c r="G291" s="120">
        <v>43956.595833333333</v>
      </c>
      <c r="H291" t="s">
        <v>1757</v>
      </c>
      <c r="I291" t="s">
        <v>1758</v>
      </c>
      <c r="J291" t="s">
        <v>1759</v>
      </c>
      <c r="K291" t="s">
        <v>1760</v>
      </c>
    </row>
    <row r="292" spans="1:11">
      <c r="A292" t="s">
        <v>1689</v>
      </c>
      <c r="B292" t="s">
        <v>448</v>
      </c>
      <c r="C292" s="120">
        <v>43956.663194444445</v>
      </c>
      <c r="D292" t="s">
        <v>1761</v>
      </c>
      <c r="E292" t="s">
        <v>176</v>
      </c>
      <c r="F292" t="s">
        <v>182</v>
      </c>
      <c r="G292" s="120">
        <v>43955.607638888891</v>
      </c>
      <c r="H292" t="s">
        <v>1691</v>
      </c>
      <c r="I292" t="s">
        <v>1762</v>
      </c>
      <c r="J292" t="s">
        <v>1763</v>
      </c>
      <c r="K292" t="s">
        <v>1694</v>
      </c>
    </row>
    <row r="293" spans="1:11">
      <c r="A293" t="s">
        <v>1764</v>
      </c>
      <c r="B293" t="s">
        <v>265</v>
      </c>
      <c r="C293" s="120">
        <v>43956.661111111112</v>
      </c>
      <c r="D293" t="s">
        <v>1765</v>
      </c>
      <c r="E293" t="s">
        <v>176</v>
      </c>
      <c r="F293" t="s">
        <v>182</v>
      </c>
      <c r="G293" s="120">
        <v>43923.706250000003</v>
      </c>
      <c r="H293" t="s">
        <v>1766</v>
      </c>
      <c r="I293" t="s">
        <v>1767</v>
      </c>
      <c r="J293" t="s">
        <v>1768</v>
      </c>
      <c r="K293" t="s">
        <v>1769</v>
      </c>
    </row>
    <row r="294" spans="1:11">
      <c r="A294" t="s">
        <v>1770</v>
      </c>
      <c r="B294" t="s">
        <v>372</v>
      </c>
      <c r="C294" s="120">
        <v>43956.627083333333</v>
      </c>
      <c r="D294" t="s">
        <v>1771</v>
      </c>
      <c r="E294" t="s">
        <v>176</v>
      </c>
      <c r="F294" t="s">
        <v>182</v>
      </c>
      <c r="G294" s="120">
        <v>43952.6875</v>
      </c>
      <c r="H294" t="s">
        <v>1772</v>
      </c>
      <c r="I294" t="s">
        <v>1773</v>
      </c>
      <c r="J294" t="s">
        <v>1774</v>
      </c>
      <c r="K294" t="s">
        <v>1775</v>
      </c>
    </row>
    <row r="295" spans="1:11">
      <c r="A295" t="s">
        <v>1776</v>
      </c>
      <c r="B295" t="s">
        <v>309</v>
      </c>
      <c r="C295" s="120">
        <v>43955.629166666666</v>
      </c>
      <c r="D295" t="s">
        <v>1777</v>
      </c>
      <c r="E295" t="s">
        <v>176</v>
      </c>
      <c r="F295" t="s">
        <v>182</v>
      </c>
      <c r="G295" s="120">
        <v>43955.61041666667</v>
      </c>
      <c r="H295" t="s">
        <v>1778</v>
      </c>
      <c r="I295" t="s">
        <v>1779</v>
      </c>
      <c r="J295" t="s">
        <v>1780</v>
      </c>
      <c r="K295" t="s">
        <v>1781</v>
      </c>
    </row>
    <row r="296" spans="1:11">
      <c r="A296" t="s">
        <v>1782</v>
      </c>
      <c r="B296" t="s">
        <v>508</v>
      </c>
      <c r="C296" s="120">
        <v>43955.581944444442</v>
      </c>
      <c r="D296" t="s">
        <v>1783</v>
      </c>
      <c r="E296" t="s">
        <v>176</v>
      </c>
      <c r="F296" t="s">
        <v>182</v>
      </c>
      <c r="G296" s="120">
        <v>43955.480555555558</v>
      </c>
      <c r="H296" t="s">
        <v>1784</v>
      </c>
      <c r="I296" t="s">
        <v>1785</v>
      </c>
      <c r="J296" t="s">
        <v>1786</v>
      </c>
      <c r="K296" t="s">
        <v>1787</v>
      </c>
    </row>
    <row r="297" spans="1:11">
      <c r="A297" t="s">
        <v>1788</v>
      </c>
      <c r="B297" t="s">
        <v>197</v>
      </c>
      <c r="C297" s="120">
        <v>43955.341666666667</v>
      </c>
      <c r="D297" t="s">
        <v>1789</v>
      </c>
      <c r="E297" t="s">
        <v>176</v>
      </c>
      <c r="F297" t="s">
        <v>182</v>
      </c>
      <c r="G297" s="120">
        <v>43928.415277777778</v>
      </c>
      <c r="H297" t="s">
        <v>1790</v>
      </c>
      <c r="I297" t="s">
        <v>1791</v>
      </c>
      <c r="J297" t="s">
        <v>1792</v>
      </c>
      <c r="K297" t="s">
        <v>1793</v>
      </c>
    </row>
    <row r="298" spans="1:11">
      <c r="A298" t="s">
        <v>1794</v>
      </c>
      <c r="B298" t="s">
        <v>1795</v>
      </c>
      <c r="C298" s="120">
        <v>43952.65347222222</v>
      </c>
      <c r="D298" t="s">
        <v>1796</v>
      </c>
      <c r="E298" t="s">
        <v>176</v>
      </c>
      <c r="F298" t="s">
        <v>182</v>
      </c>
      <c r="G298" s="120">
        <v>43952.589583333334</v>
      </c>
      <c r="H298" t="s">
        <v>1797</v>
      </c>
      <c r="I298" t="s">
        <v>1798</v>
      </c>
      <c r="J298" t="s">
        <v>1799</v>
      </c>
      <c r="K298" t="s">
        <v>1800</v>
      </c>
    </row>
    <row r="299" spans="1:11">
      <c r="A299" t="s">
        <v>1801</v>
      </c>
      <c r="B299" t="s">
        <v>448</v>
      </c>
      <c r="C299" s="120">
        <v>43952.651388888888</v>
      </c>
      <c r="D299" t="s">
        <v>1802</v>
      </c>
      <c r="E299" t="s">
        <v>176</v>
      </c>
      <c r="F299" t="s">
        <v>182</v>
      </c>
      <c r="G299" s="120">
        <v>43931.356249999997</v>
      </c>
      <c r="H299" t="s">
        <v>89</v>
      </c>
      <c r="I299" t="s">
        <v>1803</v>
      </c>
      <c r="J299" t="s">
        <v>1804</v>
      </c>
      <c r="K299" t="s">
        <v>1805</v>
      </c>
    </row>
    <row r="300" spans="1:11">
      <c r="A300" t="s">
        <v>1806</v>
      </c>
      <c r="B300" t="s">
        <v>1807</v>
      </c>
      <c r="C300" s="120">
        <v>43952.647222222222</v>
      </c>
      <c r="D300" t="s">
        <v>1808</v>
      </c>
      <c r="E300" t="s">
        <v>176</v>
      </c>
      <c r="F300" t="s">
        <v>182</v>
      </c>
      <c r="G300" s="120">
        <v>43952.6</v>
      </c>
      <c r="H300" t="s">
        <v>1809</v>
      </c>
      <c r="I300" t="s">
        <v>1808</v>
      </c>
      <c r="J300" t="s">
        <v>1810</v>
      </c>
      <c r="K300" t="s">
        <v>1811</v>
      </c>
    </row>
    <row r="301" spans="1:11">
      <c r="A301" t="s">
        <v>1812</v>
      </c>
      <c r="B301" t="s">
        <v>1813</v>
      </c>
      <c r="C301" s="120">
        <v>43952.637499999997</v>
      </c>
      <c r="D301" t="s">
        <v>1814</v>
      </c>
      <c r="E301" t="s">
        <v>176</v>
      </c>
      <c r="F301" t="s">
        <v>182</v>
      </c>
      <c r="G301" s="120">
        <v>43952.636805555558</v>
      </c>
      <c r="H301" t="s">
        <v>1815</v>
      </c>
      <c r="I301" t="s">
        <v>1816</v>
      </c>
      <c r="J301" t="s">
        <v>245</v>
      </c>
      <c r="K301" t="s">
        <v>1817</v>
      </c>
    </row>
    <row r="302" spans="1:11">
      <c r="A302" t="s">
        <v>1818</v>
      </c>
      <c r="B302" t="s">
        <v>265</v>
      </c>
      <c r="C302" s="120">
        <v>43952.40347222222</v>
      </c>
      <c r="D302" t="s">
        <v>1819</v>
      </c>
      <c r="E302" t="s">
        <v>176</v>
      </c>
      <c r="F302" t="s">
        <v>182</v>
      </c>
      <c r="G302" s="120">
        <v>43941.615277777775</v>
      </c>
      <c r="H302" t="s">
        <v>1820</v>
      </c>
      <c r="I302" t="s">
        <v>1821</v>
      </c>
      <c r="J302" t="s">
        <v>1822</v>
      </c>
      <c r="K302" t="s">
        <v>1823</v>
      </c>
    </row>
    <row r="303" spans="1:11">
      <c r="A303" t="s">
        <v>1824</v>
      </c>
      <c r="B303" t="s">
        <v>772</v>
      </c>
      <c r="C303" s="120">
        <v>43951.704861111109</v>
      </c>
      <c r="D303" t="s">
        <v>1825</v>
      </c>
      <c r="E303" t="s">
        <v>206</v>
      </c>
      <c r="F303" t="s">
        <v>182</v>
      </c>
      <c r="G303" s="120">
        <v>43951.70416666667</v>
      </c>
      <c r="H303" t="s">
        <v>1826</v>
      </c>
      <c r="I303" t="s">
        <v>1827</v>
      </c>
      <c r="J303" t="s">
        <v>245</v>
      </c>
      <c r="K303" t="s">
        <v>1828</v>
      </c>
    </row>
    <row r="304" spans="1:11">
      <c r="A304" t="s">
        <v>1829</v>
      </c>
      <c r="B304" t="s">
        <v>772</v>
      </c>
      <c r="C304" s="120">
        <v>43951.703472222223</v>
      </c>
      <c r="D304" t="s">
        <v>1830</v>
      </c>
      <c r="E304" t="s">
        <v>206</v>
      </c>
      <c r="F304" t="s">
        <v>181</v>
      </c>
      <c r="G304" s="120">
        <v>43950.451388888891</v>
      </c>
      <c r="H304" t="s">
        <v>1831</v>
      </c>
      <c r="I304" t="s">
        <v>1832</v>
      </c>
      <c r="J304" t="s">
        <v>1833</v>
      </c>
      <c r="K304" t="s">
        <v>1834</v>
      </c>
    </row>
    <row r="305" spans="1:11">
      <c r="A305" t="s">
        <v>1835</v>
      </c>
      <c r="B305" t="s">
        <v>772</v>
      </c>
      <c r="C305" s="120">
        <v>43951.70208333333</v>
      </c>
      <c r="D305" t="s">
        <v>1836</v>
      </c>
      <c r="E305" t="s">
        <v>206</v>
      </c>
      <c r="F305" t="s">
        <v>179</v>
      </c>
      <c r="G305" s="120">
        <v>43951.701388888891</v>
      </c>
      <c r="H305" t="s">
        <v>1837</v>
      </c>
      <c r="I305" t="s">
        <v>1838</v>
      </c>
      <c r="J305" t="s">
        <v>245</v>
      </c>
      <c r="K305" t="s">
        <v>1839</v>
      </c>
    </row>
    <row r="306" spans="1:11">
      <c r="A306" t="s">
        <v>1840</v>
      </c>
      <c r="B306" t="s">
        <v>204</v>
      </c>
      <c r="C306" s="120">
        <v>43951.697222222225</v>
      </c>
      <c r="D306" t="s">
        <v>1841</v>
      </c>
      <c r="E306" t="s">
        <v>206</v>
      </c>
      <c r="F306" t="s">
        <v>181</v>
      </c>
      <c r="G306" s="120">
        <v>43949.525000000001</v>
      </c>
      <c r="H306" t="s">
        <v>1842</v>
      </c>
      <c r="I306" t="s">
        <v>1843</v>
      </c>
      <c r="J306" t="s">
        <v>1844</v>
      </c>
      <c r="K306" t="s">
        <v>1845</v>
      </c>
    </row>
    <row r="307" spans="1:11">
      <c r="A307" t="s">
        <v>1846</v>
      </c>
      <c r="B307" t="s">
        <v>431</v>
      </c>
      <c r="C307" s="120">
        <v>43951.695833333331</v>
      </c>
      <c r="D307" t="s">
        <v>1847</v>
      </c>
      <c r="E307" t="s">
        <v>329</v>
      </c>
      <c r="F307" t="s">
        <v>182</v>
      </c>
      <c r="G307" s="120">
        <v>43950.684027777781</v>
      </c>
      <c r="H307" t="s">
        <v>1848</v>
      </c>
      <c r="I307" t="s">
        <v>1849</v>
      </c>
      <c r="J307" t="s">
        <v>1850</v>
      </c>
      <c r="K307" t="s">
        <v>1851</v>
      </c>
    </row>
    <row r="308" spans="1:11">
      <c r="A308" t="s">
        <v>1846</v>
      </c>
      <c r="B308" t="s">
        <v>431</v>
      </c>
      <c r="C308" s="120">
        <v>43951.695138888892</v>
      </c>
      <c r="D308" t="s">
        <v>1852</v>
      </c>
      <c r="E308" t="s">
        <v>594</v>
      </c>
      <c r="F308" t="s">
        <v>182</v>
      </c>
      <c r="G308" s="120">
        <v>43950.684027777781</v>
      </c>
      <c r="H308" t="s">
        <v>1848</v>
      </c>
      <c r="I308" t="s">
        <v>1849</v>
      </c>
      <c r="J308" t="s">
        <v>1853</v>
      </c>
      <c r="K308" t="s">
        <v>1851</v>
      </c>
    </row>
    <row r="309" spans="1:11">
      <c r="A309" t="s">
        <v>1846</v>
      </c>
      <c r="B309" t="s">
        <v>431</v>
      </c>
      <c r="C309" s="120">
        <v>43951.694444444445</v>
      </c>
      <c r="D309" t="s">
        <v>1854</v>
      </c>
      <c r="E309" t="s">
        <v>177</v>
      </c>
      <c r="F309" t="s">
        <v>182</v>
      </c>
      <c r="G309" s="120">
        <v>43950.683333333334</v>
      </c>
      <c r="H309" t="s">
        <v>1848</v>
      </c>
      <c r="I309" t="s">
        <v>1855</v>
      </c>
      <c r="J309" t="s">
        <v>245</v>
      </c>
      <c r="K309" t="s">
        <v>1851</v>
      </c>
    </row>
    <row r="310" spans="1:11">
      <c r="A310" t="s">
        <v>1856</v>
      </c>
      <c r="B310" t="s">
        <v>204</v>
      </c>
      <c r="C310" s="120">
        <v>43951.693055555559</v>
      </c>
      <c r="D310" t="s">
        <v>1857</v>
      </c>
      <c r="E310" t="s">
        <v>206</v>
      </c>
      <c r="F310" t="s">
        <v>181</v>
      </c>
      <c r="G310" s="120">
        <v>43943.446527777778</v>
      </c>
      <c r="H310" t="s">
        <v>1858</v>
      </c>
      <c r="I310" t="s">
        <v>1859</v>
      </c>
      <c r="J310" t="s">
        <v>1860</v>
      </c>
      <c r="K310" t="s">
        <v>1861</v>
      </c>
    </row>
    <row r="311" spans="1:11">
      <c r="A311" t="s">
        <v>1862</v>
      </c>
      <c r="B311" t="s">
        <v>204</v>
      </c>
      <c r="C311" s="120">
        <v>43951.691666666666</v>
      </c>
      <c r="D311" t="s">
        <v>1863</v>
      </c>
      <c r="E311" t="s">
        <v>206</v>
      </c>
      <c r="F311" t="s">
        <v>183</v>
      </c>
      <c r="G311" s="120">
        <v>43951.689583333333</v>
      </c>
      <c r="H311" t="s">
        <v>1864</v>
      </c>
      <c r="I311" t="s">
        <v>1865</v>
      </c>
      <c r="J311" t="s">
        <v>245</v>
      </c>
      <c r="K311" t="s">
        <v>1866</v>
      </c>
    </row>
    <row r="312" spans="1:11">
      <c r="A312" t="s">
        <v>1867</v>
      </c>
      <c r="B312" t="s">
        <v>431</v>
      </c>
      <c r="C312" s="120">
        <v>43951.686805555553</v>
      </c>
      <c r="D312" t="s">
        <v>1868</v>
      </c>
      <c r="E312" t="s">
        <v>206</v>
      </c>
      <c r="F312" t="s">
        <v>182</v>
      </c>
      <c r="G312" s="120">
        <v>43951.68472222222</v>
      </c>
      <c r="H312" t="s">
        <v>1869</v>
      </c>
      <c r="I312" t="s">
        <v>1870</v>
      </c>
      <c r="J312" t="s">
        <v>245</v>
      </c>
      <c r="K312" t="s">
        <v>1871</v>
      </c>
    </row>
    <row r="313" spans="1:11">
      <c r="A313" t="s">
        <v>1872</v>
      </c>
      <c r="B313" t="s">
        <v>431</v>
      </c>
      <c r="C313" s="120">
        <v>43951.684027777781</v>
      </c>
      <c r="D313" t="s">
        <v>1873</v>
      </c>
      <c r="E313" t="s">
        <v>206</v>
      </c>
      <c r="F313" t="s">
        <v>182</v>
      </c>
      <c r="G313" s="120">
        <v>43940.664583333331</v>
      </c>
      <c r="H313" t="s">
        <v>1874</v>
      </c>
      <c r="I313" t="s">
        <v>1875</v>
      </c>
      <c r="J313" t="s">
        <v>1876</v>
      </c>
      <c r="K313" t="s">
        <v>1877</v>
      </c>
    </row>
    <row r="314" spans="1:11">
      <c r="A314" t="s">
        <v>1878</v>
      </c>
      <c r="B314" t="s">
        <v>204</v>
      </c>
      <c r="C314" s="120">
        <v>43951.681250000001</v>
      </c>
      <c r="D314" t="s">
        <v>1879</v>
      </c>
      <c r="E314" t="s">
        <v>206</v>
      </c>
      <c r="F314" t="s">
        <v>183</v>
      </c>
      <c r="G314" s="120">
        <v>43938.595833333333</v>
      </c>
      <c r="H314" t="s">
        <v>1880</v>
      </c>
      <c r="I314" t="s">
        <v>1881</v>
      </c>
      <c r="J314" t="s">
        <v>1882</v>
      </c>
      <c r="K314" t="s">
        <v>1883</v>
      </c>
    </row>
    <row r="315" spans="1:11">
      <c r="A315" t="s">
        <v>1884</v>
      </c>
      <c r="B315" t="s">
        <v>204</v>
      </c>
      <c r="C315" s="120">
        <v>43951.664583333331</v>
      </c>
      <c r="D315" t="s">
        <v>1885</v>
      </c>
      <c r="E315" t="s">
        <v>206</v>
      </c>
      <c r="F315" t="s">
        <v>183</v>
      </c>
      <c r="G315" s="120">
        <v>43937.588888888888</v>
      </c>
      <c r="H315" t="s">
        <v>1886</v>
      </c>
      <c r="I315" t="s">
        <v>1887</v>
      </c>
      <c r="J315" t="s">
        <v>1888</v>
      </c>
      <c r="K315" t="s">
        <v>1889</v>
      </c>
    </row>
    <row r="316" spans="1:11">
      <c r="A316" t="s">
        <v>1890</v>
      </c>
      <c r="B316" t="s">
        <v>204</v>
      </c>
      <c r="C316" s="120">
        <v>43951.654166666667</v>
      </c>
      <c r="D316" t="s">
        <v>1891</v>
      </c>
      <c r="E316" t="s">
        <v>206</v>
      </c>
      <c r="F316" t="s">
        <v>182</v>
      </c>
      <c r="G316" s="120">
        <v>43930.655555555553</v>
      </c>
      <c r="H316" t="s">
        <v>1892</v>
      </c>
      <c r="I316" t="s">
        <v>1893</v>
      </c>
      <c r="J316" t="s">
        <v>1894</v>
      </c>
      <c r="K316" t="s">
        <v>1895</v>
      </c>
    </row>
    <row r="317" spans="1:11">
      <c r="A317" t="s">
        <v>1896</v>
      </c>
      <c r="B317" t="s">
        <v>204</v>
      </c>
      <c r="C317" s="120">
        <v>43951.645833333336</v>
      </c>
      <c r="D317" t="s">
        <v>1897</v>
      </c>
      <c r="E317" t="s">
        <v>206</v>
      </c>
      <c r="F317" t="s">
        <v>183</v>
      </c>
      <c r="G317" s="120">
        <v>43930.520833333336</v>
      </c>
      <c r="H317" t="s">
        <v>1898</v>
      </c>
      <c r="I317" t="s">
        <v>1899</v>
      </c>
      <c r="J317" t="s">
        <v>1900</v>
      </c>
      <c r="K317" t="s">
        <v>1901</v>
      </c>
    </row>
    <row r="318" spans="1:11">
      <c r="A318" t="s">
        <v>1902</v>
      </c>
      <c r="B318" t="s">
        <v>204</v>
      </c>
      <c r="C318" s="120">
        <v>43951.643055555556</v>
      </c>
      <c r="D318" t="s">
        <v>1903</v>
      </c>
      <c r="E318" t="s">
        <v>206</v>
      </c>
      <c r="F318" t="s">
        <v>183</v>
      </c>
      <c r="G318" s="120">
        <v>43931.416666666664</v>
      </c>
      <c r="H318" t="s">
        <v>1904</v>
      </c>
      <c r="I318" t="s">
        <v>1905</v>
      </c>
      <c r="J318" t="s">
        <v>1906</v>
      </c>
      <c r="K318" t="s">
        <v>1907</v>
      </c>
    </row>
    <row r="319" spans="1:11">
      <c r="A319" t="s">
        <v>1908</v>
      </c>
      <c r="B319" t="s">
        <v>204</v>
      </c>
      <c r="C319" s="120">
        <v>43951.64166666667</v>
      </c>
      <c r="D319" t="s">
        <v>1909</v>
      </c>
      <c r="E319" t="s">
        <v>206</v>
      </c>
      <c r="F319" t="s">
        <v>182</v>
      </c>
      <c r="G319" s="120">
        <v>43924.478472222225</v>
      </c>
      <c r="H319" t="s">
        <v>1910</v>
      </c>
      <c r="I319" t="s">
        <v>1911</v>
      </c>
      <c r="J319" t="s">
        <v>1912</v>
      </c>
      <c r="K319" t="s">
        <v>1913</v>
      </c>
    </row>
    <row r="320" spans="1:11">
      <c r="A320" t="s">
        <v>1914</v>
      </c>
      <c r="B320" t="s">
        <v>772</v>
      </c>
      <c r="C320" s="120">
        <v>43951.600694444445</v>
      </c>
      <c r="D320" t="s">
        <v>1915</v>
      </c>
      <c r="E320" t="s">
        <v>594</v>
      </c>
      <c r="F320" t="s">
        <v>180</v>
      </c>
      <c r="G320" s="120">
        <v>43922.479861111111</v>
      </c>
      <c r="H320" t="s">
        <v>1916</v>
      </c>
      <c r="I320" t="s">
        <v>1917</v>
      </c>
      <c r="J320" t="s">
        <v>1918</v>
      </c>
      <c r="K320" t="s">
        <v>1919</v>
      </c>
    </row>
    <row r="321" spans="1:11">
      <c r="A321" t="s">
        <v>1914</v>
      </c>
      <c r="B321" t="s">
        <v>772</v>
      </c>
      <c r="C321" s="120">
        <v>43951.600694444445</v>
      </c>
      <c r="D321" t="s">
        <v>1920</v>
      </c>
      <c r="E321" t="s">
        <v>329</v>
      </c>
      <c r="F321" t="s">
        <v>180</v>
      </c>
      <c r="G321" s="120">
        <v>43922.648611111108</v>
      </c>
      <c r="H321" t="s">
        <v>1916</v>
      </c>
      <c r="I321" t="s">
        <v>1921</v>
      </c>
      <c r="J321" t="s">
        <v>1922</v>
      </c>
      <c r="K321" t="s">
        <v>1919</v>
      </c>
    </row>
    <row r="322" spans="1:11">
      <c r="A322" t="s">
        <v>1923</v>
      </c>
      <c r="B322" t="s">
        <v>204</v>
      </c>
      <c r="C322" s="120">
        <v>43951.6</v>
      </c>
      <c r="D322" t="s">
        <v>1924</v>
      </c>
      <c r="E322" t="s">
        <v>206</v>
      </c>
      <c r="F322" t="s">
        <v>180</v>
      </c>
      <c r="G322" s="120">
        <v>43924.581944444442</v>
      </c>
      <c r="H322" t="s">
        <v>1925</v>
      </c>
      <c r="I322" t="s">
        <v>1926</v>
      </c>
      <c r="J322" t="s">
        <v>245</v>
      </c>
      <c r="K322" t="s">
        <v>1927</v>
      </c>
    </row>
    <row r="323" spans="1:11">
      <c r="A323" t="s">
        <v>1928</v>
      </c>
      <c r="B323" t="s">
        <v>508</v>
      </c>
      <c r="C323" s="120">
        <v>43950.583333333336</v>
      </c>
      <c r="D323" t="s">
        <v>1929</v>
      </c>
      <c r="E323" t="s">
        <v>176</v>
      </c>
      <c r="F323" t="s">
        <v>182</v>
      </c>
      <c r="G323" s="120">
        <v>43950.535416666666</v>
      </c>
      <c r="H323" t="s">
        <v>1930</v>
      </c>
      <c r="I323" t="s">
        <v>1931</v>
      </c>
      <c r="J323" t="s">
        <v>1932</v>
      </c>
      <c r="K323" t="s">
        <v>1933</v>
      </c>
    </row>
    <row r="324" spans="1:11">
      <c r="A324" t="s">
        <v>1934</v>
      </c>
      <c r="B324" t="s">
        <v>204</v>
      </c>
      <c r="C324" s="120">
        <v>43950.582638888889</v>
      </c>
      <c r="D324" t="s">
        <v>1935</v>
      </c>
      <c r="E324" t="s">
        <v>176</v>
      </c>
      <c r="F324" t="s">
        <v>182</v>
      </c>
      <c r="G324" s="120">
        <v>43928.571527777778</v>
      </c>
      <c r="H324" t="s">
        <v>1936</v>
      </c>
      <c r="I324" t="s">
        <v>1937</v>
      </c>
      <c r="J324" t="s">
        <v>1938</v>
      </c>
      <c r="K324" t="s">
        <v>1939</v>
      </c>
    </row>
    <row r="325" spans="1:11">
      <c r="A325" t="s">
        <v>1835</v>
      </c>
      <c r="B325" t="s">
        <v>772</v>
      </c>
      <c r="C325" s="120">
        <v>43950.481249999997</v>
      </c>
      <c r="D325" t="s">
        <v>1940</v>
      </c>
      <c r="E325" t="s">
        <v>206</v>
      </c>
      <c r="F325" t="s">
        <v>179</v>
      </c>
      <c r="G325" s="120">
        <v>43950.477777777778</v>
      </c>
      <c r="H325" t="s">
        <v>1837</v>
      </c>
      <c r="I325" t="s">
        <v>1941</v>
      </c>
      <c r="J325" t="s">
        <v>1942</v>
      </c>
      <c r="K325" t="s">
        <v>1839</v>
      </c>
    </row>
    <row r="326" spans="1:11">
      <c r="A326" t="s">
        <v>1943</v>
      </c>
      <c r="B326" t="s">
        <v>204</v>
      </c>
      <c r="C326" s="120">
        <v>43949.572916666664</v>
      </c>
      <c r="D326" t="s">
        <v>1944</v>
      </c>
      <c r="E326" t="s">
        <v>206</v>
      </c>
      <c r="F326" t="s">
        <v>181</v>
      </c>
      <c r="G326" s="120">
        <v>43948.661805555559</v>
      </c>
      <c r="H326" t="s">
        <v>1945</v>
      </c>
      <c r="I326" t="s">
        <v>1946</v>
      </c>
      <c r="J326" t="s">
        <v>1947</v>
      </c>
      <c r="K326" t="s">
        <v>1948</v>
      </c>
    </row>
    <row r="327" spans="1:11">
      <c r="A327" t="s">
        <v>1949</v>
      </c>
      <c r="B327" t="s">
        <v>265</v>
      </c>
      <c r="C327" s="120">
        <v>43949.481249999997</v>
      </c>
      <c r="D327" t="s">
        <v>1950</v>
      </c>
      <c r="E327" t="s">
        <v>176</v>
      </c>
      <c r="F327" t="s">
        <v>182</v>
      </c>
      <c r="G327" s="120">
        <v>43910.852083333331</v>
      </c>
      <c r="H327" t="s">
        <v>1951</v>
      </c>
      <c r="I327" t="s">
        <v>1952</v>
      </c>
      <c r="J327" t="s">
        <v>1953</v>
      </c>
      <c r="K327" t="s">
        <v>1954</v>
      </c>
    </row>
    <row r="328" spans="1:11">
      <c r="A328" t="s">
        <v>1955</v>
      </c>
      <c r="B328" t="s">
        <v>204</v>
      </c>
      <c r="C328" s="120">
        <v>43949.475694444445</v>
      </c>
      <c r="D328" t="s">
        <v>1956</v>
      </c>
      <c r="E328" t="s">
        <v>176</v>
      </c>
      <c r="F328" t="s">
        <v>182</v>
      </c>
      <c r="G328" s="120">
        <v>43924.52847222222</v>
      </c>
      <c r="H328" t="s">
        <v>1957</v>
      </c>
      <c r="I328" t="s">
        <v>1958</v>
      </c>
      <c r="J328" t="s">
        <v>1959</v>
      </c>
      <c r="K328" t="s">
        <v>1960</v>
      </c>
    </row>
    <row r="329" spans="1:11">
      <c r="A329" t="s">
        <v>1961</v>
      </c>
      <c r="B329" t="s">
        <v>309</v>
      </c>
      <c r="C329" s="120">
        <v>43949.473611111112</v>
      </c>
      <c r="D329" t="s">
        <v>1962</v>
      </c>
      <c r="E329" t="s">
        <v>176</v>
      </c>
      <c r="F329" t="s">
        <v>182</v>
      </c>
      <c r="G329" s="120">
        <v>43937.584027777775</v>
      </c>
      <c r="H329" t="s">
        <v>688</v>
      </c>
      <c r="I329" t="s">
        <v>1963</v>
      </c>
      <c r="J329" t="s">
        <v>1964</v>
      </c>
      <c r="K329" t="s">
        <v>1965</v>
      </c>
    </row>
    <row r="330" spans="1:11">
      <c r="A330" t="s">
        <v>1966</v>
      </c>
      <c r="B330" t="s">
        <v>234</v>
      </c>
      <c r="C330" s="120">
        <v>43949.461805555555</v>
      </c>
      <c r="D330" t="s">
        <v>1967</v>
      </c>
      <c r="E330" t="s">
        <v>176</v>
      </c>
      <c r="F330" t="s">
        <v>182</v>
      </c>
      <c r="G330" s="120">
        <v>43938.568055555559</v>
      </c>
      <c r="H330" t="s">
        <v>1968</v>
      </c>
      <c r="I330" t="s">
        <v>1969</v>
      </c>
      <c r="J330" t="s">
        <v>1970</v>
      </c>
      <c r="K330" t="s">
        <v>1971</v>
      </c>
    </row>
    <row r="331" spans="1:11">
      <c r="A331" t="s">
        <v>462</v>
      </c>
      <c r="B331" t="s">
        <v>197</v>
      </c>
      <c r="C331" s="120">
        <v>43949.433333333334</v>
      </c>
      <c r="D331" t="s">
        <v>463</v>
      </c>
      <c r="E331" t="s">
        <v>176</v>
      </c>
      <c r="F331" t="s">
        <v>182</v>
      </c>
      <c r="G331" s="120">
        <v>43910.388888888891</v>
      </c>
      <c r="H331" t="s">
        <v>464</v>
      </c>
      <c r="I331" t="s">
        <v>1972</v>
      </c>
      <c r="J331" t="s">
        <v>1973</v>
      </c>
      <c r="K331" t="s">
        <v>467</v>
      </c>
    </row>
    <row r="332" spans="1:11">
      <c r="A332" t="s">
        <v>1974</v>
      </c>
      <c r="B332" t="s">
        <v>204</v>
      </c>
      <c r="C332" s="120">
        <v>43949.431250000001</v>
      </c>
      <c r="D332" t="s">
        <v>1975</v>
      </c>
      <c r="E332" t="s">
        <v>176</v>
      </c>
      <c r="F332" t="s">
        <v>182</v>
      </c>
      <c r="G332" s="120">
        <v>43914.57916666667</v>
      </c>
      <c r="H332" t="s">
        <v>1976</v>
      </c>
      <c r="I332" t="s">
        <v>1977</v>
      </c>
      <c r="J332" t="s">
        <v>1978</v>
      </c>
      <c r="K332" t="s">
        <v>1979</v>
      </c>
    </row>
    <row r="333" spans="1:11">
      <c r="A333" t="s">
        <v>1980</v>
      </c>
      <c r="B333" t="s">
        <v>372</v>
      </c>
      <c r="C333" s="120">
        <v>43949.398611111108</v>
      </c>
      <c r="D333" t="s">
        <v>1981</v>
      </c>
      <c r="E333" t="s">
        <v>176</v>
      </c>
      <c r="F333" t="s">
        <v>182</v>
      </c>
      <c r="G333" s="120">
        <v>43909.4</v>
      </c>
      <c r="H333" t="s">
        <v>1982</v>
      </c>
      <c r="I333" t="s">
        <v>1981</v>
      </c>
      <c r="J333" t="s">
        <v>1983</v>
      </c>
      <c r="K333" t="s">
        <v>1984</v>
      </c>
    </row>
    <row r="334" spans="1:11">
      <c r="A334" t="s">
        <v>1985</v>
      </c>
      <c r="B334" t="s">
        <v>1986</v>
      </c>
      <c r="C334" s="120">
        <v>43949.36041666667</v>
      </c>
      <c r="D334" t="s">
        <v>1987</v>
      </c>
      <c r="E334" t="s">
        <v>176</v>
      </c>
      <c r="F334" t="s">
        <v>182</v>
      </c>
      <c r="G334" s="120">
        <v>43952.609027777777</v>
      </c>
      <c r="H334" t="s">
        <v>1988</v>
      </c>
      <c r="I334" t="s">
        <v>1989</v>
      </c>
      <c r="J334" t="s">
        <v>1990</v>
      </c>
      <c r="K334" t="s">
        <v>1991</v>
      </c>
    </row>
    <row r="335" spans="1:11">
      <c r="A335" t="s">
        <v>1992</v>
      </c>
      <c r="B335" t="s">
        <v>197</v>
      </c>
      <c r="C335" s="120">
        <v>43949.308333333334</v>
      </c>
      <c r="D335" t="s">
        <v>1993</v>
      </c>
      <c r="E335" t="s">
        <v>177</v>
      </c>
      <c r="F335" t="s">
        <v>182</v>
      </c>
      <c r="G335" s="120">
        <v>43943.663194444445</v>
      </c>
      <c r="H335" t="s">
        <v>1994</v>
      </c>
      <c r="I335" t="s">
        <v>1995</v>
      </c>
      <c r="J335" t="s">
        <v>1996</v>
      </c>
      <c r="K335" t="s">
        <v>1997</v>
      </c>
    </row>
    <row r="336" spans="1:11">
      <c r="A336" t="s">
        <v>1992</v>
      </c>
      <c r="B336" t="s">
        <v>197</v>
      </c>
      <c r="C336" s="120">
        <v>43949.307638888888</v>
      </c>
      <c r="D336" t="s">
        <v>1998</v>
      </c>
      <c r="E336" t="s">
        <v>176</v>
      </c>
      <c r="F336" t="s">
        <v>182</v>
      </c>
      <c r="G336" s="120">
        <v>43943.586111111108</v>
      </c>
      <c r="H336" t="s">
        <v>1994</v>
      </c>
      <c r="I336" t="s">
        <v>1999</v>
      </c>
      <c r="J336" t="s">
        <v>2000</v>
      </c>
      <c r="K336" t="s">
        <v>1997</v>
      </c>
    </row>
    <row r="337" spans="1:11">
      <c r="A337" t="s">
        <v>2001</v>
      </c>
      <c r="B337" t="s">
        <v>336</v>
      </c>
      <c r="C337" s="120">
        <v>43949.305555555555</v>
      </c>
      <c r="D337" t="s">
        <v>2002</v>
      </c>
      <c r="E337" t="s">
        <v>176</v>
      </c>
      <c r="F337" t="s">
        <v>182</v>
      </c>
      <c r="G337" s="120">
        <v>43903.600694444445</v>
      </c>
      <c r="H337" t="s">
        <v>2003</v>
      </c>
      <c r="I337" t="s">
        <v>2004</v>
      </c>
      <c r="J337" t="s">
        <v>2005</v>
      </c>
      <c r="K337" t="s">
        <v>2006</v>
      </c>
    </row>
    <row r="338" spans="1:11">
      <c r="A338" t="s">
        <v>2007</v>
      </c>
      <c r="B338" t="s">
        <v>204</v>
      </c>
      <c r="C338" s="120">
        <v>43948.494444444441</v>
      </c>
      <c r="D338" t="s">
        <v>2008</v>
      </c>
      <c r="E338" t="s">
        <v>177</v>
      </c>
      <c r="F338" t="s">
        <v>183</v>
      </c>
      <c r="G338" s="120">
        <v>43931.361805555556</v>
      </c>
      <c r="H338" t="s">
        <v>2009</v>
      </c>
      <c r="I338" t="s">
        <v>2010</v>
      </c>
      <c r="J338" t="s">
        <v>2011</v>
      </c>
      <c r="K338" t="s">
        <v>2012</v>
      </c>
    </row>
    <row r="339" spans="1:11">
      <c r="A339" t="s">
        <v>2007</v>
      </c>
      <c r="B339" t="s">
        <v>204</v>
      </c>
      <c r="C339" s="120">
        <v>43948.493055555555</v>
      </c>
      <c r="D339" t="s">
        <v>2013</v>
      </c>
      <c r="E339" t="s">
        <v>177</v>
      </c>
      <c r="F339" t="s">
        <v>183</v>
      </c>
      <c r="G339" s="120">
        <v>43931.363888888889</v>
      </c>
      <c r="H339" t="s">
        <v>2009</v>
      </c>
      <c r="I339" t="s">
        <v>2014</v>
      </c>
      <c r="J339" t="s">
        <v>2015</v>
      </c>
      <c r="K339" t="s">
        <v>2012</v>
      </c>
    </row>
    <row r="340" spans="1:11">
      <c r="A340" t="s">
        <v>2016</v>
      </c>
      <c r="B340" t="s">
        <v>204</v>
      </c>
      <c r="C340" s="120">
        <v>43945.650694444441</v>
      </c>
      <c r="D340" t="s">
        <v>2017</v>
      </c>
      <c r="E340" t="s">
        <v>176</v>
      </c>
      <c r="F340" t="s">
        <v>179</v>
      </c>
      <c r="G340" s="120">
        <v>43945.650694444441</v>
      </c>
      <c r="H340" t="s">
        <v>2018</v>
      </c>
      <c r="I340" t="s">
        <v>2019</v>
      </c>
      <c r="J340" t="s">
        <v>245</v>
      </c>
      <c r="K340" t="s">
        <v>2020</v>
      </c>
    </row>
    <row r="341" spans="1:11">
      <c r="A341" t="s">
        <v>2016</v>
      </c>
      <c r="B341" t="s">
        <v>204</v>
      </c>
      <c r="C341" s="120">
        <v>43945.650694444441</v>
      </c>
      <c r="D341" t="s">
        <v>2021</v>
      </c>
      <c r="E341" t="s">
        <v>177</v>
      </c>
      <c r="F341" t="s">
        <v>182</v>
      </c>
      <c r="G341" s="120">
        <v>43945.65</v>
      </c>
      <c r="H341" t="s">
        <v>2018</v>
      </c>
      <c r="I341" t="s">
        <v>2022</v>
      </c>
      <c r="J341" t="s">
        <v>245</v>
      </c>
      <c r="K341" t="s">
        <v>2020</v>
      </c>
    </row>
    <row r="342" spans="1:11">
      <c r="A342" t="s">
        <v>2023</v>
      </c>
      <c r="B342" t="s">
        <v>508</v>
      </c>
      <c r="C342" s="120">
        <v>43945.645833333336</v>
      </c>
      <c r="D342" t="s">
        <v>2024</v>
      </c>
      <c r="E342" t="s">
        <v>176</v>
      </c>
      <c r="F342" t="s">
        <v>182</v>
      </c>
      <c r="G342" s="120">
        <v>43910.563888888886</v>
      </c>
      <c r="H342" t="s">
        <v>2025</v>
      </c>
      <c r="I342" t="s">
        <v>2026</v>
      </c>
      <c r="J342" t="s">
        <v>2027</v>
      </c>
      <c r="K342" t="s">
        <v>2028</v>
      </c>
    </row>
    <row r="343" spans="1:11">
      <c r="A343" t="s">
        <v>2029</v>
      </c>
      <c r="B343" t="s">
        <v>234</v>
      </c>
      <c r="C343" s="120">
        <v>43945.636111111111</v>
      </c>
      <c r="D343" t="s">
        <v>2030</v>
      </c>
      <c r="E343" t="s">
        <v>176</v>
      </c>
      <c r="F343" t="s">
        <v>182</v>
      </c>
      <c r="G343" s="120">
        <v>43937.585416666669</v>
      </c>
      <c r="H343" t="s">
        <v>2031</v>
      </c>
      <c r="I343" t="s">
        <v>2032</v>
      </c>
      <c r="J343" t="s">
        <v>2033</v>
      </c>
      <c r="K343" t="s">
        <v>2034</v>
      </c>
    </row>
    <row r="344" spans="1:11">
      <c r="A344" t="s">
        <v>2035</v>
      </c>
      <c r="B344" t="s">
        <v>448</v>
      </c>
      <c r="C344" s="120">
        <v>43945.630555555559</v>
      </c>
      <c r="D344" t="s">
        <v>2036</v>
      </c>
      <c r="E344" t="s">
        <v>176</v>
      </c>
      <c r="F344" t="s">
        <v>182</v>
      </c>
      <c r="G344" s="120">
        <v>43936.618055555555</v>
      </c>
      <c r="H344" t="s">
        <v>2037</v>
      </c>
      <c r="I344" t="s">
        <v>2038</v>
      </c>
      <c r="J344" t="s">
        <v>2039</v>
      </c>
      <c r="K344" t="s">
        <v>2040</v>
      </c>
    </row>
    <row r="345" spans="1:11">
      <c r="A345" t="s">
        <v>2041</v>
      </c>
      <c r="B345" t="s">
        <v>204</v>
      </c>
      <c r="C345" s="120">
        <v>43945.629166666666</v>
      </c>
      <c r="D345" t="s">
        <v>2042</v>
      </c>
      <c r="E345" t="s">
        <v>176</v>
      </c>
      <c r="F345" t="s">
        <v>182</v>
      </c>
      <c r="G345" s="120">
        <v>43931.445833333331</v>
      </c>
      <c r="H345" t="s">
        <v>2043</v>
      </c>
      <c r="I345" t="s">
        <v>2044</v>
      </c>
      <c r="J345" t="s">
        <v>2045</v>
      </c>
      <c r="K345" t="s">
        <v>2046</v>
      </c>
    </row>
    <row r="346" spans="1:11">
      <c r="A346" t="s">
        <v>2047</v>
      </c>
      <c r="B346" t="s">
        <v>772</v>
      </c>
      <c r="C346" s="120">
        <v>43945.62222222222</v>
      </c>
      <c r="D346" t="s">
        <v>2048</v>
      </c>
      <c r="E346" t="s">
        <v>176</v>
      </c>
      <c r="F346" t="s">
        <v>182</v>
      </c>
      <c r="G346" s="120">
        <v>43910.411805555559</v>
      </c>
      <c r="H346" t="s">
        <v>2049</v>
      </c>
      <c r="I346" t="s">
        <v>2050</v>
      </c>
      <c r="J346" t="s">
        <v>2051</v>
      </c>
      <c r="K346" t="s">
        <v>2052</v>
      </c>
    </row>
    <row r="347" spans="1:11">
      <c r="A347" t="s">
        <v>2053</v>
      </c>
      <c r="B347" t="s">
        <v>2054</v>
      </c>
      <c r="C347" s="120">
        <v>43945.618055555555</v>
      </c>
      <c r="D347" t="s">
        <v>2055</v>
      </c>
      <c r="E347" t="s">
        <v>176</v>
      </c>
      <c r="F347" t="s">
        <v>182</v>
      </c>
      <c r="G347" s="120">
        <v>43928.368055555555</v>
      </c>
      <c r="H347" t="s">
        <v>2056</v>
      </c>
      <c r="I347" t="s">
        <v>2057</v>
      </c>
      <c r="J347" t="s">
        <v>2058</v>
      </c>
      <c r="K347" t="s">
        <v>2059</v>
      </c>
    </row>
    <row r="348" spans="1:11">
      <c r="A348" t="s">
        <v>2060</v>
      </c>
      <c r="B348" t="s">
        <v>431</v>
      </c>
      <c r="C348" s="120">
        <v>43945.614583333336</v>
      </c>
      <c r="D348" t="s">
        <v>2061</v>
      </c>
      <c r="E348" t="s">
        <v>176</v>
      </c>
      <c r="F348" t="s">
        <v>182</v>
      </c>
      <c r="G348" s="120">
        <v>43928.554166666669</v>
      </c>
      <c r="H348" t="s">
        <v>2062</v>
      </c>
      <c r="I348" t="s">
        <v>2063</v>
      </c>
      <c r="J348" t="s">
        <v>2064</v>
      </c>
      <c r="K348" t="s">
        <v>2065</v>
      </c>
    </row>
    <row r="349" spans="1:11">
      <c r="A349" t="s">
        <v>2066</v>
      </c>
      <c r="B349" t="s">
        <v>197</v>
      </c>
      <c r="C349" s="120">
        <v>43945.564583333333</v>
      </c>
      <c r="D349" t="s">
        <v>2067</v>
      </c>
      <c r="E349" t="s">
        <v>176</v>
      </c>
      <c r="F349" t="s">
        <v>182</v>
      </c>
      <c r="G349" s="120">
        <v>43910.383333333331</v>
      </c>
      <c r="H349" t="s">
        <v>2068</v>
      </c>
      <c r="I349" t="s">
        <v>2069</v>
      </c>
      <c r="J349" t="s">
        <v>2070</v>
      </c>
      <c r="K349" t="s">
        <v>2071</v>
      </c>
    </row>
    <row r="350" spans="1:11">
      <c r="A350" t="s">
        <v>2072</v>
      </c>
      <c r="B350" t="s">
        <v>197</v>
      </c>
      <c r="C350" s="120">
        <v>43945.417361111111</v>
      </c>
      <c r="D350" t="s">
        <v>2073</v>
      </c>
      <c r="E350" t="s">
        <v>176</v>
      </c>
      <c r="F350" t="s">
        <v>182</v>
      </c>
      <c r="G350" s="120">
        <v>43944.306944444441</v>
      </c>
      <c r="H350" t="s">
        <v>2074</v>
      </c>
      <c r="I350" t="s">
        <v>2075</v>
      </c>
      <c r="J350" t="s">
        <v>2076</v>
      </c>
      <c r="K350" t="s">
        <v>2077</v>
      </c>
    </row>
    <row r="351" spans="1:11">
      <c r="A351" t="s">
        <v>1683</v>
      </c>
      <c r="B351" t="s">
        <v>204</v>
      </c>
      <c r="C351" s="120">
        <v>43945.359027777777</v>
      </c>
      <c r="D351" t="s">
        <v>2078</v>
      </c>
      <c r="E351" t="s">
        <v>176</v>
      </c>
      <c r="F351" t="s">
        <v>181</v>
      </c>
      <c r="G351" s="120">
        <v>43945.35833333333</v>
      </c>
      <c r="H351" t="s">
        <v>1685</v>
      </c>
      <c r="I351" t="s">
        <v>2079</v>
      </c>
      <c r="J351" t="s">
        <v>245</v>
      </c>
      <c r="K351" t="s">
        <v>1688</v>
      </c>
    </row>
    <row r="352" spans="1:11">
      <c r="A352" t="s">
        <v>2080</v>
      </c>
      <c r="B352" t="s">
        <v>204</v>
      </c>
      <c r="C352" s="120">
        <v>43944.661111111112</v>
      </c>
      <c r="D352" t="s">
        <v>2081</v>
      </c>
      <c r="E352" t="s">
        <v>177</v>
      </c>
      <c r="F352" t="s">
        <v>181</v>
      </c>
      <c r="G352" s="120">
        <v>43938.575694444444</v>
      </c>
      <c r="H352" t="s">
        <v>2082</v>
      </c>
      <c r="I352" t="s">
        <v>2083</v>
      </c>
      <c r="J352" t="s">
        <v>2084</v>
      </c>
      <c r="K352" t="s">
        <v>2085</v>
      </c>
    </row>
    <row r="353" spans="1:11">
      <c r="A353" t="s">
        <v>2086</v>
      </c>
      <c r="B353" t="s">
        <v>204</v>
      </c>
      <c r="C353" s="120">
        <v>43943.530555555553</v>
      </c>
      <c r="D353" t="s">
        <v>2087</v>
      </c>
      <c r="E353" t="s">
        <v>176</v>
      </c>
      <c r="F353" t="s">
        <v>182</v>
      </c>
      <c r="G353" s="120">
        <v>43931.585416666669</v>
      </c>
      <c r="H353" t="s">
        <v>2088</v>
      </c>
      <c r="I353" t="s">
        <v>2089</v>
      </c>
      <c r="J353" t="s">
        <v>2090</v>
      </c>
      <c r="K353" t="s">
        <v>2091</v>
      </c>
    </row>
    <row r="354" spans="1:11">
      <c r="A354" t="s">
        <v>2092</v>
      </c>
      <c r="B354" t="s">
        <v>234</v>
      </c>
      <c r="C354" s="120">
        <v>43943.529166666667</v>
      </c>
      <c r="D354" t="s">
        <v>2093</v>
      </c>
      <c r="E354" t="s">
        <v>176</v>
      </c>
      <c r="F354" t="s">
        <v>182</v>
      </c>
      <c r="G354" s="120">
        <v>43941.504166666666</v>
      </c>
      <c r="H354" t="s">
        <v>2094</v>
      </c>
      <c r="I354" t="s">
        <v>2095</v>
      </c>
      <c r="J354" t="s">
        <v>2096</v>
      </c>
      <c r="K354" t="s">
        <v>2097</v>
      </c>
    </row>
    <row r="355" spans="1:11">
      <c r="A355" t="s">
        <v>2023</v>
      </c>
      <c r="B355" t="s">
        <v>508</v>
      </c>
      <c r="C355" s="120">
        <v>43943.47152777778</v>
      </c>
      <c r="D355" t="s">
        <v>2098</v>
      </c>
      <c r="E355" t="s">
        <v>176</v>
      </c>
      <c r="F355" t="s">
        <v>182</v>
      </c>
      <c r="G355" s="120">
        <v>43910.397222222222</v>
      </c>
      <c r="H355" t="s">
        <v>2025</v>
      </c>
      <c r="I355" t="s">
        <v>2099</v>
      </c>
      <c r="J355" t="s">
        <v>2100</v>
      </c>
      <c r="K355" t="s">
        <v>2028</v>
      </c>
    </row>
    <row r="356" spans="1:11">
      <c r="A356" t="s">
        <v>2101</v>
      </c>
      <c r="B356" t="s">
        <v>448</v>
      </c>
      <c r="C356" s="120">
        <v>43943.469444444447</v>
      </c>
      <c r="D356" t="s">
        <v>2102</v>
      </c>
      <c r="E356" t="s">
        <v>176</v>
      </c>
      <c r="F356" t="s">
        <v>182</v>
      </c>
      <c r="G356" s="120">
        <v>43938.564583333333</v>
      </c>
      <c r="H356" t="s">
        <v>2103</v>
      </c>
      <c r="I356" t="s">
        <v>2104</v>
      </c>
      <c r="J356" t="s">
        <v>2105</v>
      </c>
      <c r="K356" t="s">
        <v>2106</v>
      </c>
    </row>
    <row r="357" spans="1:11">
      <c r="A357" t="s">
        <v>2107</v>
      </c>
      <c r="B357" t="s">
        <v>585</v>
      </c>
      <c r="C357" s="120">
        <v>43943.46597222222</v>
      </c>
      <c r="D357" t="s">
        <v>2108</v>
      </c>
      <c r="E357" t="s">
        <v>176</v>
      </c>
      <c r="F357" t="s">
        <v>182</v>
      </c>
      <c r="G357" s="120">
        <v>43902.336111111108</v>
      </c>
      <c r="H357" t="s">
        <v>2109</v>
      </c>
      <c r="I357" t="s">
        <v>2110</v>
      </c>
      <c r="J357" t="s">
        <v>2111</v>
      </c>
      <c r="K357" t="s">
        <v>2112</v>
      </c>
    </row>
    <row r="358" spans="1:11">
      <c r="A358" t="s">
        <v>2113</v>
      </c>
      <c r="B358" t="s">
        <v>309</v>
      </c>
      <c r="C358" s="120">
        <v>43943.451388888891</v>
      </c>
      <c r="D358" t="s">
        <v>2114</v>
      </c>
      <c r="E358" t="s">
        <v>176</v>
      </c>
      <c r="F358" t="s">
        <v>182</v>
      </c>
      <c r="G358" s="120">
        <v>43942.616666666669</v>
      </c>
      <c r="H358" t="s">
        <v>688</v>
      </c>
      <c r="I358" t="s">
        <v>2115</v>
      </c>
      <c r="J358" t="s">
        <v>2116</v>
      </c>
      <c r="K358" t="s">
        <v>2117</v>
      </c>
    </row>
    <row r="359" spans="1:11">
      <c r="A359" t="s">
        <v>2113</v>
      </c>
      <c r="B359" t="s">
        <v>309</v>
      </c>
      <c r="C359" s="120">
        <v>43943.338194444441</v>
      </c>
      <c r="D359" t="s">
        <v>2118</v>
      </c>
      <c r="E359" t="s">
        <v>177</v>
      </c>
      <c r="F359" t="s">
        <v>182</v>
      </c>
      <c r="G359" s="120">
        <v>43942.615972222222</v>
      </c>
      <c r="H359" t="s">
        <v>688</v>
      </c>
      <c r="I359" t="s">
        <v>2119</v>
      </c>
      <c r="J359" t="s">
        <v>2120</v>
      </c>
      <c r="K359" t="s">
        <v>2117</v>
      </c>
    </row>
    <row r="360" spans="1:11">
      <c r="A360" t="s">
        <v>2121</v>
      </c>
      <c r="B360" t="s">
        <v>204</v>
      </c>
      <c r="C360" s="120">
        <v>43942.57916666667</v>
      </c>
      <c r="D360" t="s">
        <v>2122</v>
      </c>
      <c r="E360" t="s">
        <v>177</v>
      </c>
      <c r="F360" t="s">
        <v>183</v>
      </c>
      <c r="G360" s="120">
        <v>43937.631249999999</v>
      </c>
      <c r="H360" t="s">
        <v>2123</v>
      </c>
      <c r="I360" t="s">
        <v>2124</v>
      </c>
      <c r="J360" t="s">
        <v>2125</v>
      </c>
      <c r="K360" t="s">
        <v>2126</v>
      </c>
    </row>
    <row r="361" spans="1:11">
      <c r="A361" t="s">
        <v>2127</v>
      </c>
      <c r="B361" t="s">
        <v>508</v>
      </c>
      <c r="C361" s="120">
        <v>43941.48333333333</v>
      </c>
      <c r="D361" t="s">
        <v>2128</v>
      </c>
      <c r="E361" t="s">
        <v>176</v>
      </c>
      <c r="F361" t="s">
        <v>182</v>
      </c>
      <c r="G361" s="120">
        <v>43931.477777777778</v>
      </c>
      <c r="H361" t="s">
        <v>2129</v>
      </c>
      <c r="I361" t="s">
        <v>2130</v>
      </c>
      <c r="J361" t="s">
        <v>2131</v>
      </c>
      <c r="K361" t="s">
        <v>2132</v>
      </c>
    </row>
    <row r="362" spans="1:11">
      <c r="A362" t="s">
        <v>2133</v>
      </c>
      <c r="B362" t="s">
        <v>585</v>
      </c>
      <c r="C362" s="120">
        <v>43938.583333333336</v>
      </c>
      <c r="D362" t="s">
        <v>2134</v>
      </c>
      <c r="E362" t="s">
        <v>206</v>
      </c>
      <c r="F362" t="s">
        <v>182</v>
      </c>
      <c r="G362" s="120">
        <v>43903.332638888889</v>
      </c>
      <c r="H362" t="s">
        <v>2135</v>
      </c>
      <c r="I362" t="s">
        <v>2136</v>
      </c>
      <c r="J362" t="s">
        <v>2137</v>
      </c>
      <c r="K362" t="s">
        <v>2138</v>
      </c>
    </row>
    <row r="363" spans="1:11">
      <c r="A363" t="s">
        <v>2139</v>
      </c>
      <c r="B363" t="s">
        <v>197</v>
      </c>
      <c r="C363" s="120">
        <v>43938.581944444442</v>
      </c>
      <c r="D363" t="s">
        <v>2140</v>
      </c>
      <c r="E363" t="s">
        <v>206</v>
      </c>
      <c r="F363" t="s">
        <v>182</v>
      </c>
      <c r="G363" s="120">
        <v>43901.410416666666</v>
      </c>
      <c r="H363" t="s">
        <v>2141</v>
      </c>
      <c r="I363" t="s">
        <v>2142</v>
      </c>
      <c r="J363" t="s">
        <v>2143</v>
      </c>
      <c r="K363" t="s">
        <v>2144</v>
      </c>
    </row>
    <row r="364" spans="1:11">
      <c r="A364" t="s">
        <v>2139</v>
      </c>
      <c r="B364" t="s">
        <v>197</v>
      </c>
      <c r="C364" s="120">
        <v>43938.581944444442</v>
      </c>
      <c r="D364" t="s">
        <v>2145</v>
      </c>
      <c r="E364" t="s">
        <v>594</v>
      </c>
      <c r="F364" t="s">
        <v>182</v>
      </c>
      <c r="G364" s="120">
        <v>43901.404166666667</v>
      </c>
      <c r="H364" t="s">
        <v>2141</v>
      </c>
      <c r="I364" t="s">
        <v>2146</v>
      </c>
      <c r="J364" t="s">
        <v>2147</v>
      </c>
      <c r="K364" t="s">
        <v>2144</v>
      </c>
    </row>
    <row r="365" spans="1:11">
      <c r="A365" t="s">
        <v>2148</v>
      </c>
      <c r="B365" t="s">
        <v>204</v>
      </c>
      <c r="C365" s="120">
        <v>43938.313194444447</v>
      </c>
      <c r="D365" t="s">
        <v>2149</v>
      </c>
      <c r="E365" t="s">
        <v>176</v>
      </c>
      <c r="F365" t="s">
        <v>182</v>
      </c>
      <c r="G365" s="120">
        <v>43930.69027777778</v>
      </c>
      <c r="H365" t="s">
        <v>2150</v>
      </c>
      <c r="I365" t="s">
        <v>2151</v>
      </c>
      <c r="J365" t="s">
        <v>2152</v>
      </c>
      <c r="K365" t="s">
        <v>2153</v>
      </c>
    </row>
    <row r="366" spans="1:11">
      <c r="A366" t="s">
        <v>2154</v>
      </c>
      <c r="B366" t="s">
        <v>897</v>
      </c>
      <c r="C366" s="120">
        <v>43938.29791666667</v>
      </c>
      <c r="D366" t="s">
        <v>2155</v>
      </c>
      <c r="E366" t="s">
        <v>176</v>
      </c>
      <c r="F366" t="s">
        <v>182</v>
      </c>
      <c r="G366" s="120">
        <v>43914.479861111111</v>
      </c>
      <c r="H366" t="s">
        <v>2156</v>
      </c>
      <c r="I366" t="s">
        <v>2157</v>
      </c>
      <c r="J366" t="s">
        <v>2158</v>
      </c>
      <c r="K366" t="s">
        <v>2159</v>
      </c>
    </row>
    <row r="367" spans="1:11">
      <c r="A367" t="s">
        <v>2160</v>
      </c>
      <c r="B367" t="s">
        <v>2161</v>
      </c>
      <c r="C367" s="120">
        <v>43937.679166666669</v>
      </c>
      <c r="D367" t="s">
        <v>2162</v>
      </c>
      <c r="E367" t="s">
        <v>177</v>
      </c>
      <c r="F367" t="s">
        <v>182</v>
      </c>
      <c r="G367" s="120">
        <v>43914.675694444442</v>
      </c>
      <c r="H367" t="s">
        <v>2163</v>
      </c>
      <c r="I367" t="s">
        <v>2164</v>
      </c>
      <c r="J367" t="s">
        <v>2165</v>
      </c>
      <c r="K367" t="s">
        <v>2166</v>
      </c>
    </row>
    <row r="368" spans="1:11">
      <c r="A368" t="s">
        <v>2167</v>
      </c>
      <c r="B368" t="s">
        <v>204</v>
      </c>
      <c r="C368" s="120">
        <v>43937.665972222225</v>
      </c>
      <c r="D368" t="s">
        <v>2168</v>
      </c>
      <c r="E368" t="s">
        <v>176</v>
      </c>
      <c r="F368" t="s">
        <v>182</v>
      </c>
      <c r="G368" s="120">
        <v>43916.529861111114</v>
      </c>
      <c r="H368" t="s">
        <v>2169</v>
      </c>
      <c r="I368" t="s">
        <v>2170</v>
      </c>
      <c r="J368" t="s">
        <v>2171</v>
      </c>
      <c r="K368" t="s">
        <v>2172</v>
      </c>
    </row>
    <row r="369" spans="1:11">
      <c r="A369" t="s">
        <v>2173</v>
      </c>
      <c r="B369" t="s">
        <v>431</v>
      </c>
      <c r="C369" s="120">
        <v>43937.664583333331</v>
      </c>
      <c r="D369" t="s">
        <v>2174</v>
      </c>
      <c r="E369" t="s">
        <v>177</v>
      </c>
      <c r="F369" t="s">
        <v>182</v>
      </c>
      <c r="G369" s="120">
        <v>43916.897222222222</v>
      </c>
      <c r="H369" t="s">
        <v>2175</v>
      </c>
      <c r="I369" t="s">
        <v>2176</v>
      </c>
      <c r="J369" t="s">
        <v>2177</v>
      </c>
      <c r="K369" t="s">
        <v>2178</v>
      </c>
    </row>
    <row r="370" spans="1:11">
      <c r="A370" t="s">
        <v>2179</v>
      </c>
      <c r="B370" t="s">
        <v>772</v>
      </c>
      <c r="C370" s="120">
        <v>43937.658333333333</v>
      </c>
      <c r="D370" t="s">
        <v>2180</v>
      </c>
      <c r="E370" t="s">
        <v>176</v>
      </c>
      <c r="F370" t="s">
        <v>182</v>
      </c>
      <c r="G370" s="120">
        <v>43903.300694444442</v>
      </c>
      <c r="H370" t="s">
        <v>2181</v>
      </c>
      <c r="I370" t="s">
        <v>2182</v>
      </c>
      <c r="J370" t="s">
        <v>2183</v>
      </c>
      <c r="K370" t="s">
        <v>2184</v>
      </c>
    </row>
    <row r="371" spans="1:11">
      <c r="A371" t="s">
        <v>2185</v>
      </c>
      <c r="B371" t="s">
        <v>772</v>
      </c>
      <c r="C371" s="120">
        <v>43937.644444444442</v>
      </c>
      <c r="D371" t="s">
        <v>2186</v>
      </c>
      <c r="E371" t="s">
        <v>176</v>
      </c>
      <c r="F371" t="s">
        <v>182</v>
      </c>
      <c r="G371" s="120">
        <v>43909.54791666667</v>
      </c>
      <c r="H371" t="s">
        <v>2187</v>
      </c>
      <c r="I371" t="s">
        <v>2188</v>
      </c>
      <c r="J371" t="s">
        <v>2189</v>
      </c>
      <c r="K371" t="s">
        <v>2190</v>
      </c>
    </row>
    <row r="372" spans="1:11">
      <c r="A372" t="s">
        <v>2191</v>
      </c>
      <c r="B372" t="s">
        <v>431</v>
      </c>
      <c r="C372" s="120">
        <v>43937.602083333331</v>
      </c>
      <c r="D372" t="s">
        <v>2192</v>
      </c>
      <c r="E372" t="s">
        <v>177</v>
      </c>
      <c r="F372" t="s">
        <v>182</v>
      </c>
      <c r="G372" s="120">
        <v>43916.899305555555</v>
      </c>
      <c r="H372" t="s">
        <v>2193</v>
      </c>
      <c r="I372" t="s">
        <v>2194</v>
      </c>
      <c r="J372" t="s">
        <v>2195</v>
      </c>
      <c r="K372" t="s">
        <v>2196</v>
      </c>
    </row>
    <row r="373" spans="1:11">
      <c r="A373" t="s">
        <v>2197</v>
      </c>
      <c r="B373" t="s">
        <v>234</v>
      </c>
      <c r="C373" s="120">
        <v>43937.590277777781</v>
      </c>
      <c r="D373" t="s">
        <v>2198</v>
      </c>
      <c r="E373" t="s">
        <v>176</v>
      </c>
      <c r="F373" t="s">
        <v>182</v>
      </c>
      <c r="G373" s="120">
        <v>43931.693055555559</v>
      </c>
      <c r="H373" t="s">
        <v>2199</v>
      </c>
      <c r="I373" t="s">
        <v>2200</v>
      </c>
      <c r="J373" t="s">
        <v>2201</v>
      </c>
      <c r="K373" t="s">
        <v>2202</v>
      </c>
    </row>
    <row r="374" spans="1:11">
      <c r="A374" t="s">
        <v>2203</v>
      </c>
      <c r="B374" t="s">
        <v>265</v>
      </c>
      <c r="C374" s="120">
        <v>43937.580555555556</v>
      </c>
      <c r="D374" t="s">
        <v>2204</v>
      </c>
      <c r="E374" t="s">
        <v>176</v>
      </c>
      <c r="F374" t="s">
        <v>182</v>
      </c>
      <c r="G374" s="120">
        <v>43924.651388888888</v>
      </c>
      <c r="H374" t="s">
        <v>76</v>
      </c>
      <c r="I374" t="s">
        <v>2205</v>
      </c>
      <c r="J374" t="s">
        <v>2206</v>
      </c>
      <c r="K374" t="s">
        <v>2207</v>
      </c>
    </row>
    <row r="375" spans="1:11">
      <c r="A375" t="s">
        <v>2203</v>
      </c>
      <c r="B375" t="s">
        <v>265</v>
      </c>
      <c r="C375" s="120">
        <v>43937.57916666667</v>
      </c>
      <c r="D375" t="s">
        <v>2208</v>
      </c>
      <c r="E375" t="s">
        <v>177</v>
      </c>
      <c r="F375" t="s">
        <v>182</v>
      </c>
      <c r="G375" s="120">
        <v>43924.654166666667</v>
      </c>
      <c r="H375" t="s">
        <v>76</v>
      </c>
      <c r="I375" t="s">
        <v>2209</v>
      </c>
      <c r="J375" t="s">
        <v>2210</v>
      </c>
      <c r="K375" t="s">
        <v>2207</v>
      </c>
    </row>
    <row r="376" spans="1:11">
      <c r="A376" t="s">
        <v>2211</v>
      </c>
      <c r="B376" t="s">
        <v>204</v>
      </c>
      <c r="C376" s="120">
        <v>43937.450694444444</v>
      </c>
      <c r="D376" t="s">
        <v>2212</v>
      </c>
      <c r="E376" t="s">
        <v>176</v>
      </c>
      <c r="F376" t="s">
        <v>182</v>
      </c>
      <c r="G376" s="120">
        <v>43937.352083333331</v>
      </c>
      <c r="H376" t="s">
        <v>2213</v>
      </c>
      <c r="I376" t="s">
        <v>2214</v>
      </c>
      <c r="J376" t="s">
        <v>2215</v>
      </c>
      <c r="K376" t="s">
        <v>2216</v>
      </c>
    </row>
    <row r="377" spans="1:11">
      <c r="A377" t="s">
        <v>2217</v>
      </c>
      <c r="B377" t="s">
        <v>204</v>
      </c>
      <c r="C377" s="120">
        <v>43935.498611111114</v>
      </c>
      <c r="D377" t="s">
        <v>2218</v>
      </c>
      <c r="E377" t="s">
        <v>176</v>
      </c>
      <c r="F377" t="s">
        <v>180</v>
      </c>
      <c r="G377" s="120">
        <v>43934.659722222219</v>
      </c>
      <c r="H377" t="s">
        <v>2219</v>
      </c>
      <c r="I377" t="s">
        <v>2220</v>
      </c>
      <c r="J377" t="s">
        <v>2221</v>
      </c>
      <c r="K377" t="s">
        <v>2222</v>
      </c>
    </row>
    <row r="378" spans="1:11">
      <c r="A378" t="s">
        <v>2217</v>
      </c>
      <c r="B378" t="s">
        <v>204</v>
      </c>
      <c r="C378" s="120">
        <v>43935.497916666667</v>
      </c>
      <c r="D378" t="s">
        <v>2223</v>
      </c>
      <c r="E378" t="s">
        <v>177</v>
      </c>
      <c r="F378" t="s">
        <v>182</v>
      </c>
      <c r="G378" s="120">
        <v>43935.496527777781</v>
      </c>
      <c r="H378" t="s">
        <v>2219</v>
      </c>
      <c r="I378" t="s">
        <v>2224</v>
      </c>
      <c r="J378" t="s">
        <v>245</v>
      </c>
      <c r="K378" t="s">
        <v>2222</v>
      </c>
    </row>
    <row r="379" spans="1:11">
      <c r="A379" t="s">
        <v>2225</v>
      </c>
      <c r="B379" t="s">
        <v>336</v>
      </c>
      <c r="C379" s="120">
        <v>43935.449305555558</v>
      </c>
      <c r="D379" t="s">
        <v>2226</v>
      </c>
      <c r="E379" t="s">
        <v>176</v>
      </c>
      <c r="F379" t="s">
        <v>182</v>
      </c>
      <c r="G379" s="120">
        <v>43928.621527777781</v>
      </c>
      <c r="H379" t="s">
        <v>2227</v>
      </c>
      <c r="I379" t="s">
        <v>2228</v>
      </c>
      <c r="J379" t="s">
        <v>2229</v>
      </c>
      <c r="K379" t="s">
        <v>2230</v>
      </c>
    </row>
    <row r="380" spans="1:11">
      <c r="A380" t="s">
        <v>2231</v>
      </c>
      <c r="B380" t="s">
        <v>197</v>
      </c>
      <c r="C380" s="120">
        <v>43934.35833333333</v>
      </c>
      <c r="D380" t="s">
        <v>2232</v>
      </c>
      <c r="E380" t="s">
        <v>176</v>
      </c>
      <c r="F380" t="s">
        <v>182</v>
      </c>
      <c r="G380" s="120">
        <v>43931.688194444447</v>
      </c>
      <c r="H380" t="s">
        <v>2233</v>
      </c>
      <c r="I380" t="s">
        <v>2234</v>
      </c>
      <c r="J380" t="s">
        <v>2235</v>
      </c>
      <c r="K380" t="s">
        <v>2236</v>
      </c>
    </row>
    <row r="381" spans="1:11">
      <c r="A381" t="s">
        <v>2237</v>
      </c>
      <c r="B381" t="s">
        <v>197</v>
      </c>
      <c r="C381" s="120">
        <v>43931.686805555553</v>
      </c>
      <c r="D381" t="s">
        <v>2238</v>
      </c>
      <c r="E381" t="s">
        <v>176</v>
      </c>
      <c r="F381" t="s">
        <v>182</v>
      </c>
      <c r="G381" s="120">
        <v>43931.683333333334</v>
      </c>
      <c r="H381" t="s">
        <v>2239</v>
      </c>
      <c r="I381" t="s">
        <v>2240</v>
      </c>
      <c r="J381" t="s">
        <v>245</v>
      </c>
      <c r="K381" t="s">
        <v>2241</v>
      </c>
    </row>
    <row r="382" spans="1:11">
      <c r="A382" t="s">
        <v>2160</v>
      </c>
      <c r="B382" t="s">
        <v>2161</v>
      </c>
      <c r="C382" s="120">
        <v>43930.667361111111</v>
      </c>
      <c r="D382" t="s">
        <v>2242</v>
      </c>
      <c r="E382" t="s">
        <v>329</v>
      </c>
      <c r="F382" t="s">
        <v>182</v>
      </c>
      <c r="G382" s="120">
        <v>43910.859027777777</v>
      </c>
      <c r="H382" t="s">
        <v>2163</v>
      </c>
      <c r="I382" t="s">
        <v>2243</v>
      </c>
      <c r="J382" t="s">
        <v>2244</v>
      </c>
      <c r="K382" t="s">
        <v>2166</v>
      </c>
    </row>
    <row r="383" spans="1:11">
      <c r="A383" t="s">
        <v>1718</v>
      </c>
      <c r="B383" t="s">
        <v>431</v>
      </c>
      <c r="C383" s="120">
        <v>43930.65347222222</v>
      </c>
      <c r="D383" t="s">
        <v>2245</v>
      </c>
      <c r="E383" t="s">
        <v>177</v>
      </c>
      <c r="F383" t="s">
        <v>182</v>
      </c>
      <c r="G383" s="120">
        <v>43894.52847222222</v>
      </c>
      <c r="H383" t="s">
        <v>1720</v>
      </c>
      <c r="I383" t="s">
        <v>2246</v>
      </c>
      <c r="J383" t="s">
        <v>2247</v>
      </c>
      <c r="K383" t="s">
        <v>1723</v>
      </c>
    </row>
    <row r="384" spans="1:11">
      <c r="A384" t="s">
        <v>1334</v>
      </c>
      <c r="B384" t="s">
        <v>431</v>
      </c>
      <c r="C384" s="120">
        <v>43930.642361111109</v>
      </c>
      <c r="D384" t="s">
        <v>2248</v>
      </c>
      <c r="E384" t="s">
        <v>177</v>
      </c>
      <c r="F384" t="s">
        <v>182</v>
      </c>
      <c r="G384" s="120">
        <v>43913.601388888892</v>
      </c>
      <c r="H384" t="s">
        <v>1336</v>
      </c>
      <c r="I384" t="s">
        <v>2249</v>
      </c>
      <c r="J384" t="s">
        <v>2250</v>
      </c>
      <c r="K384" t="s">
        <v>1339</v>
      </c>
    </row>
    <row r="385" spans="1:11">
      <c r="A385" t="s">
        <v>2160</v>
      </c>
      <c r="B385" t="s">
        <v>2161</v>
      </c>
      <c r="C385" s="120">
        <v>43930.550694444442</v>
      </c>
      <c r="D385" t="s">
        <v>2251</v>
      </c>
      <c r="E385" t="s">
        <v>176</v>
      </c>
      <c r="F385" t="s">
        <v>182</v>
      </c>
      <c r="G385" s="120">
        <v>43914.674305555556</v>
      </c>
      <c r="H385" t="s">
        <v>2163</v>
      </c>
      <c r="I385" t="s">
        <v>2252</v>
      </c>
      <c r="J385" t="s">
        <v>2253</v>
      </c>
      <c r="K385" t="s">
        <v>2166</v>
      </c>
    </row>
    <row r="386" spans="1:11">
      <c r="A386" t="s">
        <v>2254</v>
      </c>
      <c r="B386" t="s">
        <v>431</v>
      </c>
      <c r="C386" s="120">
        <v>43930.548611111109</v>
      </c>
      <c r="D386" t="s">
        <v>2255</v>
      </c>
      <c r="E386" t="s">
        <v>176</v>
      </c>
      <c r="F386" t="s">
        <v>182</v>
      </c>
      <c r="G386" s="120">
        <v>43903.524305555555</v>
      </c>
      <c r="H386" t="s">
        <v>2256</v>
      </c>
      <c r="I386" t="s">
        <v>2257</v>
      </c>
      <c r="J386" t="s">
        <v>2258</v>
      </c>
      <c r="K386" t="s">
        <v>2259</v>
      </c>
    </row>
    <row r="387" spans="1:11">
      <c r="A387" t="s">
        <v>2260</v>
      </c>
      <c r="B387" t="s">
        <v>2261</v>
      </c>
      <c r="C387" s="120">
        <v>43930.411805555559</v>
      </c>
      <c r="D387" t="s">
        <v>2262</v>
      </c>
      <c r="E387" t="s">
        <v>176</v>
      </c>
      <c r="F387" t="s">
        <v>182</v>
      </c>
      <c r="G387" s="120">
        <v>43929.638194444444</v>
      </c>
      <c r="H387" t="s">
        <v>2263</v>
      </c>
      <c r="I387" t="s">
        <v>2264</v>
      </c>
      <c r="J387" t="s">
        <v>2265</v>
      </c>
      <c r="K387" t="s">
        <v>2266</v>
      </c>
    </row>
    <row r="388" spans="1:11">
      <c r="A388" t="s">
        <v>2267</v>
      </c>
      <c r="B388" t="s">
        <v>772</v>
      </c>
      <c r="C388" s="120">
        <v>43930.303472222222</v>
      </c>
      <c r="D388" t="s">
        <v>2268</v>
      </c>
      <c r="E388" t="s">
        <v>329</v>
      </c>
      <c r="F388" t="s">
        <v>182</v>
      </c>
      <c r="G388" s="120">
        <v>43916.313888888886</v>
      </c>
      <c r="H388" t="s">
        <v>2269</v>
      </c>
      <c r="I388" t="s">
        <v>2270</v>
      </c>
      <c r="J388" t="s">
        <v>245</v>
      </c>
      <c r="K388" t="s">
        <v>2271</v>
      </c>
    </row>
    <row r="389" spans="1:11">
      <c r="A389" t="s">
        <v>2267</v>
      </c>
      <c r="B389" t="s">
        <v>772</v>
      </c>
      <c r="C389" s="120">
        <v>43930.303472222222</v>
      </c>
      <c r="D389" t="s">
        <v>2272</v>
      </c>
      <c r="E389" t="s">
        <v>594</v>
      </c>
      <c r="F389" t="s">
        <v>182</v>
      </c>
      <c r="G389" s="120">
        <v>43916.31527777778</v>
      </c>
      <c r="H389" t="s">
        <v>2269</v>
      </c>
      <c r="I389" t="s">
        <v>2273</v>
      </c>
      <c r="J389" t="s">
        <v>245</v>
      </c>
      <c r="K389" t="s">
        <v>2271</v>
      </c>
    </row>
    <row r="390" spans="1:11">
      <c r="A390" t="s">
        <v>2267</v>
      </c>
      <c r="B390" t="s">
        <v>772</v>
      </c>
      <c r="C390" s="120">
        <v>43930.303472222222</v>
      </c>
      <c r="D390" t="s">
        <v>2274</v>
      </c>
      <c r="E390" t="s">
        <v>177</v>
      </c>
      <c r="F390" t="s">
        <v>182</v>
      </c>
      <c r="G390" s="120">
        <v>43916.317361111112</v>
      </c>
      <c r="H390" t="s">
        <v>2269</v>
      </c>
      <c r="I390" t="s">
        <v>2275</v>
      </c>
      <c r="J390" t="s">
        <v>245</v>
      </c>
      <c r="K390" t="s">
        <v>2271</v>
      </c>
    </row>
    <row r="391" spans="1:11">
      <c r="A391" t="s">
        <v>2276</v>
      </c>
      <c r="B391" t="s">
        <v>585</v>
      </c>
      <c r="C391" s="120">
        <v>43929.692361111112</v>
      </c>
      <c r="D391" t="s">
        <v>2277</v>
      </c>
      <c r="E391" t="s">
        <v>206</v>
      </c>
      <c r="F391" t="s">
        <v>182</v>
      </c>
      <c r="G391" s="120">
        <v>43902.339583333334</v>
      </c>
      <c r="H391" t="s">
        <v>2278</v>
      </c>
      <c r="I391" t="s">
        <v>2277</v>
      </c>
      <c r="J391" t="s">
        <v>245</v>
      </c>
      <c r="K391" t="s">
        <v>2279</v>
      </c>
    </row>
    <row r="392" spans="1:11">
      <c r="A392" t="s">
        <v>2276</v>
      </c>
      <c r="B392" t="s">
        <v>585</v>
      </c>
      <c r="C392" s="120">
        <v>43929.692361111112</v>
      </c>
      <c r="D392" t="s">
        <v>2277</v>
      </c>
      <c r="E392" t="s">
        <v>177</v>
      </c>
      <c r="F392" t="s">
        <v>182</v>
      </c>
      <c r="G392" s="120">
        <v>43902.378472222219</v>
      </c>
      <c r="H392" t="s">
        <v>2278</v>
      </c>
      <c r="I392" t="s">
        <v>2277</v>
      </c>
      <c r="J392" t="s">
        <v>2280</v>
      </c>
      <c r="K392" t="s">
        <v>2279</v>
      </c>
    </row>
    <row r="393" spans="1:11">
      <c r="A393" t="s">
        <v>2281</v>
      </c>
      <c r="B393" t="s">
        <v>585</v>
      </c>
      <c r="C393" s="120">
        <v>43929.690972222219</v>
      </c>
      <c r="D393" t="s">
        <v>2282</v>
      </c>
      <c r="E393" t="s">
        <v>177</v>
      </c>
      <c r="F393" t="s">
        <v>182</v>
      </c>
      <c r="G393" s="120">
        <v>43916.886111111111</v>
      </c>
      <c r="H393" t="s">
        <v>2283</v>
      </c>
      <c r="I393" t="s">
        <v>2284</v>
      </c>
      <c r="J393" t="s">
        <v>2285</v>
      </c>
      <c r="K393" t="s">
        <v>2286</v>
      </c>
    </row>
    <row r="394" spans="1:11">
      <c r="A394" t="s">
        <v>2287</v>
      </c>
      <c r="B394" t="s">
        <v>197</v>
      </c>
      <c r="C394" s="120">
        <v>43929.637499999997</v>
      </c>
      <c r="D394" t="s">
        <v>2288</v>
      </c>
      <c r="E394" t="s">
        <v>176</v>
      </c>
      <c r="F394" t="s">
        <v>182</v>
      </c>
      <c r="G394" s="120">
        <v>43929.558333333334</v>
      </c>
      <c r="H394" t="s">
        <v>2289</v>
      </c>
      <c r="I394" t="s">
        <v>2290</v>
      </c>
      <c r="J394" t="s">
        <v>2291</v>
      </c>
      <c r="K394" t="s">
        <v>2292</v>
      </c>
    </row>
    <row r="395" spans="1:11">
      <c r="A395" t="s">
        <v>2293</v>
      </c>
      <c r="B395" t="s">
        <v>204</v>
      </c>
      <c r="C395" s="120">
        <v>43929.404861111114</v>
      </c>
      <c r="D395" t="s">
        <v>2294</v>
      </c>
      <c r="E395" t="s">
        <v>176</v>
      </c>
      <c r="F395" t="s">
        <v>182</v>
      </c>
      <c r="G395" s="120">
        <v>43927.388888888891</v>
      </c>
      <c r="H395" t="s">
        <v>2295</v>
      </c>
      <c r="I395" t="s">
        <v>2296</v>
      </c>
      <c r="J395" t="s">
        <v>2297</v>
      </c>
      <c r="K395" t="s">
        <v>2298</v>
      </c>
    </row>
    <row r="396" spans="1:11">
      <c r="A396" t="s">
        <v>2299</v>
      </c>
      <c r="B396" t="s">
        <v>204</v>
      </c>
      <c r="C396" s="120">
        <v>43929.402777777781</v>
      </c>
      <c r="D396" t="s">
        <v>2300</v>
      </c>
      <c r="E396" t="s">
        <v>176</v>
      </c>
      <c r="F396" t="s">
        <v>182</v>
      </c>
      <c r="G396" s="120">
        <v>43926.465277777781</v>
      </c>
      <c r="H396" t="s">
        <v>2301</v>
      </c>
      <c r="I396" t="s">
        <v>2302</v>
      </c>
      <c r="J396" t="s">
        <v>2303</v>
      </c>
      <c r="K396" t="s">
        <v>2304</v>
      </c>
    </row>
    <row r="397" spans="1:11">
      <c r="A397" t="s">
        <v>2047</v>
      </c>
      <c r="B397" t="s">
        <v>772</v>
      </c>
      <c r="C397" s="120">
        <v>43929.3</v>
      </c>
      <c r="D397" t="s">
        <v>2305</v>
      </c>
      <c r="E397" t="s">
        <v>177</v>
      </c>
      <c r="F397" t="s">
        <v>182</v>
      </c>
      <c r="G397" s="120">
        <v>43910.400694444441</v>
      </c>
      <c r="H397" t="s">
        <v>2049</v>
      </c>
      <c r="I397" t="s">
        <v>2306</v>
      </c>
      <c r="J397" t="s">
        <v>2307</v>
      </c>
      <c r="K397" t="s">
        <v>2052</v>
      </c>
    </row>
    <row r="398" spans="1:11">
      <c r="A398" t="s">
        <v>2308</v>
      </c>
      <c r="B398" t="s">
        <v>204</v>
      </c>
      <c r="C398" s="120">
        <v>43927.443055555559</v>
      </c>
      <c r="D398" t="s">
        <v>2309</v>
      </c>
      <c r="E398" t="s">
        <v>600</v>
      </c>
      <c r="F398" t="s">
        <v>182</v>
      </c>
      <c r="G398" s="120">
        <v>43927.355555555558</v>
      </c>
      <c r="H398" t="s">
        <v>2310</v>
      </c>
      <c r="I398" t="s">
        <v>2311</v>
      </c>
      <c r="J398" t="s">
        <v>2312</v>
      </c>
      <c r="K398" t="s">
        <v>2313</v>
      </c>
    </row>
    <row r="399" spans="1:11">
      <c r="A399" t="s">
        <v>2314</v>
      </c>
      <c r="B399" t="s">
        <v>204</v>
      </c>
      <c r="C399" s="120">
        <v>43925.930555555555</v>
      </c>
      <c r="D399" t="s">
        <v>2315</v>
      </c>
      <c r="E399" t="s">
        <v>594</v>
      </c>
      <c r="F399" t="s">
        <v>181</v>
      </c>
      <c r="G399" s="120">
        <v>43925.928472222222</v>
      </c>
      <c r="H399" t="s">
        <v>2316</v>
      </c>
      <c r="I399" t="s">
        <v>2317</v>
      </c>
      <c r="J399" t="s">
        <v>245</v>
      </c>
      <c r="K399" t="s">
        <v>2318</v>
      </c>
    </row>
    <row r="400" spans="1:11">
      <c r="A400" t="s">
        <v>2319</v>
      </c>
      <c r="B400" t="s">
        <v>431</v>
      </c>
      <c r="C400" s="120">
        <v>43924.588194444441</v>
      </c>
      <c r="D400" t="s">
        <v>2320</v>
      </c>
      <c r="E400" t="s">
        <v>594</v>
      </c>
      <c r="F400" t="s">
        <v>182</v>
      </c>
      <c r="G400" s="120">
        <v>43899.444444444445</v>
      </c>
      <c r="H400" t="s">
        <v>2321</v>
      </c>
      <c r="I400" t="s">
        <v>2322</v>
      </c>
      <c r="J400" t="s">
        <v>2323</v>
      </c>
      <c r="K400" t="s">
        <v>2324</v>
      </c>
    </row>
    <row r="401" spans="1:11">
      <c r="A401" t="s">
        <v>2325</v>
      </c>
      <c r="B401" t="s">
        <v>197</v>
      </c>
      <c r="C401" s="120">
        <v>43924.569444444445</v>
      </c>
      <c r="D401" t="s">
        <v>2326</v>
      </c>
      <c r="E401" t="s">
        <v>176</v>
      </c>
      <c r="F401" t="s">
        <v>182</v>
      </c>
      <c r="G401" s="120">
        <v>43917.560416666667</v>
      </c>
      <c r="H401" t="s">
        <v>2327</v>
      </c>
      <c r="I401" t="s">
        <v>2328</v>
      </c>
      <c r="J401" t="s">
        <v>2329</v>
      </c>
      <c r="K401" t="s">
        <v>2330</v>
      </c>
    </row>
    <row r="402" spans="1:11">
      <c r="A402" t="s">
        <v>2331</v>
      </c>
      <c r="B402" t="s">
        <v>448</v>
      </c>
      <c r="C402" s="120">
        <v>43924.568055555559</v>
      </c>
      <c r="D402" t="s">
        <v>2332</v>
      </c>
      <c r="E402" t="s">
        <v>176</v>
      </c>
      <c r="F402" t="s">
        <v>181</v>
      </c>
      <c r="G402" s="120">
        <v>43917.564583333333</v>
      </c>
      <c r="H402" t="s">
        <v>2333</v>
      </c>
      <c r="I402" t="s">
        <v>2334</v>
      </c>
      <c r="J402" t="s">
        <v>2335</v>
      </c>
      <c r="K402" t="s">
        <v>2336</v>
      </c>
    </row>
    <row r="403" spans="1:11">
      <c r="A403" t="s">
        <v>2337</v>
      </c>
      <c r="B403" t="s">
        <v>431</v>
      </c>
      <c r="C403" s="120">
        <v>43924.543749999997</v>
      </c>
      <c r="D403" t="s">
        <v>2338</v>
      </c>
      <c r="E403" t="s">
        <v>176</v>
      </c>
      <c r="F403" t="s">
        <v>182</v>
      </c>
      <c r="G403" s="120">
        <v>43923.702777777777</v>
      </c>
      <c r="H403" t="s">
        <v>2339</v>
      </c>
      <c r="I403" t="s">
        <v>2340</v>
      </c>
      <c r="J403" t="s">
        <v>2341</v>
      </c>
      <c r="K403" t="s">
        <v>2342</v>
      </c>
    </row>
    <row r="404" spans="1:11">
      <c r="A404" t="s">
        <v>2343</v>
      </c>
      <c r="B404" t="s">
        <v>431</v>
      </c>
      <c r="C404" s="120">
        <v>43924.492361111108</v>
      </c>
      <c r="D404" t="s">
        <v>2344</v>
      </c>
      <c r="E404" t="s">
        <v>177</v>
      </c>
      <c r="F404" t="s">
        <v>182</v>
      </c>
      <c r="G404" s="120">
        <v>43919.476388888892</v>
      </c>
      <c r="H404" t="s">
        <v>2345</v>
      </c>
      <c r="I404" t="s">
        <v>2346</v>
      </c>
      <c r="J404" t="s">
        <v>2347</v>
      </c>
      <c r="K404" t="s">
        <v>2348</v>
      </c>
    </row>
    <row r="405" spans="1:11">
      <c r="A405" t="s">
        <v>2349</v>
      </c>
      <c r="B405" t="s">
        <v>431</v>
      </c>
      <c r="C405" s="120">
        <v>43924.491666666669</v>
      </c>
      <c r="D405" t="s">
        <v>2350</v>
      </c>
      <c r="E405" t="s">
        <v>177</v>
      </c>
      <c r="F405" t="s">
        <v>182</v>
      </c>
      <c r="G405" s="120">
        <v>43919.474999999999</v>
      </c>
      <c r="H405" t="s">
        <v>2351</v>
      </c>
      <c r="I405" t="s">
        <v>2352</v>
      </c>
      <c r="J405" t="s">
        <v>2353</v>
      </c>
      <c r="K405" t="s">
        <v>2354</v>
      </c>
    </row>
    <row r="406" spans="1:11">
      <c r="A406" t="s">
        <v>646</v>
      </c>
      <c r="B406" t="s">
        <v>431</v>
      </c>
      <c r="C406" s="120">
        <v>43923.613888888889</v>
      </c>
      <c r="D406" t="s">
        <v>2355</v>
      </c>
      <c r="E406" t="s">
        <v>177</v>
      </c>
      <c r="F406" t="s">
        <v>182</v>
      </c>
      <c r="G406" s="120">
        <v>43907.269444444442</v>
      </c>
      <c r="H406" t="s">
        <v>648</v>
      </c>
      <c r="I406" t="s">
        <v>2356</v>
      </c>
      <c r="J406" t="s">
        <v>2357</v>
      </c>
      <c r="K406" t="s">
        <v>651</v>
      </c>
    </row>
    <row r="407" spans="1:11">
      <c r="A407" t="s">
        <v>2023</v>
      </c>
      <c r="B407" t="s">
        <v>508</v>
      </c>
      <c r="C407" s="120">
        <v>43923.447916666664</v>
      </c>
      <c r="D407" t="s">
        <v>2358</v>
      </c>
      <c r="E407" t="s">
        <v>177</v>
      </c>
      <c r="F407" t="s">
        <v>182</v>
      </c>
      <c r="G407" s="120">
        <v>43910.397916666669</v>
      </c>
      <c r="H407" t="s">
        <v>2025</v>
      </c>
      <c r="I407" t="s">
        <v>2359</v>
      </c>
      <c r="J407" t="s">
        <v>245</v>
      </c>
      <c r="K407" t="s">
        <v>2028</v>
      </c>
    </row>
    <row r="408" spans="1:11">
      <c r="A408" t="s">
        <v>2360</v>
      </c>
      <c r="B408" t="s">
        <v>204</v>
      </c>
      <c r="C408" s="120">
        <v>43923.398611111108</v>
      </c>
      <c r="D408" t="s">
        <v>368</v>
      </c>
      <c r="E408" t="s">
        <v>176</v>
      </c>
      <c r="F408" t="s">
        <v>182</v>
      </c>
      <c r="G408" s="120">
        <v>43923.397222222222</v>
      </c>
      <c r="H408" t="s">
        <v>2361</v>
      </c>
      <c r="I408" t="s">
        <v>2362</v>
      </c>
      <c r="J408" t="s">
        <v>245</v>
      </c>
      <c r="K408" t="s">
        <v>2363</v>
      </c>
    </row>
    <row r="409" spans="1:11">
      <c r="A409" t="s">
        <v>2364</v>
      </c>
      <c r="B409" t="s">
        <v>508</v>
      </c>
      <c r="C409" s="120">
        <v>43923.357638888891</v>
      </c>
      <c r="D409" t="s">
        <v>2365</v>
      </c>
      <c r="E409" t="s">
        <v>176</v>
      </c>
      <c r="F409" t="s">
        <v>182</v>
      </c>
      <c r="G409" s="120">
        <v>43907.43472222222</v>
      </c>
      <c r="H409" t="s">
        <v>1651</v>
      </c>
      <c r="I409" t="s">
        <v>2366</v>
      </c>
      <c r="J409" t="s">
        <v>2367</v>
      </c>
      <c r="K409" t="s">
        <v>2368</v>
      </c>
    </row>
    <row r="410" spans="1:11">
      <c r="A410" t="s">
        <v>2369</v>
      </c>
      <c r="B410" t="s">
        <v>772</v>
      </c>
      <c r="C410" s="120">
        <v>43923.355555555558</v>
      </c>
      <c r="D410" t="s">
        <v>2370</v>
      </c>
      <c r="E410" t="s">
        <v>176</v>
      </c>
      <c r="F410" t="s">
        <v>182</v>
      </c>
      <c r="G410" s="120">
        <v>43909.554166666669</v>
      </c>
      <c r="H410" t="s">
        <v>2370</v>
      </c>
      <c r="I410" t="s">
        <v>2371</v>
      </c>
      <c r="J410" t="s">
        <v>2372</v>
      </c>
      <c r="K410" t="s">
        <v>2373</v>
      </c>
    </row>
    <row r="411" spans="1:11">
      <c r="A411" t="s">
        <v>2374</v>
      </c>
      <c r="B411" t="s">
        <v>265</v>
      </c>
      <c r="C411" s="120">
        <v>43922.631249999999</v>
      </c>
      <c r="D411" t="s">
        <v>2375</v>
      </c>
      <c r="E411" t="s">
        <v>329</v>
      </c>
      <c r="F411" t="s">
        <v>182</v>
      </c>
      <c r="G411" s="120">
        <v>43922.630555555559</v>
      </c>
      <c r="H411" t="s">
        <v>2376</v>
      </c>
      <c r="I411" t="s">
        <v>2377</v>
      </c>
      <c r="J411" t="s">
        <v>245</v>
      </c>
      <c r="K411" t="s">
        <v>2378</v>
      </c>
    </row>
    <row r="412" spans="1:11">
      <c r="A412" t="s">
        <v>2379</v>
      </c>
      <c r="B412" t="s">
        <v>585</v>
      </c>
      <c r="C412" s="120">
        <v>43922.594444444447</v>
      </c>
      <c r="D412" t="s">
        <v>2380</v>
      </c>
      <c r="E412" t="s">
        <v>177</v>
      </c>
      <c r="F412" t="s">
        <v>183</v>
      </c>
      <c r="G412" s="120">
        <v>43917.599999999999</v>
      </c>
      <c r="H412" t="s">
        <v>2381</v>
      </c>
      <c r="I412" t="s">
        <v>2382</v>
      </c>
      <c r="J412" t="s">
        <v>2383</v>
      </c>
      <c r="K412" t="s">
        <v>2384</v>
      </c>
    </row>
    <row r="413" spans="1:11">
      <c r="A413" t="s">
        <v>2385</v>
      </c>
      <c r="B413" t="s">
        <v>585</v>
      </c>
      <c r="C413" s="120">
        <v>43921.647222222222</v>
      </c>
      <c r="D413" t="s">
        <v>2386</v>
      </c>
      <c r="E413" t="s">
        <v>177</v>
      </c>
      <c r="F413" t="s">
        <v>182</v>
      </c>
      <c r="G413" s="120">
        <v>43902.34097222222</v>
      </c>
      <c r="H413" t="s">
        <v>2387</v>
      </c>
      <c r="I413" t="s">
        <v>2388</v>
      </c>
      <c r="J413" t="s">
        <v>245</v>
      </c>
      <c r="K413" t="s">
        <v>2389</v>
      </c>
    </row>
    <row r="414" spans="1:11">
      <c r="A414" t="s">
        <v>2390</v>
      </c>
      <c r="B414" t="s">
        <v>204</v>
      </c>
      <c r="C414" s="120">
        <v>43921.622916666667</v>
      </c>
      <c r="D414" t="s">
        <v>2391</v>
      </c>
      <c r="E414" t="s">
        <v>329</v>
      </c>
      <c r="F414" t="s">
        <v>180</v>
      </c>
      <c r="G414" s="120">
        <v>43921.607638888891</v>
      </c>
      <c r="H414" t="s">
        <v>2392</v>
      </c>
      <c r="I414" t="s">
        <v>2393</v>
      </c>
      <c r="J414" t="s">
        <v>245</v>
      </c>
      <c r="K414" t="s">
        <v>2394</v>
      </c>
    </row>
    <row r="415" spans="1:11">
      <c r="A415" t="s">
        <v>2395</v>
      </c>
      <c r="B415" t="s">
        <v>2396</v>
      </c>
      <c r="C415" s="120">
        <v>43921.586805555555</v>
      </c>
      <c r="D415" t="s">
        <v>2397</v>
      </c>
      <c r="E415" t="s">
        <v>176</v>
      </c>
      <c r="F415" t="s">
        <v>182</v>
      </c>
      <c r="G415" s="120">
        <v>43916.520138888889</v>
      </c>
      <c r="H415" t="s">
        <v>2398</v>
      </c>
      <c r="I415" t="s">
        <v>2399</v>
      </c>
      <c r="J415" t="s">
        <v>2400</v>
      </c>
      <c r="K415" t="s">
        <v>2401</v>
      </c>
    </row>
    <row r="416" spans="1:11">
      <c r="A416" t="s">
        <v>1003</v>
      </c>
      <c r="B416" t="s">
        <v>585</v>
      </c>
      <c r="C416" s="120">
        <v>43921.586111111108</v>
      </c>
      <c r="D416" t="s">
        <v>2402</v>
      </c>
      <c r="E416" t="s">
        <v>176</v>
      </c>
      <c r="F416" t="s">
        <v>182</v>
      </c>
      <c r="G416" s="120">
        <v>43902.336805555555</v>
      </c>
      <c r="H416" t="s">
        <v>1005</v>
      </c>
      <c r="I416" t="s">
        <v>2403</v>
      </c>
      <c r="J416" t="s">
        <v>2404</v>
      </c>
      <c r="K416" t="s">
        <v>1008</v>
      </c>
    </row>
    <row r="417" spans="1:11">
      <c r="A417" t="s">
        <v>2405</v>
      </c>
      <c r="B417" t="s">
        <v>585</v>
      </c>
      <c r="C417" s="120">
        <v>43921.586111111108</v>
      </c>
      <c r="D417" t="s">
        <v>2406</v>
      </c>
      <c r="E417" t="s">
        <v>177</v>
      </c>
      <c r="F417" t="s">
        <v>182</v>
      </c>
      <c r="G417" s="120">
        <v>43916.89166666667</v>
      </c>
      <c r="H417" t="s">
        <v>2283</v>
      </c>
      <c r="I417" t="s">
        <v>2407</v>
      </c>
      <c r="J417" t="s">
        <v>2408</v>
      </c>
      <c r="K417" t="s">
        <v>2409</v>
      </c>
    </row>
    <row r="418" spans="1:11">
      <c r="A418" t="s">
        <v>2410</v>
      </c>
      <c r="B418" t="s">
        <v>1986</v>
      </c>
      <c r="C418" s="120">
        <v>43920.587500000001</v>
      </c>
      <c r="D418" t="s">
        <v>2411</v>
      </c>
      <c r="E418" t="s">
        <v>176</v>
      </c>
      <c r="F418" t="s">
        <v>182</v>
      </c>
      <c r="G418" s="120">
        <v>43918.381944444445</v>
      </c>
      <c r="H418" t="s">
        <v>2412</v>
      </c>
      <c r="I418" t="s">
        <v>2413</v>
      </c>
      <c r="J418" t="s">
        <v>2414</v>
      </c>
      <c r="K418" t="s">
        <v>2415</v>
      </c>
    </row>
    <row r="419" spans="1:11">
      <c r="A419" t="s">
        <v>2416</v>
      </c>
      <c r="B419" t="s">
        <v>431</v>
      </c>
      <c r="C419" s="120">
        <v>43920.580555555556</v>
      </c>
      <c r="D419" t="s">
        <v>2417</v>
      </c>
      <c r="E419" t="s">
        <v>176</v>
      </c>
      <c r="F419" t="s">
        <v>182</v>
      </c>
      <c r="G419" s="120">
        <v>43917.595138888886</v>
      </c>
      <c r="H419" t="s">
        <v>2418</v>
      </c>
      <c r="I419" t="s">
        <v>2419</v>
      </c>
      <c r="J419" t="s">
        <v>2420</v>
      </c>
      <c r="K419" t="s">
        <v>2421</v>
      </c>
    </row>
    <row r="420" spans="1:11">
      <c r="A420" t="s">
        <v>2422</v>
      </c>
      <c r="B420" t="s">
        <v>265</v>
      </c>
      <c r="C420" s="120">
        <v>43917.705555555556</v>
      </c>
      <c r="D420" t="s">
        <v>2423</v>
      </c>
      <c r="E420" t="s">
        <v>177</v>
      </c>
      <c r="F420" t="s">
        <v>183</v>
      </c>
      <c r="G420" s="120">
        <v>43915.538194444445</v>
      </c>
      <c r="H420" t="s">
        <v>2424</v>
      </c>
      <c r="I420" t="s">
        <v>2425</v>
      </c>
      <c r="J420" t="s">
        <v>2426</v>
      </c>
      <c r="K420" t="s">
        <v>2427</v>
      </c>
    </row>
    <row r="421" spans="1:11">
      <c r="A421" t="s">
        <v>2281</v>
      </c>
      <c r="B421" t="s">
        <v>585</v>
      </c>
      <c r="C421" s="120">
        <v>43917.655555555553</v>
      </c>
      <c r="D421" t="s">
        <v>2428</v>
      </c>
      <c r="E421" t="s">
        <v>329</v>
      </c>
      <c r="F421" t="s">
        <v>182</v>
      </c>
      <c r="G421" s="120">
        <v>43917.614583333336</v>
      </c>
      <c r="H421" t="s">
        <v>2283</v>
      </c>
      <c r="I421" t="s">
        <v>2429</v>
      </c>
      <c r="J421" t="s">
        <v>2430</v>
      </c>
      <c r="K421" t="s">
        <v>2286</v>
      </c>
    </row>
    <row r="422" spans="1:11">
      <c r="A422" t="s">
        <v>2431</v>
      </c>
      <c r="B422" t="s">
        <v>265</v>
      </c>
      <c r="C422" s="120">
        <v>43917.632638888892</v>
      </c>
      <c r="D422" t="s">
        <v>2432</v>
      </c>
      <c r="E422" t="s">
        <v>176</v>
      </c>
      <c r="F422" t="s">
        <v>182</v>
      </c>
      <c r="G422" s="120">
        <v>43908.695138888892</v>
      </c>
      <c r="H422" t="s">
        <v>2433</v>
      </c>
      <c r="I422" t="s">
        <v>2434</v>
      </c>
      <c r="J422" t="s">
        <v>2435</v>
      </c>
      <c r="K422" t="s">
        <v>2436</v>
      </c>
    </row>
    <row r="423" spans="1:11">
      <c r="A423" t="s">
        <v>2437</v>
      </c>
      <c r="B423" t="s">
        <v>372</v>
      </c>
      <c r="C423" s="120">
        <v>43917.407638888886</v>
      </c>
      <c r="D423" t="s">
        <v>2438</v>
      </c>
      <c r="E423" t="s">
        <v>176</v>
      </c>
      <c r="F423" t="s">
        <v>182</v>
      </c>
      <c r="G423" s="120">
        <v>43908.368055555555</v>
      </c>
      <c r="H423" t="s">
        <v>2439</v>
      </c>
      <c r="I423" t="s">
        <v>2438</v>
      </c>
      <c r="J423" t="s">
        <v>2440</v>
      </c>
      <c r="K423" t="s">
        <v>2441</v>
      </c>
    </row>
    <row r="424" spans="1:11">
      <c r="A424" t="s">
        <v>2442</v>
      </c>
      <c r="B424" t="s">
        <v>372</v>
      </c>
      <c r="C424" s="120">
        <v>43917.406944444447</v>
      </c>
      <c r="D424" t="s">
        <v>2443</v>
      </c>
      <c r="E424" t="s">
        <v>176</v>
      </c>
      <c r="F424" t="s">
        <v>182</v>
      </c>
      <c r="G424" s="120">
        <v>43908.363888888889</v>
      </c>
      <c r="H424" t="s">
        <v>2444</v>
      </c>
      <c r="I424" t="s">
        <v>2445</v>
      </c>
      <c r="J424" t="s">
        <v>2446</v>
      </c>
      <c r="K424" t="s">
        <v>2447</v>
      </c>
    </row>
    <row r="425" spans="1:11">
      <c r="A425" t="s">
        <v>2448</v>
      </c>
      <c r="B425" t="s">
        <v>372</v>
      </c>
      <c r="C425" s="120">
        <v>43917.405555555553</v>
      </c>
      <c r="D425" t="s">
        <v>2449</v>
      </c>
      <c r="E425" t="s">
        <v>176</v>
      </c>
      <c r="F425" t="s">
        <v>182</v>
      </c>
      <c r="G425" s="120">
        <v>43908.45</v>
      </c>
      <c r="H425" t="s">
        <v>2450</v>
      </c>
      <c r="I425" t="s">
        <v>2449</v>
      </c>
      <c r="J425" t="s">
        <v>2451</v>
      </c>
      <c r="K425" t="s">
        <v>2452</v>
      </c>
    </row>
    <row r="426" spans="1:11">
      <c r="A426" t="s">
        <v>2453</v>
      </c>
      <c r="B426" t="s">
        <v>372</v>
      </c>
      <c r="C426" s="120">
        <v>43917.400694444441</v>
      </c>
      <c r="D426" t="s">
        <v>2454</v>
      </c>
      <c r="E426" t="s">
        <v>176</v>
      </c>
      <c r="F426" t="s">
        <v>182</v>
      </c>
      <c r="G426" s="120">
        <v>43908.369444444441</v>
      </c>
      <c r="H426" t="s">
        <v>2455</v>
      </c>
      <c r="I426" t="s">
        <v>2454</v>
      </c>
      <c r="J426" t="s">
        <v>245</v>
      </c>
      <c r="K426" t="s">
        <v>2456</v>
      </c>
    </row>
    <row r="427" spans="1:11">
      <c r="A427" t="s">
        <v>2457</v>
      </c>
      <c r="B427" t="s">
        <v>204</v>
      </c>
      <c r="C427" s="120">
        <v>43916.865277777775</v>
      </c>
      <c r="D427" t="s">
        <v>2458</v>
      </c>
      <c r="E427" t="s">
        <v>176</v>
      </c>
      <c r="F427" t="s">
        <v>182</v>
      </c>
      <c r="G427" s="120">
        <v>43916.864583333336</v>
      </c>
      <c r="H427" t="s">
        <v>2459</v>
      </c>
      <c r="I427" t="s">
        <v>2460</v>
      </c>
      <c r="J427" t="s">
        <v>245</v>
      </c>
      <c r="K427" t="s">
        <v>2461</v>
      </c>
    </row>
    <row r="428" spans="1:11">
      <c r="A428" t="s">
        <v>1541</v>
      </c>
      <c r="B428" t="s">
        <v>772</v>
      </c>
      <c r="C428" s="120">
        <v>43916.704861111109</v>
      </c>
      <c r="D428" t="s">
        <v>2462</v>
      </c>
      <c r="E428" t="s">
        <v>329</v>
      </c>
      <c r="F428" t="s">
        <v>182</v>
      </c>
      <c r="G428" s="120">
        <v>43909.609722222223</v>
      </c>
      <c r="H428" t="s">
        <v>1543</v>
      </c>
      <c r="I428" t="s">
        <v>2463</v>
      </c>
      <c r="J428" t="s">
        <v>2464</v>
      </c>
      <c r="K428" t="s">
        <v>1546</v>
      </c>
    </row>
    <row r="429" spans="1:11">
      <c r="A429" t="s">
        <v>2465</v>
      </c>
      <c r="B429" t="s">
        <v>2466</v>
      </c>
      <c r="C429" s="120">
        <v>43916.70416666667</v>
      </c>
      <c r="D429" t="s">
        <v>2467</v>
      </c>
      <c r="E429" t="s">
        <v>177</v>
      </c>
      <c r="F429" t="s">
        <v>182</v>
      </c>
      <c r="G429" s="120">
        <v>43906.425000000003</v>
      </c>
      <c r="H429" t="s">
        <v>2468</v>
      </c>
      <c r="I429" t="s">
        <v>2469</v>
      </c>
      <c r="J429" t="s">
        <v>2470</v>
      </c>
      <c r="K429" t="s">
        <v>2471</v>
      </c>
    </row>
    <row r="430" spans="1:11">
      <c r="A430" t="s">
        <v>2472</v>
      </c>
      <c r="B430" t="s">
        <v>431</v>
      </c>
      <c r="C430" s="120">
        <v>43915.772222222222</v>
      </c>
      <c r="D430" t="s">
        <v>2473</v>
      </c>
      <c r="E430" t="s">
        <v>176</v>
      </c>
      <c r="F430" t="s">
        <v>182</v>
      </c>
      <c r="G430" s="120">
        <v>43903.40347222222</v>
      </c>
      <c r="H430" t="s">
        <v>2474</v>
      </c>
      <c r="I430" t="s">
        <v>2475</v>
      </c>
      <c r="J430" t="s">
        <v>245</v>
      </c>
      <c r="K430" t="s">
        <v>2476</v>
      </c>
    </row>
    <row r="431" spans="1:11">
      <c r="A431" t="s">
        <v>2477</v>
      </c>
      <c r="B431" t="s">
        <v>431</v>
      </c>
      <c r="C431" s="120">
        <v>43915.771527777775</v>
      </c>
      <c r="D431" t="s">
        <v>2478</v>
      </c>
      <c r="E431" t="s">
        <v>176</v>
      </c>
      <c r="F431" t="s">
        <v>182</v>
      </c>
      <c r="G431" s="120">
        <v>43899.51458333333</v>
      </c>
      <c r="H431" t="s">
        <v>2479</v>
      </c>
      <c r="I431" t="s">
        <v>2480</v>
      </c>
      <c r="J431" t="s">
        <v>2481</v>
      </c>
      <c r="K431" t="s">
        <v>2482</v>
      </c>
    </row>
    <row r="432" spans="1:11">
      <c r="A432" t="s">
        <v>2483</v>
      </c>
      <c r="B432" t="s">
        <v>2484</v>
      </c>
      <c r="C432" s="120">
        <v>43915.770833333336</v>
      </c>
      <c r="D432" t="s">
        <v>2485</v>
      </c>
      <c r="E432" t="s">
        <v>176</v>
      </c>
      <c r="F432" t="s">
        <v>182</v>
      </c>
      <c r="G432" s="120">
        <v>43899.418749999997</v>
      </c>
      <c r="H432" t="s">
        <v>2486</v>
      </c>
      <c r="I432" t="s">
        <v>2487</v>
      </c>
      <c r="J432" t="s">
        <v>2488</v>
      </c>
      <c r="K432" t="s">
        <v>2489</v>
      </c>
    </row>
    <row r="433" spans="1:11">
      <c r="A433" t="s">
        <v>2490</v>
      </c>
      <c r="B433" t="s">
        <v>585</v>
      </c>
      <c r="C433" s="120">
        <v>43915.681250000001</v>
      </c>
      <c r="D433" t="s">
        <v>2491</v>
      </c>
      <c r="E433" t="s">
        <v>177</v>
      </c>
      <c r="F433" t="s">
        <v>182</v>
      </c>
      <c r="G433" s="120">
        <v>43902.340277777781</v>
      </c>
      <c r="H433" t="s">
        <v>2386</v>
      </c>
      <c r="I433" t="s">
        <v>2492</v>
      </c>
      <c r="J433" t="s">
        <v>2493</v>
      </c>
      <c r="K433" t="s">
        <v>2494</v>
      </c>
    </row>
    <row r="434" spans="1:11">
      <c r="A434" t="s">
        <v>2490</v>
      </c>
      <c r="B434" t="s">
        <v>585</v>
      </c>
      <c r="C434" s="120">
        <v>43915.680555555555</v>
      </c>
      <c r="D434" t="s">
        <v>2495</v>
      </c>
      <c r="E434" t="s">
        <v>329</v>
      </c>
      <c r="F434" t="s">
        <v>182</v>
      </c>
      <c r="G434" s="120">
        <v>43900.607638888891</v>
      </c>
      <c r="H434" t="s">
        <v>2386</v>
      </c>
      <c r="I434" t="s">
        <v>2496</v>
      </c>
      <c r="J434" t="s">
        <v>2497</v>
      </c>
      <c r="K434" t="s">
        <v>2494</v>
      </c>
    </row>
    <row r="435" spans="1:11">
      <c r="A435" t="s">
        <v>2498</v>
      </c>
      <c r="B435" t="s">
        <v>204</v>
      </c>
      <c r="C435" s="120">
        <v>43915.635416666664</v>
      </c>
      <c r="D435" t="s">
        <v>2499</v>
      </c>
      <c r="E435" t="s">
        <v>176</v>
      </c>
      <c r="F435" t="s">
        <v>182</v>
      </c>
      <c r="G435" s="120">
        <v>43910.531944444447</v>
      </c>
      <c r="H435" t="s">
        <v>2500</v>
      </c>
      <c r="I435" t="s">
        <v>2501</v>
      </c>
      <c r="J435" t="s">
        <v>2502</v>
      </c>
      <c r="K435" t="s">
        <v>2503</v>
      </c>
    </row>
    <row r="436" spans="1:11">
      <c r="A436" t="s">
        <v>2504</v>
      </c>
      <c r="B436" t="s">
        <v>204</v>
      </c>
      <c r="C436" s="120">
        <v>43915.604166666664</v>
      </c>
      <c r="D436" t="s">
        <v>2505</v>
      </c>
      <c r="E436" t="s">
        <v>176</v>
      </c>
      <c r="F436" t="s">
        <v>182</v>
      </c>
      <c r="G436" s="120">
        <v>43915.603472222225</v>
      </c>
      <c r="H436" t="s">
        <v>2506</v>
      </c>
      <c r="I436" t="s">
        <v>2507</v>
      </c>
      <c r="J436" t="s">
        <v>245</v>
      </c>
      <c r="K436" t="s">
        <v>2508</v>
      </c>
    </row>
    <row r="437" spans="1:11">
      <c r="A437" t="s">
        <v>2509</v>
      </c>
      <c r="B437" t="s">
        <v>309</v>
      </c>
      <c r="C437" s="120">
        <v>43915.552083333336</v>
      </c>
      <c r="D437" t="s">
        <v>2510</v>
      </c>
      <c r="E437" t="s">
        <v>329</v>
      </c>
      <c r="F437" t="s">
        <v>182</v>
      </c>
      <c r="G437" s="120">
        <v>43914.852777777778</v>
      </c>
      <c r="H437" t="s">
        <v>2511</v>
      </c>
      <c r="I437" t="s">
        <v>2512</v>
      </c>
      <c r="J437" t="s">
        <v>245</v>
      </c>
      <c r="K437" t="s">
        <v>2513</v>
      </c>
    </row>
    <row r="438" spans="1:11">
      <c r="A438" t="s">
        <v>2514</v>
      </c>
      <c r="B438" t="s">
        <v>520</v>
      </c>
      <c r="C438" s="120">
        <v>43915.550694444442</v>
      </c>
      <c r="D438" t="s">
        <v>2515</v>
      </c>
      <c r="E438" t="s">
        <v>176</v>
      </c>
      <c r="F438" t="s">
        <v>182</v>
      </c>
      <c r="G438" s="120">
        <v>43903.467361111114</v>
      </c>
      <c r="H438" t="s">
        <v>2516</v>
      </c>
      <c r="I438" t="s">
        <v>2517</v>
      </c>
      <c r="J438" t="s">
        <v>2518</v>
      </c>
      <c r="K438" t="s">
        <v>2519</v>
      </c>
    </row>
    <row r="439" spans="1:11">
      <c r="A439" t="s">
        <v>245</v>
      </c>
      <c r="B439" t="s">
        <v>245</v>
      </c>
      <c r="C439" s="120">
        <v>43915.522222222222</v>
      </c>
      <c r="D439" t="s">
        <v>2520</v>
      </c>
      <c r="E439" t="s">
        <v>177</v>
      </c>
      <c r="F439" t="s">
        <v>181</v>
      </c>
      <c r="G439" s="120">
        <v>43909.574999999997</v>
      </c>
      <c r="H439" t="s">
        <v>245</v>
      </c>
      <c r="I439" t="s">
        <v>2521</v>
      </c>
      <c r="J439" t="s">
        <v>2522</v>
      </c>
      <c r="K439" t="s">
        <v>245</v>
      </c>
    </row>
    <row r="440" spans="1:11">
      <c r="A440" t="s">
        <v>2523</v>
      </c>
      <c r="B440" t="s">
        <v>431</v>
      </c>
      <c r="C440" s="120">
        <v>43914.627083333333</v>
      </c>
      <c r="D440" t="s">
        <v>2524</v>
      </c>
      <c r="E440" t="s">
        <v>176</v>
      </c>
      <c r="F440" t="s">
        <v>182</v>
      </c>
      <c r="G440" s="120">
        <v>43910.529861111114</v>
      </c>
      <c r="H440" t="s">
        <v>2525</v>
      </c>
      <c r="I440" t="s">
        <v>2526</v>
      </c>
      <c r="J440" t="s">
        <v>2527</v>
      </c>
      <c r="K440" t="s">
        <v>2528</v>
      </c>
    </row>
    <row r="441" spans="1:11">
      <c r="A441" t="s">
        <v>2529</v>
      </c>
      <c r="B441" t="s">
        <v>585</v>
      </c>
      <c r="C441" s="120">
        <v>43914.618055555555</v>
      </c>
      <c r="D441" t="s">
        <v>2530</v>
      </c>
      <c r="E441" t="s">
        <v>176</v>
      </c>
      <c r="F441" t="s">
        <v>182</v>
      </c>
      <c r="G441" s="120">
        <v>43902.335416666669</v>
      </c>
      <c r="H441" t="s">
        <v>2531</v>
      </c>
      <c r="I441" t="s">
        <v>2532</v>
      </c>
      <c r="J441" t="s">
        <v>2533</v>
      </c>
      <c r="K441" t="s">
        <v>2534</v>
      </c>
    </row>
    <row r="442" spans="1:11">
      <c r="A442" t="s">
        <v>2535</v>
      </c>
      <c r="B442" t="s">
        <v>585</v>
      </c>
      <c r="C442" s="120">
        <v>43914.616666666669</v>
      </c>
      <c r="D442" t="s">
        <v>2536</v>
      </c>
      <c r="E442" t="s">
        <v>176</v>
      </c>
      <c r="F442" t="s">
        <v>182</v>
      </c>
      <c r="G442" s="120">
        <v>43902.331250000003</v>
      </c>
      <c r="H442" t="s">
        <v>2537</v>
      </c>
      <c r="I442" t="s">
        <v>2538</v>
      </c>
      <c r="J442" t="s">
        <v>2539</v>
      </c>
      <c r="K442" t="s">
        <v>2540</v>
      </c>
    </row>
    <row r="443" spans="1:11">
      <c r="A443" t="s">
        <v>2541</v>
      </c>
      <c r="B443" t="s">
        <v>585</v>
      </c>
      <c r="C443" s="120">
        <v>43914.615277777775</v>
      </c>
      <c r="D443" t="s">
        <v>2542</v>
      </c>
      <c r="E443" t="s">
        <v>176</v>
      </c>
      <c r="F443" t="s">
        <v>182</v>
      </c>
      <c r="G443" s="120">
        <v>43902.333333333336</v>
      </c>
      <c r="H443" t="s">
        <v>2543</v>
      </c>
      <c r="I443" t="s">
        <v>2544</v>
      </c>
      <c r="J443" t="s">
        <v>2545</v>
      </c>
      <c r="K443" t="s">
        <v>2546</v>
      </c>
    </row>
    <row r="444" spans="1:11">
      <c r="A444" t="s">
        <v>2547</v>
      </c>
      <c r="B444" t="s">
        <v>585</v>
      </c>
      <c r="C444" s="120">
        <v>43914.611805555556</v>
      </c>
      <c r="D444" t="s">
        <v>2548</v>
      </c>
      <c r="E444" t="s">
        <v>176</v>
      </c>
      <c r="F444" t="s">
        <v>182</v>
      </c>
      <c r="G444" s="120">
        <v>43902.334722222222</v>
      </c>
      <c r="H444" t="s">
        <v>2549</v>
      </c>
      <c r="I444" t="s">
        <v>2550</v>
      </c>
      <c r="J444" t="s">
        <v>2551</v>
      </c>
      <c r="K444" t="s">
        <v>2552</v>
      </c>
    </row>
    <row r="445" spans="1:11">
      <c r="A445" t="s">
        <v>2553</v>
      </c>
      <c r="B445" t="s">
        <v>197</v>
      </c>
      <c r="C445" s="120">
        <v>43913.670138888891</v>
      </c>
      <c r="D445" t="s">
        <v>2554</v>
      </c>
      <c r="E445" t="s">
        <v>177</v>
      </c>
      <c r="F445" t="s">
        <v>181</v>
      </c>
      <c r="G445" s="120">
        <v>43910.5625</v>
      </c>
      <c r="H445" t="s">
        <v>2555</v>
      </c>
      <c r="I445" t="s">
        <v>2556</v>
      </c>
      <c r="J445" t="s">
        <v>245</v>
      </c>
      <c r="K445" t="s">
        <v>2557</v>
      </c>
    </row>
    <row r="446" spans="1:11">
      <c r="A446" t="s">
        <v>2558</v>
      </c>
      <c r="B446" t="s">
        <v>585</v>
      </c>
      <c r="C446" s="120">
        <v>43911.29791666667</v>
      </c>
      <c r="D446" t="s">
        <v>2559</v>
      </c>
      <c r="E446" t="s">
        <v>594</v>
      </c>
      <c r="F446" t="s">
        <v>179</v>
      </c>
      <c r="G446" s="120">
        <v>43908.386805555558</v>
      </c>
      <c r="H446" t="s">
        <v>2560</v>
      </c>
      <c r="I446" t="s">
        <v>2561</v>
      </c>
      <c r="J446" t="s">
        <v>245</v>
      </c>
      <c r="K446" t="s">
        <v>2562</v>
      </c>
    </row>
    <row r="447" spans="1:11">
      <c r="A447" t="s">
        <v>2563</v>
      </c>
      <c r="B447" t="s">
        <v>372</v>
      </c>
      <c r="C447" s="120">
        <v>43911.296527777777</v>
      </c>
      <c r="D447" t="s">
        <v>2564</v>
      </c>
      <c r="E447" t="s">
        <v>176</v>
      </c>
      <c r="F447" t="s">
        <v>183</v>
      </c>
      <c r="G447" s="120">
        <v>43908.381249999999</v>
      </c>
      <c r="H447" t="s">
        <v>95</v>
      </c>
      <c r="I447" t="s">
        <v>2564</v>
      </c>
      <c r="J447" t="s">
        <v>245</v>
      </c>
      <c r="K447" t="s">
        <v>2565</v>
      </c>
    </row>
    <row r="448" spans="1:11">
      <c r="A448" t="s">
        <v>2566</v>
      </c>
      <c r="B448" t="s">
        <v>372</v>
      </c>
      <c r="C448" s="120">
        <v>43911.29583333333</v>
      </c>
      <c r="D448" t="s">
        <v>2567</v>
      </c>
      <c r="E448" t="s">
        <v>329</v>
      </c>
      <c r="F448" t="s">
        <v>183</v>
      </c>
      <c r="G448" s="120">
        <v>43909.416666666664</v>
      </c>
      <c r="H448" t="s">
        <v>2568</v>
      </c>
      <c r="I448" t="s">
        <v>2567</v>
      </c>
      <c r="J448" t="s">
        <v>245</v>
      </c>
      <c r="K448" t="s">
        <v>2569</v>
      </c>
    </row>
    <row r="449" spans="1:11">
      <c r="A449" t="s">
        <v>2570</v>
      </c>
      <c r="B449" t="s">
        <v>197</v>
      </c>
      <c r="C449" s="120">
        <v>43911.292361111111</v>
      </c>
      <c r="D449" t="s">
        <v>2571</v>
      </c>
      <c r="E449" t="s">
        <v>594</v>
      </c>
      <c r="F449" t="s">
        <v>179</v>
      </c>
      <c r="G449" s="120">
        <v>43907.27847222222</v>
      </c>
      <c r="H449" t="s">
        <v>2572</v>
      </c>
      <c r="I449" t="s">
        <v>2573</v>
      </c>
      <c r="J449" t="s">
        <v>245</v>
      </c>
      <c r="K449" t="s">
        <v>2574</v>
      </c>
    </row>
    <row r="450" spans="1:11">
      <c r="A450" t="s">
        <v>2575</v>
      </c>
      <c r="B450" t="s">
        <v>2576</v>
      </c>
      <c r="C450" s="120">
        <v>43911.291666666664</v>
      </c>
      <c r="D450" t="s">
        <v>2577</v>
      </c>
      <c r="E450" t="s">
        <v>329</v>
      </c>
      <c r="F450" t="s">
        <v>183</v>
      </c>
      <c r="G450" s="120">
        <v>43906.586111111108</v>
      </c>
      <c r="H450" t="s">
        <v>2578</v>
      </c>
      <c r="I450" t="s">
        <v>2579</v>
      </c>
      <c r="J450" t="s">
        <v>245</v>
      </c>
      <c r="K450" t="s">
        <v>2580</v>
      </c>
    </row>
    <row r="451" spans="1:11">
      <c r="A451" t="s">
        <v>2581</v>
      </c>
      <c r="B451" t="s">
        <v>197</v>
      </c>
      <c r="C451" s="120">
        <v>43911.290277777778</v>
      </c>
      <c r="D451" t="s">
        <v>2582</v>
      </c>
      <c r="E451" t="s">
        <v>329</v>
      </c>
      <c r="F451" t="s">
        <v>183</v>
      </c>
      <c r="G451" s="120">
        <v>43906.59097222222</v>
      </c>
      <c r="H451" t="s">
        <v>2583</v>
      </c>
      <c r="I451" t="s">
        <v>2579</v>
      </c>
      <c r="J451" t="s">
        <v>245</v>
      </c>
      <c r="K451" t="s">
        <v>2584</v>
      </c>
    </row>
    <row r="452" spans="1:11">
      <c r="A452" t="s">
        <v>2585</v>
      </c>
      <c r="B452" t="s">
        <v>372</v>
      </c>
      <c r="C452" s="120">
        <v>43911.28402777778</v>
      </c>
      <c r="D452" t="s">
        <v>2586</v>
      </c>
      <c r="E452" t="s">
        <v>177</v>
      </c>
      <c r="F452" t="s">
        <v>183</v>
      </c>
      <c r="G452" s="120">
        <v>43907.277083333334</v>
      </c>
      <c r="H452" t="s">
        <v>2587</v>
      </c>
      <c r="I452" t="s">
        <v>2588</v>
      </c>
      <c r="J452" t="s">
        <v>245</v>
      </c>
      <c r="K452" t="s">
        <v>2589</v>
      </c>
    </row>
    <row r="453" spans="1:11">
      <c r="A453" t="s">
        <v>2590</v>
      </c>
      <c r="B453" t="s">
        <v>197</v>
      </c>
      <c r="C453" s="120">
        <v>43911.283333333333</v>
      </c>
      <c r="D453" t="s">
        <v>2591</v>
      </c>
      <c r="E453" t="s">
        <v>2592</v>
      </c>
      <c r="F453" t="s">
        <v>182</v>
      </c>
      <c r="G453" s="120">
        <v>43902.338194444441</v>
      </c>
      <c r="H453" t="s">
        <v>2593</v>
      </c>
      <c r="I453" t="s">
        <v>2594</v>
      </c>
      <c r="J453" t="s">
        <v>245</v>
      </c>
      <c r="K453" t="s">
        <v>2595</v>
      </c>
    </row>
    <row r="454" spans="1:11">
      <c r="A454" t="s">
        <v>2596</v>
      </c>
      <c r="B454" t="s">
        <v>204</v>
      </c>
      <c r="C454" s="120">
        <v>43911.28125</v>
      </c>
      <c r="D454" t="s">
        <v>2597</v>
      </c>
      <c r="E454" t="s">
        <v>2598</v>
      </c>
      <c r="F454" t="s">
        <v>178</v>
      </c>
      <c r="G454" s="120">
        <v>43906.671527777777</v>
      </c>
      <c r="H454" t="s">
        <v>2599</v>
      </c>
      <c r="I454" t="s">
        <v>2600</v>
      </c>
      <c r="J454" t="s">
        <v>245</v>
      </c>
      <c r="K454" t="s">
        <v>2601</v>
      </c>
    </row>
    <row r="455" spans="1:11">
      <c r="A455" t="s">
        <v>2602</v>
      </c>
      <c r="B455" t="s">
        <v>772</v>
      </c>
      <c r="C455" s="120">
        <v>43911.280555555553</v>
      </c>
      <c r="D455" t="s">
        <v>2603</v>
      </c>
      <c r="E455" t="s">
        <v>2598</v>
      </c>
      <c r="F455" t="s">
        <v>179</v>
      </c>
      <c r="G455" s="120">
        <v>43906.666666666664</v>
      </c>
      <c r="H455" t="s">
        <v>2604</v>
      </c>
      <c r="I455" t="s">
        <v>2605</v>
      </c>
      <c r="J455" t="s">
        <v>245</v>
      </c>
      <c r="K455" t="s">
        <v>2606</v>
      </c>
    </row>
    <row r="456" spans="1:11">
      <c r="A456" t="s">
        <v>2607</v>
      </c>
      <c r="B456" t="s">
        <v>2608</v>
      </c>
      <c r="C456" s="120">
        <v>43911.274305555555</v>
      </c>
      <c r="D456" t="s">
        <v>2609</v>
      </c>
      <c r="E456" t="s">
        <v>329</v>
      </c>
      <c r="F456" t="s">
        <v>182</v>
      </c>
      <c r="G456" s="120">
        <v>43894.490277777775</v>
      </c>
      <c r="H456" t="s">
        <v>2610</v>
      </c>
      <c r="I456" t="s">
        <v>2611</v>
      </c>
      <c r="J456" t="s">
        <v>2612</v>
      </c>
      <c r="K456" t="s">
        <v>2613</v>
      </c>
    </row>
    <row r="457" spans="1:11">
      <c r="A457" t="s">
        <v>2614</v>
      </c>
      <c r="B457" t="s">
        <v>2608</v>
      </c>
      <c r="C457" s="120">
        <v>43911.274305555555</v>
      </c>
      <c r="D457" t="s">
        <v>2615</v>
      </c>
      <c r="E457" t="s">
        <v>329</v>
      </c>
      <c r="F457" t="s">
        <v>183</v>
      </c>
      <c r="G457" s="120">
        <v>43895.444444444445</v>
      </c>
      <c r="H457" t="s">
        <v>2616</v>
      </c>
      <c r="I457" t="s">
        <v>2617</v>
      </c>
      <c r="J457" t="s">
        <v>245</v>
      </c>
      <c r="K457" t="s">
        <v>2618</v>
      </c>
    </row>
    <row r="458" spans="1:11">
      <c r="A458" t="s">
        <v>2553</v>
      </c>
      <c r="B458" t="s">
        <v>197</v>
      </c>
      <c r="C458" s="120">
        <v>43910.422222222223</v>
      </c>
      <c r="D458" t="s">
        <v>2619</v>
      </c>
      <c r="E458" t="s">
        <v>177</v>
      </c>
      <c r="F458" t="s">
        <v>179</v>
      </c>
      <c r="G458" s="120">
        <v>43910.421527777777</v>
      </c>
      <c r="H458" t="s">
        <v>2555</v>
      </c>
      <c r="I458" t="s">
        <v>2620</v>
      </c>
      <c r="J458" t="s">
        <v>245</v>
      </c>
      <c r="K458" t="s">
        <v>2557</v>
      </c>
    </row>
    <row r="459" spans="1:11">
      <c r="A459" t="s">
        <v>2602</v>
      </c>
      <c r="B459" t="s">
        <v>772</v>
      </c>
      <c r="C459" s="120">
        <v>43906.64166666667</v>
      </c>
      <c r="D459" t="s">
        <v>2621</v>
      </c>
      <c r="E459" t="s">
        <v>206</v>
      </c>
      <c r="F459" t="s">
        <v>180</v>
      </c>
      <c r="G459" s="120">
        <v>43900.669444444444</v>
      </c>
      <c r="H459" t="s">
        <v>2604</v>
      </c>
      <c r="I459" t="s">
        <v>2622</v>
      </c>
      <c r="J459" t="s">
        <v>2623</v>
      </c>
      <c r="K459" t="s">
        <v>2606</v>
      </c>
    </row>
    <row r="460" spans="1:11">
      <c r="A460" t="s">
        <v>2596</v>
      </c>
      <c r="B460" t="s">
        <v>204</v>
      </c>
      <c r="C460" s="120">
        <v>43906.64166666667</v>
      </c>
      <c r="D460" t="s">
        <v>2624</v>
      </c>
      <c r="E460" t="s">
        <v>206</v>
      </c>
      <c r="F460" t="s">
        <v>180</v>
      </c>
      <c r="G460" s="120">
        <v>43900.568055555559</v>
      </c>
      <c r="H460" t="s">
        <v>2599</v>
      </c>
      <c r="I460" t="s">
        <v>2625</v>
      </c>
      <c r="J460" t="s">
        <v>2626</v>
      </c>
      <c r="K460" t="s">
        <v>2601</v>
      </c>
    </row>
    <row r="461" spans="1:11">
      <c r="A461" t="s">
        <v>2596</v>
      </c>
      <c r="B461" t="s">
        <v>204</v>
      </c>
      <c r="C461" s="120">
        <v>43906.64166666667</v>
      </c>
      <c r="D461" t="s">
        <v>2627</v>
      </c>
      <c r="E461" t="s">
        <v>206</v>
      </c>
      <c r="F461" t="s">
        <v>180</v>
      </c>
      <c r="G461" s="120">
        <v>43899.774305555555</v>
      </c>
      <c r="H461" t="s">
        <v>2599</v>
      </c>
      <c r="I461" t="s">
        <v>2628</v>
      </c>
      <c r="J461" t="s">
        <v>2629</v>
      </c>
      <c r="K461" t="s">
        <v>2601</v>
      </c>
    </row>
    <row r="462" spans="1:11">
      <c r="A462" t="s">
        <v>2596</v>
      </c>
      <c r="B462" t="s">
        <v>204</v>
      </c>
      <c r="C462" s="120">
        <v>43906.64166666667</v>
      </c>
      <c r="D462" t="s">
        <v>2599</v>
      </c>
      <c r="E462" t="s">
        <v>329</v>
      </c>
      <c r="F462" t="s">
        <v>180</v>
      </c>
      <c r="G462" s="120">
        <v>43899.767361111109</v>
      </c>
      <c r="H462" t="s">
        <v>2599</v>
      </c>
      <c r="I462" t="s">
        <v>2630</v>
      </c>
      <c r="J462" t="s">
        <v>245</v>
      </c>
      <c r="K462" t="s">
        <v>2601</v>
      </c>
    </row>
    <row r="463" spans="1:11">
      <c r="A463" t="s">
        <v>2385</v>
      </c>
      <c r="B463" t="s">
        <v>585</v>
      </c>
      <c r="C463" s="120">
        <v>43904.654861111114</v>
      </c>
      <c r="D463" t="s">
        <v>2631</v>
      </c>
      <c r="E463" t="s">
        <v>329</v>
      </c>
      <c r="F463" t="s">
        <v>182</v>
      </c>
      <c r="G463" s="120">
        <v>43899.605555555558</v>
      </c>
      <c r="H463" t="s">
        <v>2387</v>
      </c>
      <c r="I463" t="s">
        <v>2632</v>
      </c>
      <c r="J463" t="s">
        <v>2633</v>
      </c>
      <c r="K463" t="s">
        <v>2389</v>
      </c>
    </row>
    <row r="464" spans="1:11">
      <c r="A464" t="s">
        <v>2634</v>
      </c>
      <c r="B464" t="s">
        <v>585</v>
      </c>
      <c r="C464" s="120">
        <v>43903.581250000003</v>
      </c>
      <c r="D464" t="s">
        <v>2635</v>
      </c>
      <c r="E464" t="s">
        <v>177</v>
      </c>
      <c r="F464" t="s">
        <v>182</v>
      </c>
      <c r="G464" s="120">
        <v>43903.331944444442</v>
      </c>
      <c r="H464" t="s">
        <v>2636</v>
      </c>
      <c r="I464" t="s">
        <v>2637</v>
      </c>
      <c r="J464" t="s">
        <v>2638</v>
      </c>
      <c r="K464" t="s">
        <v>2639</v>
      </c>
    </row>
  </sheetData>
  <sortState ref="A13:I158">
    <sortCondition ref="D13:D158"/>
    <sortCondition ref="E13:E158"/>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0C17E-7844-489D-A9F7-65224DE6BD7B}">
  <sheetPr codeName="Sheet5"/>
  <dimension ref="A1:E30"/>
  <sheetViews>
    <sheetView workbookViewId="0">
      <selection activeCell="B3" sqref="B3"/>
    </sheetView>
  </sheetViews>
  <sheetFormatPr baseColWidth="10" defaultColWidth="8.83203125" defaultRowHeight="15"/>
  <cols>
    <col min="1" max="1" width="15.33203125" bestFit="1" customWidth="1"/>
    <col min="2" max="2" width="37.6640625" bestFit="1" customWidth="1"/>
    <col min="3" max="3" width="26.5" style="121" customWidth="1"/>
    <col min="4" max="4" width="14.6640625" style="122" customWidth="1"/>
    <col min="5" max="5" width="29.1640625" style="122" customWidth="1"/>
  </cols>
  <sheetData>
    <row r="1" spans="1:5">
      <c r="A1" s="12" t="s">
        <v>2640</v>
      </c>
      <c r="B1" s="12" t="s">
        <v>2641</v>
      </c>
      <c r="C1" s="123" t="s">
        <v>50</v>
      </c>
      <c r="D1" s="124" t="s">
        <v>2642</v>
      </c>
      <c r="E1" s="124" t="s">
        <v>2643</v>
      </c>
    </row>
    <row r="2" spans="1:5">
      <c r="A2" t="s">
        <v>23</v>
      </c>
      <c r="B2" t="s">
        <v>2644</v>
      </c>
      <c r="C2" s="121">
        <v>650</v>
      </c>
      <c r="D2" s="122">
        <v>601</v>
      </c>
      <c r="E2" s="122">
        <v>374</v>
      </c>
    </row>
    <row r="3" spans="1:5">
      <c r="A3" t="s">
        <v>23</v>
      </c>
      <c r="B3" t="s">
        <v>2645</v>
      </c>
      <c r="C3" s="121">
        <v>12339</v>
      </c>
      <c r="D3" s="122">
        <v>1689</v>
      </c>
      <c r="E3" s="122">
        <v>726</v>
      </c>
    </row>
    <row r="4" spans="1:5">
      <c r="A4" t="s">
        <v>24</v>
      </c>
      <c r="C4" s="121">
        <v>1100</v>
      </c>
      <c r="D4" s="122">
        <v>1096</v>
      </c>
      <c r="E4" s="122">
        <v>1</v>
      </c>
    </row>
    <row r="5" spans="1:5">
      <c r="A5" t="s">
        <v>25</v>
      </c>
      <c r="C5" s="121">
        <v>1500</v>
      </c>
      <c r="D5" s="122">
        <v>2030</v>
      </c>
      <c r="E5" s="122">
        <v>10</v>
      </c>
    </row>
    <row r="6" spans="1:5">
      <c r="A6" t="s">
        <v>26</v>
      </c>
      <c r="C6" s="121">
        <v>400</v>
      </c>
      <c r="D6" s="122">
        <v>1464</v>
      </c>
      <c r="E6" s="122">
        <v>0</v>
      </c>
    </row>
    <row r="7" spans="1:5">
      <c r="A7" t="s">
        <v>27</v>
      </c>
      <c r="C7" s="121">
        <v>400</v>
      </c>
      <c r="D7" s="122">
        <v>1434</v>
      </c>
      <c r="E7" s="122">
        <v>826</v>
      </c>
    </row>
    <row r="8" spans="1:5">
      <c r="A8" t="s">
        <v>28</v>
      </c>
      <c r="C8" s="121">
        <v>1100</v>
      </c>
      <c r="D8" s="122">
        <v>1043</v>
      </c>
      <c r="E8" s="122">
        <v>815</v>
      </c>
    </row>
    <row r="9" spans="1:5">
      <c r="A9" t="s">
        <v>29</v>
      </c>
      <c r="C9" s="121">
        <v>550</v>
      </c>
      <c r="D9" s="122">
        <v>402</v>
      </c>
      <c r="E9" s="122">
        <v>402</v>
      </c>
    </row>
    <row r="10" spans="1:5">
      <c r="A10" t="s">
        <v>30</v>
      </c>
      <c r="C10" s="121">
        <v>300</v>
      </c>
      <c r="D10" s="122">
        <v>675</v>
      </c>
      <c r="E10" s="122">
        <v>0</v>
      </c>
    </row>
    <row r="11" spans="1:5">
      <c r="A11" t="s">
        <v>31</v>
      </c>
      <c r="C11" s="121">
        <v>700</v>
      </c>
      <c r="D11" s="122">
        <v>732</v>
      </c>
      <c r="E11" s="122">
        <v>667</v>
      </c>
    </row>
    <row r="12" spans="1:5">
      <c r="A12" t="s">
        <v>32</v>
      </c>
      <c r="C12" s="121">
        <v>400</v>
      </c>
      <c r="D12" s="122">
        <v>615</v>
      </c>
      <c r="E12" s="122">
        <v>0</v>
      </c>
    </row>
    <row r="13" spans="1:5">
      <c r="A13" t="s">
        <v>33</v>
      </c>
      <c r="C13" s="121">
        <v>400</v>
      </c>
      <c r="D13" s="122">
        <v>1757</v>
      </c>
      <c r="E13" s="122">
        <v>693</v>
      </c>
    </row>
    <row r="14" spans="1:5">
      <c r="A14" t="s">
        <v>2646</v>
      </c>
      <c r="C14" s="121">
        <v>0</v>
      </c>
      <c r="D14" s="121">
        <v>0</v>
      </c>
      <c r="E14" s="121">
        <v>0</v>
      </c>
    </row>
    <row r="15" spans="1:5">
      <c r="A15" t="s">
        <v>2646</v>
      </c>
      <c r="C15" s="121">
        <v>0</v>
      </c>
      <c r="D15" s="121">
        <v>0</v>
      </c>
      <c r="E15" s="121">
        <v>0</v>
      </c>
    </row>
    <row r="16" spans="1:5">
      <c r="A16" t="s">
        <v>2646</v>
      </c>
      <c r="C16" s="121">
        <v>0</v>
      </c>
      <c r="D16" s="121">
        <v>0</v>
      </c>
      <c r="E16" s="121">
        <v>0</v>
      </c>
    </row>
    <row r="17" spans="1:5">
      <c r="A17" t="s">
        <v>2646</v>
      </c>
      <c r="C17" s="121">
        <v>0</v>
      </c>
      <c r="D17" s="121">
        <v>0</v>
      </c>
      <c r="E17" s="121">
        <v>0</v>
      </c>
    </row>
    <row r="18" spans="1:5">
      <c r="A18" t="s">
        <v>2646</v>
      </c>
      <c r="C18" s="121">
        <v>0</v>
      </c>
      <c r="D18" s="121">
        <v>0</v>
      </c>
      <c r="E18" s="121">
        <v>0</v>
      </c>
    </row>
    <row r="19" spans="1:5">
      <c r="A19" t="s">
        <v>2646</v>
      </c>
      <c r="C19" s="121">
        <v>0</v>
      </c>
      <c r="D19" s="121">
        <v>0</v>
      </c>
      <c r="E19" s="121">
        <v>0</v>
      </c>
    </row>
    <row r="20" spans="1:5">
      <c r="A20" t="s">
        <v>2646</v>
      </c>
      <c r="C20" s="121">
        <v>0</v>
      </c>
      <c r="D20" s="121">
        <v>0</v>
      </c>
      <c r="E20" s="121">
        <v>0</v>
      </c>
    </row>
    <row r="21" spans="1:5">
      <c r="A21" t="s">
        <v>2646</v>
      </c>
      <c r="C21" s="121">
        <v>0</v>
      </c>
      <c r="D21" s="121">
        <v>0</v>
      </c>
      <c r="E21" s="121">
        <v>0</v>
      </c>
    </row>
    <row r="22" spans="1:5">
      <c r="A22" t="s">
        <v>2646</v>
      </c>
      <c r="C22" s="121">
        <v>0</v>
      </c>
      <c r="D22" s="121">
        <v>0</v>
      </c>
      <c r="E22" s="121">
        <v>0</v>
      </c>
    </row>
    <row r="23" spans="1:5">
      <c r="A23" t="s">
        <v>2646</v>
      </c>
      <c r="C23" s="121">
        <v>0</v>
      </c>
      <c r="D23" s="121">
        <v>0</v>
      </c>
      <c r="E23" s="121">
        <v>0</v>
      </c>
    </row>
    <row r="24" spans="1:5">
      <c r="A24" t="s">
        <v>2646</v>
      </c>
      <c r="C24" s="121">
        <v>0</v>
      </c>
      <c r="D24" s="121">
        <v>0</v>
      </c>
      <c r="E24" s="121">
        <v>0</v>
      </c>
    </row>
    <row r="25" spans="1:5">
      <c r="A25" t="s">
        <v>2646</v>
      </c>
      <c r="C25" s="121">
        <v>0</v>
      </c>
      <c r="D25" s="121">
        <v>0</v>
      </c>
      <c r="E25" s="121">
        <v>0</v>
      </c>
    </row>
    <row r="26" spans="1:5">
      <c r="A26" t="s">
        <v>2646</v>
      </c>
      <c r="C26" s="121">
        <v>0</v>
      </c>
      <c r="D26" s="121">
        <v>0</v>
      </c>
      <c r="E26" s="121">
        <v>0</v>
      </c>
    </row>
    <row r="27" spans="1:5">
      <c r="A27" t="s">
        <v>2646</v>
      </c>
      <c r="C27" s="121">
        <v>0</v>
      </c>
      <c r="D27" s="121">
        <v>0</v>
      </c>
      <c r="E27" s="121">
        <v>0</v>
      </c>
    </row>
    <row r="28" spans="1:5">
      <c r="A28" t="s">
        <v>2646</v>
      </c>
      <c r="C28" s="121">
        <v>0</v>
      </c>
      <c r="D28" s="121">
        <v>0</v>
      </c>
      <c r="E28" s="121">
        <v>0</v>
      </c>
    </row>
    <row r="29" spans="1:5">
      <c r="A29" s="164" t="s">
        <v>2646</v>
      </c>
      <c r="B29" s="164"/>
      <c r="C29" s="165">
        <v>0</v>
      </c>
      <c r="D29" s="165">
        <v>0</v>
      </c>
      <c r="E29" s="165">
        <v>0</v>
      </c>
    </row>
    <row r="30" spans="1:5" s="12" customFormat="1">
      <c r="A30" s="12" t="s">
        <v>61</v>
      </c>
      <c r="C30" s="124">
        <f>SUM(C2:C29)</f>
        <v>19839</v>
      </c>
      <c r="D30" s="124">
        <f>SUM(D2:D29)</f>
        <v>13538</v>
      </c>
      <c r="E30" s="124">
        <f>SUM(E2:E29)</f>
        <v>4514</v>
      </c>
    </row>
  </sheetData>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5D1D-4B68-454B-8229-996F855A1CC8}">
  <sheetPr filterMode="1"/>
  <dimension ref="A1:S1102"/>
  <sheetViews>
    <sheetView zoomScale="70" zoomScaleNormal="70" workbookViewId="0">
      <pane ySplit="2" topLeftCell="A3" activePane="bottomLeft" state="frozen"/>
      <selection pane="bottomLeft" activeCell="R2" sqref="R2"/>
    </sheetView>
  </sheetViews>
  <sheetFormatPr baseColWidth="10" defaultColWidth="8.83203125" defaultRowHeight="15"/>
  <cols>
    <col min="1" max="1" width="11.5" customWidth="1"/>
    <col min="2" max="2" width="17.5" style="42" customWidth="1"/>
    <col min="3" max="3" width="20.6640625" style="314" bestFit="1" customWidth="1"/>
    <col min="4" max="4" width="20.5" style="314" bestFit="1" customWidth="1"/>
    <col min="5" max="5" width="10.5" bestFit="1" customWidth="1"/>
    <col min="6" max="6" width="34.5" bestFit="1" customWidth="1"/>
    <col min="7" max="7" width="50.83203125" hidden="1" customWidth="1"/>
    <col min="8" max="8" width="11.33203125" bestFit="1" customWidth="1"/>
    <col min="9" max="9" width="14.6640625" hidden="1" customWidth="1"/>
    <col min="10" max="10" width="22.83203125" style="127" hidden="1" customWidth="1"/>
    <col min="11" max="11" width="21.1640625" hidden="1" customWidth="1"/>
    <col min="12" max="12" width="19.83203125" style="122" hidden="1" customWidth="1"/>
    <col min="13" max="13" width="22" hidden="1" customWidth="1"/>
    <col min="14" max="14" width="27.1640625" style="122" hidden="1" customWidth="1"/>
    <col min="15" max="15" width="29.33203125" hidden="1" customWidth="1"/>
    <col min="16" max="16" width="25.1640625" hidden="1" customWidth="1"/>
    <col min="17" max="17" width="58.5" style="143" hidden="1" customWidth="1"/>
    <col min="18" max="18" width="26.5" bestFit="1" customWidth="1"/>
  </cols>
  <sheetData>
    <row r="1" spans="1:19" s="143" customFormat="1" ht="17" thickBot="1">
      <c r="B1" s="315"/>
      <c r="C1" s="312"/>
      <c r="D1" s="312"/>
      <c r="E1" s="34"/>
      <c r="F1" s="34"/>
      <c r="G1" s="34"/>
      <c r="I1" s="451" t="s">
        <v>2647</v>
      </c>
      <c r="J1" s="452"/>
      <c r="K1" s="452"/>
      <c r="L1" s="452"/>
      <c r="M1" s="452"/>
      <c r="N1" s="452"/>
      <c r="O1" s="453"/>
      <c r="P1" s="146" t="s">
        <v>2648</v>
      </c>
    </row>
    <row r="2" spans="1:19" s="143" customFormat="1" ht="32">
      <c r="A2" s="143" t="s">
        <v>2649</v>
      </c>
      <c r="B2" s="315" t="s">
        <v>2640</v>
      </c>
      <c r="C2" s="316" t="s">
        <v>50</v>
      </c>
      <c r="D2" s="316" t="s">
        <v>2650</v>
      </c>
      <c r="E2" s="144" t="s">
        <v>2651</v>
      </c>
      <c r="F2" s="144" t="s">
        <v>53</v>
      </c>
      <c r="G2" s="144" t="s">
        <v>2652</v>
      </c>
      <c r="H2" s="144" t="s">
        <v>22</v>
      </c>
      <c r="I2" s="147" t="s">
        <v>2653</v>
      </c>
      <c r="J2" s="317" t="s">
        <v>2654</v>
      </c>
      <c r="K2" s="147" t="s">
        <v>2655</v>
      </c>
      <c r="L2" s="317" t="s">
        <v>2656</v>
      </c>
      <c r="M2" s="147" t="s">
        <v>2657</v>
      </c>
      <c r="N2" s="317" t="s">
        <v>2658</v>
      </c>
      <c r="O2" s="147" t="s">
        <v>2659</v>
      </c>
      <c r="P2" s="145" t="s">
        <v>2660</v>
      </c>
      <c r="Q2" s="143" t="s">
        <v>2661</v>
      </c>
      <c r="R2" s="367" t="s">
        <v>2662</v>
      </c>
      <c r="S2" s="367" t="s">
        <v>2663</v>
      </c>
    </row>
    <row r="3" spans="1:19" ht="16">
      <c r="A3">
        <v>3</v>
      </c>
      <c r="B3" s="42" t="s">
        <v>23</v>
      </c>
      <c r="C3" s="313">
        <v>6500</v>
      </c>
      <c r="D3" s="313"/>
      <c r="E3" s="2">
        <v>1</v>
      </c>
      <c r="F3" t="s">
        <v>66</v>
      </c>
      <c r="G3" t="s">
        <v>2664</v>
      </c>
      <c r="H3" s="2" t="s">
        <v>67</v>
      </c>
      <c r="I3" s="2">
        <v>1</v>
      </c>
      <c r="K3" s="2"/>
      <c r="L3" s="127"/>
      <c r="M3" s="2"/>
      <c r="N3" s="127"/>
      <c r="O3" s="2"/>
      <c r="P3" s="3">
        <f>IF(O3="NR","NR",((((C3+D3)*I3)*90)+(J3*90)+(((C3+D3)*K3)*3)+(L3*3)+((C3+D3)*M3)+N3))</f>
        <v>585000</v>
      </c>
      <c r="Q3" s="143" t="s">
        <v>2665</v>
      </c>
      <c r="R3" s="127">
        <f>SUM(P3)/90</f>
        <v>6500</v>
      </c>
      <c r="S3" s="118">
        <f>R3*7</f>
        <v>45500</v>
      </c>
    </row>
    <row r="4" spans="1:19" ht="48">
      <c r="A4">
        <v>4</v>
      </c>
      <c r="B4" s="42" t="s">
        <v>23</v>
      </c>
      <c r="C4" s="313">
        <v>6500</v>
      </c>
      <c r="D4" s="313"/>
      <c r="E4" s="2">
        <v>2</v>
      </c>
      <c r="F4" t="s">
        <v>68</v>
      </c>
      <c r="G4" t="str">
        <f t="shared" ref="G4:G67" si="0">_xlfn.SINGLE(_xlfn.CONCAT(B4,F4))</f>
        <v>FAS-CentralizedMasks (Surgical)</v>
      </c>
      <c r="H4" s="2" t="s">
        <v>67</v>
      </c>
      <c r="I4" s="2">
        <v>3</v>
      </c>
      <c r="J4" s="127">
        <v>26000</v>
      </c>
      <c r="K4" s="2"/>
      <c r="L4" s="127"/>
      <c r="M4" s="2"/>
      <c r="N4" s="127"/>
      <c r="O4" s="2"/>
      <c r="P4" s="3">
        <f t="shared" ref="P4:P67" si="1">IF(O4="NR","NR",((((C4+D4)*I4)*90)+(J4*90)+(((C4+D4)*K4)*3)+(L4*3)+((C4+D4)*M4)+N4))</f>
        <v>4095000</v>
      </c>
      <c r="Q4" s="126" t="s">
        <v>2666</v>
      </c>
      <c r="R4" s="127">
        <f t="shared" ref="R4:R18" si="2">SUM(P4)/90</f>
        <v>45500</v>
      </c>
      <c r="S4" s="118">
        <f t="shared" ref="S4:S67" si="3">R4*7</f>
        <v>318500</v>
      </c>
    </row>
    <row r="5" spans="1:19" ht="16">
      <c r="A5">
        <v>5</v>
      </c>
      <c r="B5" s="42" t="s">
        <v>23</v>
      </c>
      <c r="C5" s="313">
        <v>6500</v>
      </c>
      <c r="D5" s="313"/>
      <c r="E5" s="2">
        <v>3</v>
      </c>
      <c r="F5" t="s">
        <v>70</v>
      </c>
      <c r="G5" t="str">
        <f t="shared" si="0"/>
        <v>FAS-CentralizedNitrile Gloves (Public Safety)</v>
      </c>
      <c r="H5" s="2" t="s">
        <v>71</v>
      </c>
      <c r="I5" s="2">
        <v>3</v>
      </c>
      <c r="K5" s="2"/>
      <c r="L5" s="127"/>
      <c r="M5" s="2"/>
      <c r="N5" s="127"/>
      <c r="O5" s="2"/>
      <c r="P5" s="3">
        <f t="shared" si="1"/>
        <v>1755000</v>
      </c>
      <c r="Q5" s="143" t="s">
        <v>2667</v>
      </c>
      <c r="R5" s="127">
        <f t="shared" si="2"/>
        <v>19500</v>
      </c>
      <c r="S5" s="118">
        <f t="shared" si="3"/>
        <v>136500</v>
      </c>
    </row>
    <row r="6" spans="1:19" ht="16">
      <c r="A6">
        <v>6</v>
      </c>
      <c r="B6" s="42" t="s">
        <v>23</v>
      </c>
      <c r="C6" s="313">
        <v>6500</v>
      </c>
      <c r="D6" s="313"/>
      <c r="E6" s="2">
        <v>4</v>
      </c>
      <c r="F6" t="s">
        <v>72</v>
      </c>
      <c r="G6" t="str">
        <f t="shared" si="0"/>
        <v>FAS-CentralizedNitrile Gloves (General Use)</v>
      </c>
      <c r="H6" s="2" t="s">
        <v>71</v>
      </c>
      <c r="I6" s="2">
        <v>3</v>
      </c>
      <c r="K6" s="2"/>
      <c r="L6" s="127"/>
      <c r="M6" s="2"/>
      <c r="N6" s="127"/>
      <c r="O6" s="2"/>
      <c r="P6" s="3">
        <f t="shared" si="1"/>
        <v>1755000</v>
      </c>
      <c r="Q6" s="143" t="s">
        <v>2668</v>
      </c>
      <c r="R6" s="127">
        <f t="shared" si="2"/>
        <v>19500</v>
      </c>
      <c r="S6" s="118">
        <f t="shared" si="3"/>
        <v>136500</v>
      </c>
    </row>
    <row r="7" spans="1:19" ht="16">
      <c r="A7">
        <v>7</v>
      </c>
      <c r="B7" s="42" t="s">
        <v>23</v>
      </c>
      <c r="C7" s="313">
        <v>6500</v>
      </c>
      <c r="D7" s="313"/>
      <c r="E7" s="2">
        <v>5</v>
      </c>
      <c r="F7" t="s">
        <v>2669</v>
      </c>
      <c r="G7" t="str">
        <f t="shared" si="0"/>
        <v>FAS-CentralizedSurgical gowns</v>
      </c>
      <c r="H7" s="2" t="s">
        <v>67</v>
      </c>
      <c r="I7" s="2"/>
      <c r="J7" s="127">
        <v>1000</v>
      </c>
      <c r="K7" s="2"/>
      <c r="L7" s="127"/>
      <c r="M7" s="2"/>
      <c r="N7" s="127"/>
      <c r="O7" s="2"/>
      <c r="P7" s="3">
        <f t="shared" si="1"/>
        <v>90000</v>
      </c>
      <c r="Q7" s="143" t="s">
        <v>2670</v>
      </c>
      <c r="R7" s="127">
        <f t="shared" si="2"/>
        <v>1000</v>
      </c>
      <c r="S7" s="118">
        <f t="shared" si="3"/>
        <v>7000</v>
      </c>
    </row>
    <row r="8" spans="1:19" ht="16">
      <c r="A8">
        <v>8</v>
      </c>
      <c r="B8" s="42" t="s">
        <v>23</v>
      </c>
      <c r="C8" s="313">
        <v>6500</v>
      </c>
      <c r="D8" s="313"/>
      <c r="E8" s="2">
        <v>6</v>
      </c>
      <c r="F8" t="s">
        <v>78</v>
      </c>
      <c r="G8" t="str">
        <f t="shared" si="0"/>
        <v>FAS-CentralizedDisinfectant Wipes</v>
      </c>
      <c r="H8" s="2" t="s">
        <v>79</v>
      </c>
      <c r="I8" s="2"/>
      <c r="K8" s="2"/>
      <c r="L8" s="127"/>
      <c r="M8" s="2">
        <v>3</v>
      </c>
      <c r="N8" s="127"/>
      <c r="O8" s="2"/>
      <c r="P8" s="3">
        <f t="shared" si="1"/>
        <v>19500</v>
      </c>
      <c r="Q8" s="143" t="s">
        <v>2671</v>
      </c>
      <c r="R8" s="127">
        <f t="shared" si="2"/>
        <v>216.66666666666666</v>
      </c>
      <c r="S8" s="118">
        <f t="shared" si="3"/>
        <v>1516.6666666666665</v>
      </c>
    </row>
    <row r="9" spans="1:19" ht="16">
      <c r="A9">
        <v>9</v>
      </c>
      <c r="B9" s="42" t="s">
        <v>23</v>
      </c>
      <c r="C9" s="313">
        <v>6500</v>
      </c>
      <c r="D9" s="313"/>
      <c r="E9" s="2">
        <v>7</v>
      </c>
      <c r="F9" t="s">
        <v>80</v>
      </c>
      <c r="G9" t="str">
        <f t="shared" si="0"/>
        <v>FAS-CentralizedAntimicrobial (PAWS) Wipes</v>
      </c>
      <c r="H9" s="2" t="s">
        <v>81</v>
      </c>
      <c r="I9" s="2"/>
      <c r="K9" s="2"/>
      <c r="L9" s="127"/>
      <c r="M9" s="2">
        <v>3</v>
      </c>
      <c r="N9" s="127"/>
      <c r="O9" s="2"/>
      <c r="P9" s="3">
        <f t="shared" si="1"/>
        <v>19500</v>
      </c>
      <c r="Q9" s="143" t="s">
        <v>2672</v>
      </c>
      <c r="R9" s="127">
        <f t="shared" si="2"/>
        <v>216.66666666666666</v>
      </c>
      <c r="S9" s="118">
        <f t="shared" si="3"/>
        <v>1516.6666666666665</v>
      </c>
    </row>
    <row r="10" spans="1:19" ht="16">
      <c r="A10">
        <v>10</v>
      </c>
      <c r="B10" s="42" t="s">
        <v>23</v>
      </c>
      <c r="C10" s="313">
        <v>6500</v>
      </c>
      <c r="D10" s="313"/>
      <c r="E10" s="2">
        <v>8</v>
      </c>
      <c r="F10" t="s">
        <v>82</v>
      </c>
      <c r="G10" t="str">
        <f t="shared" si="0"/>
        <v>FAS-CentralizedHand Sanitizer (12oz or equiv)</v>
      </c>
      <c r="H10" s="2" t="s">
        <v>83</v>
      </c>
      <c r="I10" s="2"/>
      <c r="K10" s="2"/>
      <c r="L10" s="127"/>
      <c r="M10" s="2">
        <v>4</v>
      </c>
      <c r="N10" s="127"/>
      <c r="O10" s="2"/>
      <c r="P10" s="3">
        <f t="shared" si="1"/>
        <v>26000</v>
      </c>
      <c r="Q10" s="143" t="s">
        <v>2673</v>
      </c>
      <c r="R10" s="127">
        <f t="shared" si="2"/>
        <v>288.88888888888891</v>
      </c>
      <c r="S10" s="118">
        <f t="shared" si="3"/>
        <v>2022.2222222222224</v>
      </c>
    </row>
    <row r="11" spans="1:19">
      <c r="A11">
        <v>11</v>
      </c>
      <c r="B11" s="42" t="s">
        <v>23</v>
      </c>
      <c r="C11" s="313">
        <v>6500</v>
      </c>
      <c r="D11" s="313"/>
      <c r="E11" s="2">
        <v>9</v>
      </c>
      <c r="F11" t="s">
        <v>84</v>
      </c>
      <c r="G11" t="str">
        <f t="shared" si="0"/>
        <v>FAS-CentralizedPurell (1200 ml stand refill)</v>
      </c>
      <c r="H11" s="2" t="s">
        <v>85</v>
      </c>
      <c r="I11" s="2"/>
      <c r="K11" s="2"/>
      <c r="L11" s="127"/>
      <c r="M11" s="2"/>
      <c r="N11" s="127">
        <v>3750</v>
      </c>
      <c r="O11" s="2"/>
      <c r="P11" s="3">
        <f t="shared" si="1"/>
        <v>3750</v>
      </c>
      <c r="R11" s="127">
        <f t="shared" si="2"/>
        <v>41.666666666666664</v>
      </c>
      <c r="S11" s="118">
        <f t="shared" si="3"/>
        <v>291.66666666666663</v>
      </c>
    </row>
    <row r="12" spans="1:19" ht="16">
      <c r="A12">
        <v>12</v>
      </c>
      <c r="B12" s="42" t="s">
        <v>23</v>
      </c>
      <c r="C12" s="313">
        <v>6500</v>
      </c>
      <c r="D12" s="313"/>
      <c r="E12" s="2">
        <v>10</v>
      </c>
      <c r="F12" t="s">
        <v>89</v>
      </c>
      <c r="G12" t="str">
        <f t="shared" si="0"/>
        <v>FAS-CentralizedThermometers</v>
      </c>
      <c r="H12" s="2" t="s">
        <v>67</v>
      </c>
      <c r="I12" s="2"/>
      <c r="K12" s="2"/>
      <c r="L12" s="127"/>
      <c r="M12" s="2"/>
      <c r="N12" s="127">
        <v>300</v>
      </c>
      <c r="O12" s="2"/>
      <c r="P12" s="3">
        <f t="shared" si="1"/>
        <v>300</v>
      </c>
      <c r="Q12" s="143" t="s">
        <v>2674</v>
      </c>
      <c r="R12" s="127">
        <f t="shared" si="2"/>
        <v>3.3333333333333335</v>
      </c>
      <c r="S12" s="118">
        <f t="shared" si="3"/>
        <v>23.333333333333336</v>
      </c>
    </row>
    <row r="13" spans="1:19" ht="16">
      <c r="A13">
        <v>13</v>
      </c>
      <c r="B13" s="42" t="s">
        <v>23</v>
      </c>
      <c r="C13" s="313">
        <v>6500</v>
      </c>
      <c r="D13" s="313"/>
      <c r="E13" s="2">
        <v>11</v>
      </c>
      <c r="F13" t="s">
        <v>86</v>
      </c>
      <c r="G13" t="str">
        <f t="shared" si="0"/>
        <v>FAS-CentralizedIsopropyl Alcohol (16oz or equiv)</v>
      </c>
      <c r="H13" s="2" t="s">
        <v>83</v>
      </c>
      <c r="I13" s="2"/>
      <c r="K13" s="2"/>
      <c r="L13" s="127"/>
      <c r="M13" s="2">
        <v>6</v>
      </c>
      <c r="N13" s="127"/>
      <c r="O13" s="2"/>
      <c r="P13" s="3">
        <f t="shared" si="1"/>
        <v>39000</v>
      </c>
      <c r="Q13" s="143" t="s">
        <v>2675</v>
      </c>
      <c r="R13" s="127">
        <f t="shared" si="2"/>
        <v>433.33333333333331</v>
      </c>
      <c r="S13" s="118">
        <f t="shared" si="3"/>
        <v>3033.333333333333</v>
      </c>
    </row>
    <row r="14" spans="1:19" ht="16">
      <c r="A14">
        <v>14</v>
      </c>
      <c r="B14" s="42" t="s">
        <v>23</v>
      </c>
      <c r="C14" s="313">
        <v>6500</v>
      </c>
      <c r="D14" s="313"/>
      <c r="E14" s="2">
        <v>12</v>
      </c>
      <c r="F14" t="s">
        <v>93</v>
      </c>
      <c r="G14" t="str">
        <f t="shared" si="0"/>
        <v>FAS-CentralizedHand Soap</v>
      </c>
      <c r="H14" s="2" t="s">
        <v>83</v>
      </c>
      <c r="I14" s="2"/>
      <c r="K14" s="2"/>
      <c r="L14" s="127"/>
      <c r="M14" s="2">
        <v>4</v>
      </c>
      <c r="N14" s="127"/>
      <c r="O14" s="2"/>
      <c r="P14" s="3">
        <f t="shared" si="1"/>
        <v>26000</v>
      </c>
      <c r="Q14" s="143" t="s">
        <v>2673</v>
      </c>
      <c r="R14" s="127">
        <f t="shared" si="2"/>
        <v>288.88888888888891</v>
      </c>
      <c r="S14" s="118">
        <f t="shared" si="3"/>
        <v>2022.2222222222224</v>
      </c>
    </row>
    <row r="15" spans="1:19" ht="16">
      <c r="A15">
        <v>15</v>
      </c>
      <c r="B15" s="42" t="s">
        <v>23</v>
      </c>
      <c r="C15" s="313">
        <v>6500</v>
      </c>
      <c r="D15" s="313"/>
      <c r="E15" s="2">
        <v>13</v>
      </c>
      <c r="F15" t="s">
        <v>75</v>
      </c>
      <c r="G15" t="str">
        <f t="shared" si="0"/>
        <v>FAS-CentralizedTyvek Suits w/hoods</v>
      </c>
      <c r="H15" s="2" t="s">
        <v>67</v>
      </c>
      <c r="I15" s="2"/>
      <c r="K15" s="2"/>
      <c r="L15" s="127"/>
      <c r="M15" s="2"/>
      <c r="N15" s="127">
        <v>600</v>
      </c>
      <c r="O15" s="2"/>
      <c r="P15" s="3">
        <f t="shared" si="1"/>
        <v>600</v>
      </c>
      <c r="Q15" s="143" t="s">
        <v>2676</v>
      </c>
      <c r="R15" s="127">
        <f t="shared" si="2"/>
        <v>6.666666666666667</v>
      </c>
      <c r="S15" s="118">
        <f t="shared" si="3"/>
        <v>46.666666666666671</v>
      </c>
    </row>
    <row r="16" spans="1:19" ht="16">
      <c r="A16">
        <v>16</v>
      </c>
      <c r="B16" s="42" t="s">
        <v>23</v>
      </c>
      <c r="C16" s="313">
        <v>6500</v>
      </c>
      <c r="D16" s="313"/>
      <c r="E16" s="2">
        <v>14</v>
      </c>
      <c r="F16" t="s">
        <v>74</v>
      </c>
      <c r="G16" t="str">
        <f t="shared" si="0"/>
        <v>FAS-CentralizedTyvek Suits</v>
      </c>
      <c r="H16" s="2" t="s">
        <v>67</v>
      </c>
      <c r="I16" s="2"/>
      <c r="K16" s="2"/>
      <c r="L16" s="127"/>
      <c r="M16" s="2"/>
      <c r="N16" s="127">
        <v>600</v>
      </c>
      <c r="O16" s="2"/>
      <c r="P16" s="3">
        <f t="shared" si="1"/>
        <v>600</v>
      </c>
      <c r="Q16" s="143" t="s">
        <v>2676</v>
      </c>
      <c r="R16" s="127">
        <f t="shared" si="2"/>
        <v>6.666666666666667</v>
      </c>
      <c r="S16" s="118">
        <f t="shared" si="3"/>
        <v>46.666666666666671</v>
      </c>
    </row>
    <row r="17" spans="1:19" ht="16">
      <c r="A17">
        <v>17</v>
      </c>
      <c r="B17" s="42" t="s">
        <v>23</v>
      </c>
      <c r="C17" s="313">
        <v>6500</v>
      </c>
      <c r="D17" s="313"/>
      <c r="E17" s="2">
        <v>15</v>
      </c>
      <c r="F17" t="s">
        <v>94</v>
      </c>
      <c r="G17" t="str">
        <f t="shared" si="0"/>
        <v>FAS-CentralizedFacial Tissue</v>
      </c>
      <c r="H17" s="2" t="s">
        <v>85</v>
      </c>
      <c r="I17" s="2"/>
      <c r="K17" s="2"/>
      <c r="L17" s="127"/>
      <c r="M17" s="2">
        <v>3</v>
      </c>
      <c r="N17" s="127"/>
      <c r="O17" s="2"/>
      <c r="P17" s="3">
        <f t="shared" si="1"/>
        <v>19500</v>
      </c>
      <c r="Q17" s="143" t="s">
        <v>2677</v>
      </c>
      <c r="R17" s="127">
        <f t="shared" si="2"/>
        <v>216.66666666666666</v>
      </c>
      <c r="S17" s="118">
        <f t="shared" si="3"/>
        <v>1516.6666666666665</v>
      </c>
    </row>
    <row r="18" spans="1:19" ht="48">
      <c r="A18">
        <v>18</v>
      </c>
      <c r="B18" s="42" t="s">
        <v>23</v>
      </c>
      <c r="C18" s="313">
        <v>6500</v>
      </c>
      <c r="D18" s="313"/>
      <c r="E18" s="2">
        <v>16</v>
      </c>
      <c r="F18" t="s">
        <v>69</v>
      </c>
      <c r="G18" t="str">
        <f t="shared" si="0"/>
        <v>FAS-CentralizedMasks (Cloth)</v>
      </c>
      <c r="H18" s="2" t="s">
        <v>67</v>
      </c>
      <c r="I18" s="2"/>
      <c r="K18" s="2"/>
      <c r="L18" s="127"/>
      <c r="M18" s="2"/>
      <c r="N18" s="127"/>
      <c r="O18" s="2" t="s">
        <v>2678</v>
      </c>
      <c r="P18" s="3" t="str">
        <f t="shared" si="1"/>
        <v>NR</v>
      </c>
      <c r="Q18" s="143" t="s">
        <v>2679</v>
      </c>
      <c r="R18" s="127">
        <f t="shared" si="2"/>
        <v>0</v>
      </c>
      <c r="S18" s="118">
        <f t="shared" si="3"/>
        <v>0</v>
      </c>
    </row>
    <row r="19" spans="1:19" ht="16">
      <c r="A19">
        <v>19</v>
      </c>
      <c r="B19" s="42" t="s">
        <v>23</v>
      </c>
      <c r="C19" s="313">
        <v>6500</v>
      </c>
      <c r="D19" s="313"/>
      <c r="E19" s="2">
        <v>17</v>
      </c>
      <c r="F19" t="s">
        <v>77</v>
      </c>
      <c r="G19" t="str">
        <f t="shared" si="0"/>
        <v>FAS-CentralizedGoggles</v>
      </c>
      <c r="H19" s="2" t="s">
        <v>67</v>
      </c>
      <c r="I19" s="2"/>
      <c r="K19" s="2"/>
      <c r="L19" s="127"/>
      <c r="M19" s="2"/>
      <c r="N19" s="127"/>
      <c r="O19" s="2" t="s">
        <v>2678</v>
      </c>
      <c r="P19" s="3" t="str">
        <f t="shared" si="1"/>
        <v>NR</v>
      </c>
      <c r="Q19" s="143" t="s">
        <v>2680</v>
      </c>
      <c r="R19" s="127">
        <f>SUM(P19)/90</f>
        <v>0</v>
      </c>
      <c r="S19" s="118">
        <f t="shared" si="3"/>
        <v>0</v>
      </c>
    </row>
    <row r="20" spans="1:19" ht="16">
      <c r="A20">
        <v>20</v>
      </c>
      <c r="B20" s="42" t="s">
        <v>23</v>
      </c>
      <c r="C20" s="313">
        <v>6500</v>
      </c>
      <c r="D20" s="313"/>
      <c r="E20" s="2">
        <v>18</v>
      </c>
      <c r="F20" t="s">
        <v>76</v>
      </c>
      <c r="G20" t="str">
        <f t="shared" si="0"/>
        <v>FAS-CentralizedFace Shields</v>
      </c>
      <c r="H20" s="2" t="s">
        <v>67</v>
      </c>
      <c r="I20" s="2"/>
      <c r="K20" s="2"/>
      <c r="L20" s="127"/>
      <c r="M20" s="2"/>
      <c r="N20" s="127"/>
      <c r="O20" s="2" t="s">
        <v>2678</v>
      </c>
      <c r="P20" s="3" t="str">
        <f t="shared" si="1"/>
        <v>NR</v>
      </c>
      <c r="Q20" s="143" t="s">
        <v>2680</v>
      </c>
      <c r="R20" s="127">
        <f t="shared" ref="R20:R83" si="4">SUM(P20)/90</f>
        <v>0</v>
      </c>
      <c r="S20" s="118">
        <f t="shared" si="3"/>
        <v>0</v>
      </c>
    </row>
    <row r="21" spans="1:19" ht="16">
      <c r="A21">
        <v>21</v>
      </c>
      <c r="B21" s="42" t="s">
        <v>23</v>
      </c>
      <c r="C21" s="313">
        <v>6500</v>
      </c>
      <c r="D21" s="313">
        <f>SUM(SUMIF('Employees Supported'!A2:A29,"SPD",'Employees Supported'!C2:C29),SUMIF('Employees Supported'!A2:A29,"SDOT",'Employees Supported'!C2:C29),SUMIF('Employees Supported'!A2:A29,"SDCI",'Employees Supported'!C2:C29),SUMIF('Employees Supported'!A2:A29,"SeaIT",'Employees Supported'!C2:C29))</f>
        <v>3850</v>
      </c>
      <c r="E21" s="2">
        <v>19</v>
      </c>
      <c r="F21" t="s">
        <v>97</v>
      </c>
      <c r="G21" t="str">
        <f t="shared" si="0"/>
        <v>FAS-CentralizedToilet Paper</v>
      </c>
      <c r="H21" s="2" t="s">
        <v>98</v>
      </c>
      <c r="I21" s="2"/>
      <c r="K21" s="2"/>
      <c r="L21" s="127"/>
      <c r="M21" s="2">
        <v>6</v>
      </c>
      <c r="N21" s="127"/>
      <c r="O21" s="2"/>
      <c r="P21" s="3">
        <f t="shared" si="1"/>
        <v>62100</v>
      </c>
      <c r="Q21" s="143" t="s">
        <v>2681</v>
      </c>
      <c r="R21" s="127">
        <f t="shared" si="4"/>
        <v>690</v>
      </c>
      <c r="S21" s="118">
        <f t="shared" si="3"/>
        <v>4830</v>
      </c>
    </row>
    <row r="22" spans="1:19" ht="32" hidden="1">
      <c r="A22">
        <v>26</v>
      </c>
      <c r="B22" s="42" t="s">
        <v>25</v>
      </c>
      <c r="C22" s="313">
        <f>SUMIF('Employees Supported'!$A$2:$A$29,$B22,'Employees Supported'!$C$2:$C$29)</f>
        <v>1500</v>
      </c>
      <c r="D22" s="313"/>
      <c r="E22" s="2">
        <v>1</v>
      </c>
      <c r="F22" t="s">
        <v>66</v>
      </c>
      <c r="G22" t="str">
        <f t="shared" si="0"/>
        <v>SPDMasks (N95)</v>
      </c>
      <c r="H22" s="2" t="s">
        <v>67</v>
      </c>
      <c r="I22" s="2"/>
      <c r="J22" s="127">
        <v>400</v>
      </c>
      <c r="K22" s="2"/>
      <c r="L22" s="127"/>
      <c r="M22" s="2"/>
      <c r="N22" s="127"/>
      <c r="O22" s="2"/>
      <c r="P22" s="3">
        <f t="shared" si="1"/>
        <v>36000</v>
      </c>
      <c r="Q22" s="143" t="s">
        <v>2682</v>
      </c>
      <c r="R22" s="127">
        <f t="shared" si="4"/>
        <v>400</v>
      </c>
      <c r="S22" s="118">
        <f t="shared" si="3"/>
        <v>2800</v>
      </c>
    </row>
    <row r="23" spans="1:19" ht="32" hidden="1">
      <c r="A23">
        <v>27</v>
      </c>
      <c r="B23" s="42" t="s">
        <v>25</v>
      </c>
      <c r="C23" s="313">
        <f>SUMIF('Employees Supported'!$A$2:$A$29,$B23,'Employees Supported'!$C$2:$C$29)</f>
        <v>1500</v>
      </c>
      <c r="D23" s="313"/>
      <c r="E23" s="2">
        <v>2</v>
      </c>
      <c r="F23" t="s">
        <v>68</v>
      </c>
      <c r="G23" t="str">
        <f t="shared" si="0"/>
        <v>SPDMasks (Surgical)</v>
      </c>
      <c r="H23" s="2" t="s">
        <v>67</v>
      </c>
      <c r="I23" s="2"/>
      <c r="J23" s="127">
        <v>1000</v>
      </c>
      <c r="K23" s="2"/>
      <c r="L23" s="127"/>
      <c r="M23" s="2"/>
      <c r="N23" s="127"/>
      <c r="O23" s="2"/>
      <c r="P23" s="3">
        <f t="shared" si="1"/>
        <v>90000</v>
      </c>
      <c r="Q23" s="143" t="s">
        <v>2683</v>
      </c>
      <c r="R23" s="127">
        <f t="shared" si="4"/>
        <v>1000</v>
      </c>
      <c r="S23" s="118">
        <f t="shared" si="3"/>
        <v>7000</v>
      </c>
    </row>
    <row r="24" spans="1:19" ht="32" hidden="1">
      <c r="A24">
        <v>28</v>
      </c>
      <c r="B24" s="42" t="s">
        <v>25</v>
      </c>
      <c r="C24" s="313">
        <f>SUMIF('Employees Supported'!$A$2:$A$29,$B24,'Employees Supported'!$C$2:$C$29)</f>
        <v>1500</v>
      </c>
      <c r="D24" s="313"/>
      <c r="E24" s="2">
        <v>3</v>
      </c>
      <c r="F24" t="s">
        <v>70</v>
      </c>
      <c r="G24" t="str">
        <f t="shared" si="0"/>
        <v>SPDNitrile Gloves (Public Safety)</v>
      </c>
      <c r="H24" s="2" t="s">
        <v>71</v>
      </c>
      <c r="I24" s="2"/>
      <c r="J24" s="127">
        <f>16*50</f>
        <v>800</v>
      </c>
      <c r="K24" s="2"/>
      <c r="L24" s="127"/>
      <c r="M24" s="2"/>
      <c r="N24" s="127"/>
      <c r="O24" s="2"/>
      <c r="P24" s="3">
        <f t="shared" si="1"/>
        <v>72000</v>
      </c>
      <c r="Q24" s="143" t="s">
        <v>2684</v>
      </c>
      <c r="R24" s="127">
        <f t="shared" si="4"/>
        <v>800</v>
      </c>
      <c r="S24" s="118">
        <f t="shared" si="3"/>
        <v>5600</v>
      </c>
    </row>
    <row r="25" spans="1:19" ht="32" hidden="1">
      <c r="A25">
        <v>29</v>
      </c>
      <c r="B25" s="42" t="s">
        <v>25</v>
      </c>
      <c r="C25" s="313">
        <f>SUMIF('Employees Supported'!$A$2:$A$29,$B25,'Employees Supported'!$C$2:$C$29)</f>
        <v>1500</v>
      </c>
      <c r="D25" s="313"/>
      <c r="E25" s="2">
        <v>4</v>
      </c>
      <c r="F25" t="s">
        <v>72</v>
      </c>
      <c r="G25" t="str">
        <f t="shared" si="0"/>
        <v>SPDNitrile Gloves (General Use)</v>
      </c>
      <c r="H25" s="2" t="s">
        <v>71</v>
      </c>
      <c r="I25" s="2"/>
      <c r="J25" s="127">
        <f>8*50</f>
        <v>400</v>
      </c>
      <c r="K25" s="2"/>
      <c r="L25" s="127"/>
      <c r="M25" s="2"/>
      <c r="N25" s="127"/>
      <c r="O25" s="2"/>
      <c r="P25" s="3">
        <f t="shared" si="1"/>
        <v>36000</v>
      </c>
      <c r="Q25" s="143" t="s">
        <v>2685</v>
      </c>
      <c r="R25" s="127">
        <f t="shared" si="4"/>
        <v>400</v>
      </c>
      <c r="S25" s="118">
        <f t="shared" si="3"/>
        <v>2800</v>
      </c>
    </row>
    <row r="26" spans="1:19" ht="32" hidden="1">
      <c r="A26">
        <v>30</v>
      </c>
      <c r="B26" s="42" t="s">
        <v>25</v>
      </c>
      <c r="C26" s="313">
        <f>SUMIF('Employees Supported'!$A$2:$A$29,$B26,'Employees Supported'!$C$2:$C$29)</f>
        <v>1500</v>
      </c>
      <c r="D26" s="313"/>
      <c r="E26" s="2">
        <v>5</v>
      </c>
      <c r="F26" t="s">
        <v>2669</v>
      </c>
      <c r="G26" t="str">
        <f t="shared" si="0"/>
        <v>SPDSurgical gowns</v>
      </c>
      <c r="H26" s="2" t="s">
        <v>67</v>
      </c>
      <c r="I26" s="2"/>
      <c r="J26" s="127">
        <v>16</v>
      </c>
      <c r="K26" s="2"/>
      <c r="L26" s="127"/>
      <c r="M26" s="2"/>
      <c r="N26" s="127"/>
      <c r="O26" s="2"/>
      <c r="P26" s="3">
        <f t="shared" si="1"/>
        <v>1440</v>
      </c>
      <c r="Q26" s="143" t="s">
        <v>2686</v>
      </c>
      <c r="R26" s="127">
        <f t="shared" si="4"/>
        <v>16</v>
      </c>
      <c r="S26" s="118">
        <f t="shared" si="3"/>
        <v>112</v>
      </c>
    </row>
    <row r="27" spans="1:19" ht="16" hidden="1">
      <c r="A27">
        <v>31</v>
      </c>
      <c r="B27" s="42" t="s">
        <v>25</v>
      </c>
      <c r="C27" s="313">
        <f>SUMIF('Employees Supported'!$A$2:$A$29,$B27,'Employees Supported'!$C$2:$C$29)</f>
        <v>1500</v>
      </c>
      <c r="D27" s="313"/>
      <c r="E27" s="2">
        <v>6</v>
      </c>
      <c r="F27" t="s">
        <v>78</v>
      </c>
      <c r="G27" t="str">
        <f t="shared" si="0"/>
        <v>SPDDisinfectant Wipes</v>
      </c>
      <c r="H27" s="2" t="s">
        <v>79</v>
      </c>
      <c r="I27" s="2"/>
      <c r="J27" s="127">
        <v>1</v>
      </c>
      <c r="K27" s="2"/>
      <c r="L27" s="127"/>
      <c r="M27" s="2"/>
      <c r="N27" s="127"/>
      <c r="O27" s="2"/>
      <c r="P27" s="3">
        <f t="shared" si="1"/>
        <v>90</v>
      </c>
      <c r="Q27" s="143" t="s">
        <v>2687</v>
      </c>
      <c r="R27" s="127">
        <f t="shared" si="4"/>
        <v>1</v>
      </c>
      <c r="S27" s="118">
        <f t="shared" si="3"/>
        <v>7</v>
      </c>
    </row>
    <row r="28" spans="1:19" ht="16" hidden="1">
      <c r="A28">
        <v>32</v>
      </c>
      <c r="B28" s="42" t="s">
        <v>25</v>
      </c>
      <c r="C28" s="313">
        <f>SUMIF('Employees Supported'!$A$2:$A$29,$B28,'Employees Supported'!$C$2:$C$29)</f>
        <v>1500</v>
      </c>
      <c r="D28" s="313"/>
      <c r="E28" s="2">
        <v>7</v>
      </c>
      <c r="F28" t="s">
        <v>80</v>
      </c>
      <c r="G28" t="str">
        <f t="shared" si="0"/>
        <v>SPDAntimicrobial (PAWS) Wipes</v>
      </c>
      <c r="H28" s="2" t="s">
        <v>81</v>
      </c>
      <c r="I28" s="2"/>
      <c r="J28" s="127">
        <f>8*75</f>
        <v>600</v>
      </c>
      <c r="K28" s="2"/>
      <c r="L28" s="127"/>
      <c r="M28" s="2"/>
      <c r="N28" s="127"/>
      <c r="O28" s="2"/>
      <c r="P28" s="3">
        <f t="shared" si="1"/>
        <v>54000</v>
      </c>
      <c r="Q28" s="143" t="s">
        <v>2688</v>
      </c>
      <c r="R28" s="127">
        <f t="shared" si="4"/>
        <v>600</v>
      </c>
      <c r="S28" s="118">
        <f t="shared" si="3"/>
        <v>4200</v>
      </c>
    </row>
    <row r="29" spans="1:19" ht="48" hidden="1">
      <c r="A29">
        <v>33</v>
      </c>
      <c r="B29" s="42" t="s">
        <v>25</v>
      </c>
      <c r="C29" s="313">
        <f>SUMIF('Employees Supported'!$A$2:$A$29,$B29,'Employees Supported'!$C$2:$C$29)</f>
        <v>1500</v>
      </c>
      <c r="D29" s="313"/>
      <c r="E29" s="2">
        <v>8</v>
      </c>
      <c r="F29" t="s">
        <v>82</v>
      </c>
      <c r="G29" t="str">
        <f t="shared" si="0"/>
        <v>SPDHand Sanitizer (12oz or equiv)</v>
      </c>
      <c r="H29" s="2" t="s">
        <v>83</v>
      </c>
      <c r="I29" s="2"/>
      <c r="J29" s="127">
        <f>(4+(1*128/12)+(17*2/12))</f>
        <v>17.5</v>
      </c>
      <c r="K29" s="2"/>
      <c r="L29" s="127"/>
      <c r="M29" s="2"/>
      <c r="N29" s="127"/>
      <c r="O29" s="2"/>
      <c r="P29" s="3">
        <f t="shared" si="1"/>
        <v>1575</v>
      </c>
      <c r="Q29" s="143" t="s">
        <v>2689</v>
      </c>
      <c r="R29" s="127">
        <f t="shared" si="4"/>
        <v>17.5</v>
      </c>
      <c r="S29" s="118">
        <f t="shared" si="3"/>
        <v>122.5</v>
      </c>
    </row>
    <row r="30" spans="1:19" ht="16" hidden="1">
      <c r="A30">
        <v>34</v>
      </c>
      <c r="B30" s="42" t="s">
        <v>25</v>
      </c>
      <c r="C30" s="313">
        <f>SUMIF('Employees Supported'!$A$2:$A$29,$B30,'Employees Supported'!$C$2:$C$29)</f>
        <v>1500</v>
      </c>
      <c r="D30" s="313"/>
      <c r="E30" s="2">
        <v>9</v>
      </c>
      <c r="F30" t="s">
        <v>84</v>
      </c>
      <c r="G30" t="str">
        <f t="shared" si="0"/>
        <v>SPDPurell (1200 ml stand refill)</v>
      </c>
      <c r="H30" s="2" t="s">
        <v>85</v>
      </c>
      <c r="I30" s="2"/>
      <c r="K30" s="2"/>
      <c r="L30" s="127"/>
      <c r="M30" s="2"/>
      <c r="N30" s="127"/>
      <c r="O30" s="2" t="s">
        <v>2678</v>
      </c>
      <c r="P30" s="3" t="str">
        <f t="shared" si="1"/>
        <v>NR</v>
      </c>
      <c r="Q30" s="143" t="s">
        <v>2690</v>
      </c>
      <c r="R30" s="127">
        <f t="shared" si="4"/>
        <v>0</v>
      </c>
      <c r="S30" s="118">
        <f t="shared" si="3"/>
        <v>0</v>
      </c>
    </row>
    <row r="31" spans="1:19" ht="16" hidden="1">
      <c r="A31">
        <v>35</v>
      </c>
      <c r="B31" s="42" t="s">
        <v>25</v>
      </c>
      <c r="C31" s="313">
        <f>SUMIF('Employees Supported'!$A$2:$A$29,$B31,'Employees Supported'!$C$2:$C$29)</f>
        <v>1500</v>
      </c>
      <c r="D31" s="313"/>
      <c r="E31" s="2">
        <v>10</v>
      </c>
      <c r="F31" t="s">
        <v>89</v>
      </c>
      <c r="G31" t="str">
        <f t="shared" si="0"/>
        <v>SPDThermometers</v>
      </c>
      <c r="H31" s="2" t="s">
        <v>67</v>
      </c>
      <c r="I31" s="2"/>
      <c r="K31" s="2"/>
      <c r="L31" s="127"/>
      <c r="M31" s="2"/>
      <c r="N31" s="127"/>
      <c r="O31" s="2" t="s">
        <v>2678</v>
      </c>
      <c r="P31" s="3" t="str">
        <f t="shared" si="1"/>
        <v>NR</v>
      </c>
      <c r="Q31" s="143" t="s">
        <v>2691</v>
      </c>
      <c r="R31" s="127">
        <f t="shared" si="4"/>
        <v>0</v>
      </c>
      <c r="S31" s="118">
        <f t="shared" si="3"/>
        <v>0</v>
      </c>
    </row>
    <row r="32" spans="1:19" ht="16" hidden="1">
      <c r="A32">
        <v>36</v>
      </c>
      <c r="B32" s="42" t="s">
        <v>25</v>
      </c>
      <c r="C32" s="313">
        <f>SUMIF('Employees Supported'!$A$2:$A$29,$B32,'Employees Supported'!$C$2:$C$29)</f>
        <v>1500</v>
      </c>
      <c r="D32" s="313"/>
      <c r="E32" s="2">
        <v>11</v>
      </c>
      <c r="F32" t="s">
        <v>86</v>
      </c>
      <c r="G32" t="str">
        <f t="shared" si="0"/>
        <v>SPDIsopropyl Alcohol (16oz or equiv)</v>
      </c>
      <c r="H32" s="2" t="s">
        <v>83</v>
      </c>
      <c r="I32" s="2"/>
      <c r="K32" s="2"/>
      <c r="L32" s="127"/>
      <c r="M32" s="2"/>
      <c r="N32" s="127"/>
      <c r="O32" s="2" t="s">
        <v>2678</v>
      </c>
      <c r="P32" s="3" t="str">
        <f t="shared" si="1"/>
        <v>NR</v>
      </c>
      <c r="Q32" s="143" t="s">
        <v>2690</v>
      </c>
      <c r="R32" s="127">
        <f t="shared" si="4"/>
        <v>0</v>
      </c>
      <c r="S32" s="118">
        <f t="shared" si="3"/>
        <v>0</v>
      </c>
    </row>
    <row r="33" spans="1:19" ht="32" hidden="1">
      <c r="A33">
        <v>37</v>
      </c>
      <c r="B33" s="42" t="s">
        <v>25</v>
      </c>
      <c r="C33" s="313">
        <f>SUMIF('Employees Supported'!$A$2:$A$29,$B33,'Employees Supported'!$C$2:$C$29)</f>
        <v>1500</v>
      </c>
      <c r="D33" s="313"/>
      <c r="E33" s="2">
        <v>12</v>
      </c>
      <c r="F33" t="s">
        <v>93</v>
      </c>
      <c r="G33" t="str">
        <f t="shared" si="0"/>
        <v>SPDHand Soap</v>
      </c>
      <c r="H33" s="2" t="s">
        <v>83</v>
      </c>
      <c r="I33" s="2"/>
      <c r="J33" s="127">
        <v>1</v>
      </c>
      <c r="K33" s="2"/>
      <c r="L33" s="127"/>
      <c r="M33" s="2"/>
      <c r="N33" s="127"/>
      <c r="O33" s="2"/>
      <c r="P33" s="3">
        <f t="shared" si="1"/>
        <v>90</v>
      </c>
      <c r="Q33" s="143" t="s">
        <v>2692</v>
      </c>
      <c r="R33" s="127">
        <f t="shared" si="4"/>
        <v>1</v>
      </c>
      <c r="S33" s="118">
        <f t="shared" si="3"/>
        <v>7</v>
      </c>
    </row>
    <row r="34" spans="1:19" ht="16" hidden="1">
      <c r="A34">
        <v>38</v>
      </c>
      <c r="B34" s="42" t="s">
        <v>25</v>
      </c>
      <c r="C34" s="313">
        <f>SUMIF('Employees Supported'!$A$2:$A$29,$B34,'Employees Supported'!$C$2:$C$29)</f>
        <v>1500</v>
      </c>
      <c r="D34" s="313"/>
      <c r="E34" s="2">
        <v>13</v>
      </c>
      <c r="F34" t="s">
        <v>75</v>
      </c>
      <c r="G34" t="str">
        <f t="shared" si="0"/>
        <v>SPDTyvek Suits w/hoods</v>
      </c>
      <c r="H34" s="2" t="s">
        <v>67</v>
      </c>
      <c r="I34" s="2"/>
      <c r="K34" s="2"/>
      <c r="L34" s="127"/>
      <c r="M34" s="2"/>
      <c r="N34" s="127"/>
      <c r="O34" s="2" t="s">
        <v>2678</v>
      </c>
      <c r="P34" s="3" t="str">
        <f t="shared" si="1"/>
        <v>NR</v>
      </c>
      <c r="Q34" s="143" t="s">
        <v>2691</v>
      </c>
      <c r="R34" s="127">
        <f t="shared" si="4"/>
        <v>0</v>
      </c>
      <c r="S34" s="118">
        <f t="shared" si="3"/>
        <v>0</v>
      </c>
    </row>
    <row r="35" spans="1:19" ht="16" hidden="1">
      <c r="A35">
        <v>39</v>
      </c>
      <c r="B35" s="42" t="s">
        <v>25</v>
      </c>
      <c r="C35" s="313">
        <f>SUMIF('Employees Supported'!$A$2:$A$29,$B35,'Employees Supported'!$C$2:$C$29)</f>
        <v>1500</v>
      </c>
      <c r="D35" s="313"/>
      <c r="E35" s="2">
        <v>14</v>
      </c>
      <c r="F35" t="s">
        <v>74</v>
      </c>
      <c r="G35" t="str">
        <f t="shared" si="0"/>
        <v>SPDTyvek Suits</v>
      </c>
      <c r="H35" s="2" t="s">
        <v>67</v>
      </c>
      <c r="I35" s="2"/>
      <c r="K35" s="2"/>
      <c r="L35" s="127"/>
      <c r="M35" s="2"/>
      <c r="N35" s="127"/>
      <c r="O35" s="2" t="s">
        <v>2678</v>
      </c>
      <c r="P35" s="3" t="str">
        <f t="shared" si="1"/>
        <v>NR</v>
      </c>
      <c r="Q35" s="143" t="s">
        <v>2691</v>
      </c>
      <c r="R35" s="127">
        <f t="shared" si="4"/>
        <v>0</v>
      </c>
      <c r="S35" s="118">
        <f t="shared" si="3"/>
        <v>0</v>
      </c>
    </row>
    <row r="36" spans="1:19" ht="16" hidden="1">
      <c r="A36">
        <v>40</v>
      </c>
      <c r="B36" s="42" t="s">
        <v>25</v>
      </c>
      <c r="C36" s="313">
        <f>SUMIF('Employees Supported'!$A$2:$A$29,$B36,'Employees Supported'!$C$2:$C$29)</f>
        <v>1500</v>
      </c>
      <c r="D36" s="313"/>
      <c r="E36" s="2">
        <v>15</v>
      </c>
      <c r="F36" t="s">
        <v>94</v>
      </c>
      <c r="G36" t="str">
        <f t="shared" si="0"/>
        <v>SPDFacial Tissue</v>
      </c>
      <c r="H36" s="2" t="s">
        <v>85</v>
      </c>
      <c r="I36" s="2"/>
      <c r="K36" s="2"/>
      <c r="L36" s="127"/>
      <c r="M36" s="2"/>
      <c r="N36" s="127"/>
      <c r="O36" s="2" t="s">
        <v>2678</v>
      </c>
      <c r="P36" s="3" t="str">
        <f t="shared" si="1"/>
        <v>NR</v>
      </c>
      <c r="Q36" s="143" t="s">
        <v>2690</v>
      </c>
      <c r="R36" s="127">
        <f t="shared" si="4"/>
        <v>0</v>
      </c>
      <c r="S36" s="118">
        <f t="shared" si="3"/>
        <v>0</v>
      </c>
    </row>
    <row r="37" spans="1:19" ht="32" hidden="1">
      <c r="A37">
        <v>41</v>
      </c>
      <c r="B37" s="42" t="s">
        <v>25</v>
      </c>
      <c r="C37" s="313">
        <f>SUMIF('Employees Supported'!$A$2:$A$29,$B37,'Employees Supported'!$C$2:$C$29)</f>
        <v>1500</v>
      </c>
      <c r="D37" s="313"/>
      <c r="E37" s="2">
        <v>16</v>
      </c>
      <c r="F37" t="s">
        <v>69</v>
      </c>
      <c r="G37" t="str">
        <f t="shared" si="0"/>
        <v>SPDMasks (Cloth)</v>
      </c>
      <c r="H37" s="2" t="s">
        <v>67</v>
      </c>
      <c r="I37" s="2"/>
      <c r="K37" s="2"/>
      <c r="L37" s="127"/>
      <c r="M37" s="2"/>
      <c r="N37" s="127"/>
      <c r="O37" s="2" t="s">
        <v>2678</v>
      </c>
      <c r="P37" s="3" t="str">
        <f t="shared" si="1"/>
        <v>NR</v>
      </c>
      <c r="Q37" s="143" t="s">
        <v>2693</v>
      </c>
      <c r="R37" s="127">
        <f t="shared" si="4"/>
        <v>0</v>
      </c>
      <c r="S37" s="118">
        <f t="shared" si="3"/>
        <v>0</v>
      </c>
    </row>
    <row r="38" spans="1:19" ht="32" hidden="1">
      <c r="A38">
        <v>42</v>
      </c>
      <c r="B38" s="42" t="s">
        <v>25</v>
      </c>
      <c r="C38" s="313">
        <f>SUMIF('Employees Supported'!$A$2:$A$29,$B38,'Employees Supported'!$C$2:$C$29)</f>
        <v>1500</v>
      </c>
      <c r="D38" s="313"/>
      <c r="E38" s="2">
        <v>17</v>
      </c>
      <c r="F38" t="s">
        <v>77</v>
      </c>
      <c r="G38" t="str">
        <f t="shared" si="0"/>
        <v>SPDGoggles</v>
      </c>
      <c r="H38" s="2" t="s">
        <v>67</v>
      </c>
      <c r="I38" s="2"/>
      <c r="J38" s="127">
        <v>30</v>
      </c>
      <c r="K38" s="2"/>
      <c r="L38" s="127"/>
      <c r="M38" s="2"/>
      <c r="N38" s="127"/>
      <c r="O38" s="2"/>
      <c r="P38" s="3">
        <f t="shared" si="1"/>
        <v>2700</v>
      </c>
      <c r="Q38" s="143" t="s">
        <v>2694</v>
      </c>
      <c r="R38" s="127">
        <f t="shared" si="4"/>
        <v>30</v>
      </c>
      <c r="S38" s="118">
        <f t="shared" si="3"/>
        <v>210</v>
      </c>
    </row>
    <row r="39" spans="1:19" ht="16" hidden="1">
      <c r="A39">
        <v>43</v>
      </c>
      <c r="B39" s="42" t="s">
        <v>25</v>
      </c>
      <c r="C39" s="313">
        <f>SUMIF('Employees Supported'!$A$2:$A$29,$B39,'Employees Supported'!$C$2:$C$29)</f>
        <v>1500</v>
      </c>
      <c r="D39" s="313"/>
      <c r="E39" s="2">
        <v>18</v>
      </c>
      <c r="F39" t="s">
        <v>76</v>
      </c>
      <c r="G39" t="str">
        <f t="shared" si="0"/>
        <v>SPDFace Shields</v>
      </c>
      <c r="H39" s="2" t="s">
        <v>67</v>
      </c>
      <c r="I39" s="2"/>
      <c r="K39" s="2"/>
      <c r="L39" s="127"/>
      <c r="M39" s="2"/>
      <c r="N39" s="127"/>
      <c r="O39" s="2" t="s">
        <v>2678</v>
      </c>
      <c r="P39" s="3" t="str">
        <f t="shared" si="1"/>
        <v>NR</v>
      </c>
      <c r="Q39" s="143" t="s">
        <v>2680</v>
      </c>
      <c r="R39" s="127">
        <f t="shared" si="4"/>
        <v>0</v>
      </c>
      <c r="S39" s="118">
        <f t="shared" si="3"/>
        <v>0</v>
      </c>
    </row>
    <row r="40" spans="1:19" ht="16" hidden="1">
      <c r="A40">
        <v>44</v>
      </c>
      <c r="B40" s="42" t="s">
        <v>25</v>
      </c>
      <c r="C40" s="313">
        <f>SUMIF('Employees Supported'!$A$2:$A$29,$B40,'Employees Supported'!$C$2:$C$29)</f>
        <v>1500</v>
      </c>
      <c r="D40" s="313"/>
      <c r="E40" s="2">
        <v>19</v>
      </c>
      <c r="F40" t="s">
        <v>97</v>
      </c>
      <c r="G40" t="str">
        <f t="shared" si="0"/>
        <v>SPDToilet Paper</v>
      </c>
      <c r="H40" s="2" t="s">
        <v>98</v>
      </c>
      <c r="I40" s="2"/>
      <c r="K40" s="2"/>
      <c r="L40" s="127"/>
      <c r="M40" s="2"/>
      <c r="N40" s="127"/>
      <c r="O40" s="2" t="s">
        <v>2678</v>
      </c>
      <c r="P40" s="3" t="str">
        <f t="shared" si="1"/>
        <v>NR</v>
      </c>
      <c r="Q40" s="143" t="s">
        <v>2690</v>
      </c>
      <c r="R40" s="127">
        <f t="shared" si="4"/>
        <v>0</v>
      </c>
      <c r="S40" s="118">
        <f t="shared" si="3"/>
        <v>0</v>
      </c>
    </row>
    <row r="41" spans="1:19" ht="32" hidden="1">
      <c r="A41">
        <v>48</v>
      </c>
      <c r="B41" s="42" t="s">
        <v>24</v>
      </c>
      <c r="C41" s="313">
        <f>SUMIF('Employees Supported'!$A$2:$A$29,$B41,'Employees Supported'!$C$2:$C$29)</f>
        <v>1100</v>
      </c>
      <c r="D41" s="313"/>
      <c r="E41" s="2">
        <v>1</v>
      </c>
      <c r="F41" t="s">
        <v>66</v>
      </c>
      <c r="G41" t="str">
        <f t="shared" si="0"/>
        <v>SFDMasks (N95)</v>
      </c>
      <c r="H41" s="2" t="s">
        <v>67</v>
      </c>
      <c r="I41" s="2"/>
      <c r="J41" s="127">
        <v>600</v>
      </c>
      <c r="K41" s="2"/>
      <c r="L41" s="127">
        <v>1500</v>
      </c>
      <c r="M41" s="2"/>
      <c r="N41" s="127"/>
      <c r="O41" s="2"/>
      <c r="P41" s="3">
        <f>IF(O41="NR","NR",((((C41+D41)*I41)*90)+(J41*90)+(((C41+D41)*K41)*3)+(L41*3)+((C41+D41)*M41)+N41))</f>
        <v>58500</v>
      </c>
      <c r="Q41" s="143" t="s">
        <v>2695</v>
      </c>
      <c r="R41" s="127">
        <f>SUM(P41)/90</f>
        <v>650</v>
      </c>
      <c r="S41" s="118">
        <f t="shared" si="3"/>
        <v>4550</v>
      </c>
    </row>
    <row r="42" spans="1:19" ht="16" hidden="1">
      <c r="A42">
        <v>49</v>
      </c>
      <c r="B42" s="42" t="s">
        <v>24</v>
      </c>
      <c r="C42" s="313">
        <f>SUMIF('Employees Supported'!$A$2:$A$29,$B42,'Employees Supported'!$C$2:$C$29)</f>
        <v>1100</v>
      </c>
      <c r="D42" s="313"/>
      <c r="E42" s="2">
        <v>2</v>
      </c>
      <c r="F42" t="s">
        <v>68</v>
      </c>
      <c r="G42" t="str">
        <f t="shared" si="0"/>
        <v>SFDMasks (Surgical)</v>
      </c>
      <c r="H42" s="2" t="s">
        <v>67</v>
      </c>
      <c r="I42" s="2"/>
      <c r="J42" s="127">
        <v>600</v>
      </c>
      <c r="K42" s="2"/>
      <c r="L42" s="127"/>
      <c r="M42" s="2"/>
      <c r="N42" s="127"/>
      <c r="O42" s="2"/>
      <c r="P42" s="3">
        <f t="shared" si="1"/>
        <v>54000</v>
      </c>
      <c r="Q42" s="143" t="s">
        <v>2696</v>
      </c>
      <c r="R42" s="127">
        <f t="shared" si="4"/>
        <v>600</v>
      </c>
      <c r="S42" s="118">
        <f t="shared" si="3"/>
        <v>4200</v>
      </c>
    </row>
    <row r="43" spans="1:19" ht="32" hidden="1">
      <c r="A43">
        <v>50</v>
      </c>
      <c r="B43" s="42" t="s">
        <v>24</v>
      </c>
      <c r="C43" s="313">
        <f>SUMIF('Employees Supported'!$A$2:$A$29,$B43,'Employees Supported'!$C$2:$C$29)</f>
        <v>1100</v>
      </c>
      <c r="D43" s="313"/>
      <c r="E43" s="2">
        <v>3</v>
      </c>
      <c r="F43" t="s">
        <v>70</v>
      </c>
      <c r="G43" t="str">
        <f t="shared" si="0"/>
        <v>SFDNitrile Gloves (Public Safety)</v>
      </c>
      <c r="H43" s="2" t="s">
        <v>71</v>
      </c>
      <c r="I43" s="2"/>
      <c r="J43" s="127">
        <v>3000</v>
      </c>
      <c r="K43" s="2"/>
      <c r="L43" s="127"/>
      <c r="M43" s="2"/>
      <c r="N43" s="127"/>
      <c r="O43" s="2"/>
      <c r="P43" s="3">
        <f t="shared" si="1"/>
        <v>270000</v>
      </c>
      <c r="Q43" s="143" t="s">
        <v>2697</v>
      </c>
      <c r="R43" s="127">
        <f t="shared" si="4"/>
        <v>3000</v>
      </c>
      <c r="S43" s="118">
        <f t="shared" si="3"/>
        <v>21000</v>
      </c>
    </row>
    <row r="44" spans="1:19" ht="16" hidden="1">
      <c r="A44">
        <v>51</v>
      </c>
      <c r="B44" s="42" t="s">
        <v>24</v>
      </c>
      <c r="C44" s="313">
        <f>SUMIF('Employees Supported'!$A$2:$A$29,$B44,'Employees Supported'!$C$2:$C$29)</f>
        <v>1100</v>
      </c>
      <c r="D44" s="313"/>
      <c r="E44" s="2">
        <v>4</v>
      </c>
      <c r="F44" t="s">
        <v>72</v>
      </c>
      <c r="G44" t="str">
        <f t="shared" si="0"/>
        <v>SFDNitrile Gloves (General Use)</v>
      </c>
      <c r="H44" s="2" t="s">
        <v>71</v>
      </c>
      <c r="I44" s="2"/>
      <c r="K44" s="2"/>
      <c r="L44" s="127"/>
      <c r="M44" s="2"/>
      <c r="N44" s="127"/>
      <c r="O44" s="2" t="s">
        <v>2678</v>
      </c>
      <c r="P44" s="3" t="str">
        <f t="shared" si="1"/>
        <v>NR</v>
      </c>
      <c r="Q44" s="143" t="s">
        <v>2698</v>
      </c>
      <c r="R44" s="127">
        <f t="shared" si="4"/>
        <v>0</v>
      </c>
      <c r="S44" s="118">
        <f t="shared" si="3"/>
        <v>0</v>
      </c>
    </row>
    <row r="45" spans="1:19" ht="32" hidden="1">
      <c r="A45">
        <v>52</v>
      </c>
      <c r="B45" s="42" t="s">
        <v>24</v>
      </c>
      <c r="C45" s="313">
        <f>SUMIF('Employees Supported'!$A$2:$A$29,$B45,'Employees Supported'!$C$2:$C$29)</f>
        <v>1100</v>
      </c>
      <c r="D45" s="313"/>
      <c r="E45" s="2">
        <v>5</v>
      </c>
      <c r="F45" t="s">
        <v>2669</v>
      </c>
      <c r="G45" t="str">
        <f t="shared" si="0"/>
        <v>SFDSurgical gowns</v>
      </c>
      <c r="H45" s="2" t="s">
        <v>67</v>
      </c>
      <c r="I45" s="2"/>
      <c r="J45" s="127">
        <v>600</v>
      </c>
      <c r="K45" s="2"/>
      <c r="L45" s="127">
        <v>1500</v>
      </c>
      <c r="M45" s="2"/>
      <c r="N45" s="127"/>
      <c r="O45" s="2"/>
      <c r="P45" s="3">
        <f t="shared" si="1"/>
        <v>58500</v>
      </c>
      <c r="Q45" s="143" t="s">
        <v>2699</v>
      </c>
      <c r="R45" s="127">
        <f t="shared" si="4"/>
        <v>650</v>
      </c>
      <c r="S45" s="118">
        <f t="shared" si="3"/>
        <v>4550</v>
      </c>
    </row>
    <row r="46" spans="1:19" hidden="1">
      <c r="A46">
        <v>53</v>
      </c>
      <c r="B46" s="42" t="s">
        <v>24</v>
      </c>
      <c r="C46" s="313">
        <f>SUMIF('Employees Supported'!$A$2:$A$29,$B46,'Employees Supported'!$C$2:$C$29)</f>
        <v>1100</v>
      </c>
      <c r="D46" s="313"/>
      <c r="E46" s="2">
        <v>6</v>
      </c>
      <c r="F46" t="s">
        <v>78</v>
      </c>
      <c r="G46" t="str">
        <f t="shared" si="0"/>
        <v>SFDDisinfectant Wipes</v>
      </c>
      <c r="H46" s="2" t="s">
        <v>79</v>
      </c>
      <c r="I46" s="2"/>
      <c r="K46" s="2"/>
      <c r="L46" s="127"/>
      <c r="M46" s="2">
        <v>3</v>
      </c>
      <c r="N46" s="127"/>
      <c r="O46" s="2"/>
      <c r="P46" s="3">
        <f t="shared" si="1"/>
        <v>3300</v>
      </c>
      <c r="R46" s="127">
        <f t="shared" si="4"/>
        <v>36.666666666666664</v>
      </c>
      <c r="S46" s="118">
        <f t="shared" si="3"/>
        <v>256.66666666666663</v>
      </c>
    </row>
    <row r="47" spans="1:19" hidden="1">
      <c r="A47">
        <v>54</v>
      </c>
      <c r="B47" s="42" t="s">
        <v>24</v>
      </c>
      <c r="C47" s="313">
        <f>SUMIF('Employees Supported'!$A$2:$A$29,$B47,'Employees Supported'!$C$2:$C$29)</f>
        <v>1100</v>
      </c>
      <c r="D47" s="313"/>
      <c r="E47" s="2">
        <v>7</v>
      </c>
      <c r="F47" t="s">
        <v>80</v>
      </c>
      <c r="G47" t="str">
        <f t="shared" si="0"/>
        <v>SFDAntimicrobial (PAWS) Wipes</v>
      </c>
      <c r="H47" s="2" t="s">
        <v>81</v>
      </c>
      <c r="I47" s="2"/>
      <c r="K47" s="2"/>
      <c r="L47" s="127"/>
      <c r="M47" s="2">
        <v>3</v>
      </c>
      <c r="N47" s="127"/>
      <c r="O47" s="2"/>
      <c r="P47" s="3">
        <f t="shared" si="1"/>
        <v>3300</v>
      </c>
      <c r="R47" s="127">
        <f t="shared" si="4"/>
        <v>36.666666666666664</v>
      </c>
      <c r="S47" s="118">
        <f t="shared" si="3"/>
        <v>256.66666666666663</v>
      </c>
    </row>
    <row r="48" spans="1:19" hidden="1">
      <c r="A48">
        <v>55</v>
      </c>
      <c r="B48" s="42" t="s">
        <v>24</v>
      </c>
      <c r="C48" s="313">
        <f>SUMIF('Employees Supported'!$A$2:$A$29,$B48,'Employees Supported'!$C$2:$C$29)</f>
        <v>1100</v>
      </c>
      <c r="D48" s="313"/>
      <c r="E48" s="2">
        <v>8</v>
      </c>
      <c r="F48" t="s">
        <v>82</v>
      </c>
      <c r="G48" t="str">
        <f t="shared" si="0"/>
        <v>SFDHand Sanitizer (12oz or equiv)</v>
      </c>
      <c r="H48" s="2" t="s">
        <v>83</v>
      </c>
      <c r="I48" s="2"/>
      <c r="K48" s="2"/>
      <c r="L48" s="127"/>
      <c r="M48" s="2">
        <v>4</v>
      </c>
      <c r="N48" s="127"/>
      <c r="O48" s="2"/>
      <c r="P48" s="3">
        <f t="shared" si="1"/>
        <v>4400</v>
      </c>
      <c r="R48" s="127">
        <f t="shared" si="4"/>
        <v>48.888888888888886</v>
      </c>
      <c r="S48" s="118">
        <f t="shared" si="3"/>
        <v>342.22222222222217</v>
      </c>
    </row>
    <row r="49" spans="1:19" hidden="1">
      <c r="A49">
        <v>56</v>
      </c>
      <c r="B49" s="42" t="s">
        <v>24</v>
      </c>
      <c r="C49" s="313">
        <f>SUMIF('Employees Supported'!$A$2:$A$29,$B49,'Employees Supported'!$C$2:$C$29)</f>
        <v>1100</v>
      </c>
      <c r="D49" s="313"/>
      <c r="E49" s="2">
        <v>9</v>
      </c>
      <c r="F49" t="s">
        <v>84</v>
      </c>
      <c r="G49" t="str">
        <f t="shared" si="0"/>
        <v>SFDPurell (1200 ml stand refill)</v>
      </c>
      <c r="H49" s="2" t="s">
        <v>85</v>
      </c>
      <c r="I49" s="2"/>
      <c r="K49" s="2"/>
      <c r="L49" s="127"/>
      <c r="M49" s="2"/>
      <c r="N49" s="127">
        <v>550</v>
      </c>
      <c r="O49" s="2"/>
      <c r="P49" s="3">
        <f t="shared" si="1"/>
        <v>550</v>
      </c>
      <c r="R49" s="127">
        <f t="shared" si="4"/>
        <v>6.1111111111111107</v>
      </c>
      <c r="S49" s="118">
        <f t="shared" si="3"/>
        <v>42.777777777777771</v>
      </c>
    </row>
    <row r="50" spans="1:19" ht="16" hidden="1">
      <c r="A50">
        <v>57</v>
      </c>
      <c r="B50" s="42" t="s">
        <v>24</v>
      </c>
      <c r="C50" s="313">
        <f>SUMIF('Employees Supported'!$A$2:$A$29,$B50,'Employees Supported'!$C$2:$C$29)</f>
        <v>1100</v>
      </c>
      <c r="D50" s="313"/>
      <c r="E50" s="2">
        <v>10</v>
      </c>
      <c r="F50" t="s">
        <v>89</v>
      </c>
      <c r="G50" t="str">
        <f t="shared" si="0"/>
        <v>SFDThermometers</v>
      </c>
      <c r="H50" s="2" t="s">
        <v>67</v>
      </c>
      <c r="I50" s="2"/>
      <c r="K50" s="2"/>
      <c r="L50" s="127"/>
      <c r="M50" s="2"/>
      <c r="N50" s="127"/>
      <c r="O50" s="2" t="s">
        <v>2678</v>
      </c>
      <c r="P50" s="3" t="str">
        <f t="shared" si="1"/>
        <v>NR</v>
      </c>
      <c r="Q50" s="143" t="s">
        <v>2691</v>
      </c>
      <c r="R50" s="127">
        <f t="shared" si="4"/>
        <v>0</v>
      </c>
      <c r="S50" s="118">
        <f t="shared" si="3"/>
        <v>0</v>
      </c>
    </row>
    <row r="51" spans="1:19" hidden="1">
      <c r="A51">
        <v>58</v>
      </c>
      <c r="B51" s="42" t="s">
        <v>24</v>
      </c>
      <c r="C51" s="313">
        <f>SUMIF('Employees Supported'!$A$2:$A$29,$B51,'Employees Supported'!$C$2:$C$29)</f>
        <v>1100</v>
      </c>
      <c r="D51" s="313"/>
      <c r="E51" s="2">
        <v>11</v>
      </c>
      <c r="F51" t="s">
        <v>86</v>
      </c>
      <c r="G51" t="str">
        <f t="shared" si="0"/>
        <v>SFDIsopropyl Alcohol (16oz or equiv)</v>
      </c>
      <c r="H51" s="2" t="s">
        <v>83</v>
      </c>
      <c r="I51" s="2"/>
      <c r="K51" s="2"/>
      <c r="L51" s="127"/>
      <c r="M51" s="2">
        <v>6</v>
      </c>
      <c r="N51" s="127"/>
      <c r="O51" s="2"/>
      <c r="P51" s="3">
        <f t="shared" si="1"/>
        <v>6600</v>
      </c>
      <c r="R51" s="127">
        <f t="shared" si="4"/>
        <v>73.333333333333329</v>
      </c>
      <c r="S51" s="118">
        <f t="shared" si="3"/>
        <v>513.33333333333326</v>
      </c>
    </row>
    <row r="52" spans="1:19" ht="16" hidden="1">
      <c r="A52">
        <v>59</v>
      </c>
      <c r="B52" s="42" t="s">
        <v>24</v>
      </c>
      <c r="C52" s="313">
        <f>SUMIF('Employees Supported'!$A$2:$A$29,$B52,'Employees Supported'!$C$2:$C$29)</f>
        <v>1100</v>
      </c>
      <c r="D52" s="313"/>
      <c r="E52" s="2">
        <v>12</v>
      </c>
      <c r="F52" t="s">
        <v>93</v>
      </c>
      <c r="G52" t="str">
        <f t="shared" si="0"/>
        <v>SFDHand Soap</v>
      </c>
      <c r="H52" s="2" t="s">
        <v>83</v>
      </c>
      <c r="I52" s="2"/>
      <c r="K52" s="2"/>
      <c r="L52" s="127"/>
      <c r="M52" s="2"/>
      <c r="N52" s="127"/>
      <c r="O52" s="2" t="s">
        <v>2678</v>
      </c>
      <c r="P52" s="3" t="str">
        <f t="shared" si="1"/>
        <v>NR</v>
      </c>
      <c r="Q52" s="143" t="s">
        <v>2700</v>
      </c>
      <c r="R52" s="127">
        <f t="shared" si="4"/>
        <v>0</v>
      </c>
      <c r="S52" s="118">
        <f t="shared" si="3"/>
        <v>0</v>
      </c>
    </row>
    <row r="53" spans="1:19" ht="16" hidden="1">
      <c r="A53">
        <v>60</v>
      </c>
      <c r="B53" s="42" t="s">
        <v>24</v>
      </c>
      <c r="C53" s="313">
        <f>SUMIF('Employees Supported'!$A$2:$A$29,$B53,'Employees Supported'!$C$2:$C$29)</f>
        <v>1100</v>
      </c>
      <c r="D53" s="313"/>
      <c r="E53" s="2">
        <v>13</v>
      </c>
      <c r="F53" t="s">
        <v>75</v>
      </c>
      <c r="G53" t="str">
        <f t="shared" si="0"/>
        <v>SFDTyvek Suits w/hoods</v>
      </c>
      <c r="H53" s="2" t="s">
        <v>67</v>
      </c>
      <c r="I53" s="2"/>
      <c r="K53" s="2"/>
      <c r="L53" s="127"/>
      <c r="M53" s="2"/>
      <c r="N53" s="127"/>
      <c r="O53" s="2" t="s">
        <v>2678</v>
      </c>
      <c r="P53" s="3" t="str">
        <f t="shared" si="1"/>
        <v>NR</v>
      </c>
      <c r="Q53" s="143" t="s">
        <v>2691</v>
      </c>
      <c r="R53" s="127">
        <f t="shared" si="4"/>
        <v>0</v>
      </c>
      <c r="S53" s="118">
        <f t="shared" si="3"/>
        <v>0</v>
      </c>
    </row>
    <row r="54" spans="1:19" ht="16" hidden="1">
      <c r="A54">
        <v>61</v>
      </c>
      <c r="B54" s="42" t="s">
        <v>24</v>
      </c>
      <c r="C54" s="313">
        <f>SUMIF('Employees Supported'!$A$2:$A$29,$B54,'Employees Supported'!$C$2:$C$29)</f>
        <v>1100</v>
      </c>
      <c r="D54" s="313"/>
      <c r="E54" s="2">
        <v>14</v>
      </c>
      <c r="F54" t="s">
        <v>74</v>
      </c>
      <c r="G54" t="str">
        <f t="shared" si="0"/>
        <v>SFDTyvek Suits</v>
      </c>
      <c r="H54" s="2" t="s">
        <v>67</v>
      </c>
      <c r="I54" s="2"/>
      <c r="K54" s="2"/>
      <c r="L54" s="127"/>
      <c r="M54" s="2"/>
      <c r="N54" s="127"/>
      <c r="O54" s="2" t="s">
        <v>2678</v>
      </c>
      <c r="P54" s="3" t="str">
        <f t="shared" si="1"/>
        <v>NR</v>
      </c>
      <c r="Q54" s="143" t="s">
        <v>2691</v>
      </c>
      <c r="R54" s="127">
        <f t="shared" si="4"/>
        <v>0</v>
      </c>
      <c r="S54" s="118">
        <f t="shared" si="3"/>
        <v>0</v>
      </c>
    </row>
    <row r="55" spans="1:19" ht="16" hidden="1">
      <c r="A55">
        <v>62</v>
      </c>
      <c r="B55" s="42" t="s">
        <v>24</v>
      </c>
      <c r="C55" s="313">
        <f>SUMIF('Employees Supported'!$A$2:$A$29,$B55,'Employees Supported'!$C$2:$C$29)</f>
        <v>1100</v>
      </c>
      <c r="D55" s="313"/>
      <c r="E55" s="2">
        <v>15</v>
      </c>
      <c r="F55" t="s">
        <v>94</v>
      </c>
      <c r="G55" t="str">
        <f t="shared" si="0"/>
        <v>SFDFacial Tissue</v>
      </c>
      <c r="H55" s="2" t="s">
        <v>85</v>
      </c>
      <c r="I55" s="2"/>
      <c r="K55" s="2"/>
      <c r="L55" s="127"/>
      <c r="M55" s="2"/>
      <c r="N55" s="127"/>
      <c r="O55" s="2" t="s">
        <v>2678</v>
      </c>
      <c r="P55" s="3" t="str">
        <f t="shared" si="1"/>
        <v>NR</v>
      </c>
      <c r="Q55" s="143" t="s">
        <v>2700</v>
      </c>
      <c r="R55" s="127">
        <f t="shared" si="4"/>
        <v>0</v>
      </c>
      <c r="S55" s="118">
        <f t="shared" si="3"/>
        <v>0</v>
      </c>
    </row>
    <row r="56" spans="1:19" ht="32" hidden="1">
      <c r="A56">
        <v>63</v>
      </c>
      <c r="B56" s="42" t="s">
        <v>24</v>
      </c>
      <c r="C56" s="313">
        <f>SUMIF('Employees Supported'!$A$2:$A$29,$B56,'Employees Supported'!$C$2:$C$29)</f>
        <v>1100</v>
      </c>
      <c r="D56" s="313"/>
      <c r="E56" s="2">
        <v>16</v>
      </c>
      <c r="F56" t="s">
        <v>69</v>
      </c>
      <c r="G56" t="str">
        <f t="shared" si="0"/>
        <v>SFDMasks (Cloth)</v>
      </c>
      <c r="H56" s="2" t="s">
        <v>67</v>
      </c>
      <c r="I56" s="2"/>
      <c r="K56" s="2"/>
      <c r="L56" s="127"/>
      <c r="M56" s="2"/>
      <c r="N56" s="127"/>
      <c r="O56" s="2" t="s">
        <v>2678</v>
      </c>
      <c r="P56" s="3" t="str">
        <f t="shared" si="1"/>
        <v>NR</v>
      </c>
      <c r="Q56" s="143" t="s">
        <v>2701</v>
      </c>
      <c r="R56" s="127">
        <f t="shared" si="4"/>
        <v>0</v>
      </c>
      <c r="S56" s="118">
        <f t="shared" si="3"/>
        <v>0</v>
      </c>
    </row>
    <row r="57" spans="1:19" ht="32" hidden="1">
      <c r="A57">
        <v>64</v>
      </c>
      <c r="B57" s="42" t="s">
        <v>24</v>
      </c>
      <c r="C57" s="313">
        <f>SUMIF('Employees Supported'!$A$2:$A$29,$B57,'Employees Supported'!$C$2:$C$29)</f>
        <v>1100</v>
      </c>
      <c r="D57" s="313"/>
      <c r="E57" s="2">
        <v>17</v>
      </c>
      <c r="F57" t="s">
        <v>77</v>
      </c>
      <c r="G57" t="str">
        <f t="shared" si="0"/>
        <v>SFDGoggles</v>
      </c>
      <c r="H57" s="2" t="s">
        <v>67</v>
      </c>
      <c r="I57" s="2"/>
      <c r="K57" s="2"/>
      <c r="L57" s="127">
        <v>1500</v>
      </c>
      <c r="M57" s="2"/>
      <c r="N57" s="127"/>
      <c r="O57" s="2"/>
      <c r="P57" s="3">
        <f t="shared" si="1"/>
        <v>4500</v>
      </c>
      <c r="Q57" s="143" t="s">
        <v>2702</v>
      </c>
      <c r="R57" s="127">
        <f t="shared" si="4"/>
        <v>50</v>
      </c>
      <c r="S57" s="118">
        <f t="shared" si="3"/>
        <v>350</v>
      </c>
    </row>
    <row r="58" spans="1:19" ht="16" hidden="1">
      <c r="A58">
        <v>65</v>
      </c>
      <c r="B58" s="42" t="s">
        <v>24</v>
      </c>
      <c r="C58" s="313">
        <f>SUMIF('Employees Supported'!$A$2:$A$29,$B58,'Employees Supported'!$C$2:$C$29)</f>
        <v>1100</v>
      </c>
      <c r="D58" s="313"/>
      <c r="E58" s="2">
        <v>18</v>
      </c>
      <c r="F58" t="s">
        <v>76</v>
      </c>
      <c r="G58" t="str">
        <f t="shared" si="0"/>
        <v>SFDFace Shields</v>
      </c>
      <c r="H58" s="2" t="s">
        <v>67</v>
      </c>
      <c r="I58" s="2"/>
      <c r="K58" s="2"/>
      <c r="L58" s="127"/>
      <c r="M58" s="2"/>
      <c r="N58" s="127"/>
      <c r="O58" s="2" t="s">
        <v>2678</v>
      </c>
      <c r="P58" s="3" t="str">
        <f t="shared" si="1"/>
        <v>NR</v>
      </c>
      <c r="Q58" s="143" t="s">
        <v>2680</v>
      </c>
      <c r="R58" s="127">
        <f t="shared" si="4"/>
        <v>0</v>
      </c>
      <c r="S58" s="118">
        <f t="shared" si="3"/>
        <v>0</v>
      </c>
    </row>
    <row r="59" spans="1:19" ht="16" hidden="1">
      <c r="A59">
        <v>66</v>
      </c>
      <c r="B59" s="42" t="s">
        <v>24</v>
      </c>
      <c r="C59" s="313">
        <f>SUMIF('Employees Supported'!$A$2:$A$29,$B59,'Employees Supported'!$C$2:$C$29)</f>
        <v>1100</v>
      </c>
      <c r="D59" s="313"/>
      <c r="E59" s="2">
        <v>19</v>
      </c>
      <c r="F59" t="s">
        <v>97</v>
      </c>
      <c r="G59" t="str">
        <f t="shared" si="0"/>
        <v>SFDToilet Paper</v>
      </c>
      <c r="H59" s="2" t="s">
        <v>98</v>
      </c>
      <c r="I59" s="2"/>
      <c r="K59" s="2"/>
      <c r="L59" s="127"/>
      <c r="M59" s="2"/>
      <c r="N59" s="127"/>
      <c r="O59" s="2" t="s">
        <v>2678</v>
      </c>
      <c r="P59" s="3" t="str">
        <f t="shared" si="1"/>
        <v>NR</v>
      </c>
      <c r="Q59" s="143" t="s">
        <v>2700</v>
      </c>
      <c r="R59" s="127">
        <f t="shared" si="4"/>
        <v>0</v>
      </c>
      <c r="S59" s="118">
        <f t="shared" si="3"/>
        <v>0</v>
      </c>
    </row>
    <row r="60" spans="1:19" hidden="1">
      <c r="A60">
        <v>70</v>
      </c>
      <c r="B60" s="42" t="s">
        <v>28</v>
      </c>
      <c r="C60" s="313">
        <f>SUMIF('Employees Supported'!$A$2:$A$29,$B60,'Employees Supported'!$C$2:$C$29)</f>
        <v>1100</v>
      </c>
      <c r="D60" s="313"/>
      <c r="E60" s="2">
        <v>1</v>
      </c>
      <c r="F60" t="s">
        <v>66</v>
      </c>
      <c r="G60" t="str">
        <f t="shared" si="0"/>
        <v>SDOTMasks (N95)</v>
      </c>
      <c r="H60" s="2" t="s">
        <v>67</v>
      </c>
      <c r="I60" s="2">
        <v>1</v>
      </c>
      <c r="K60" s="2"/>
      <c r="L60" s="127"/>
      <c r="M60" s="2"/>
      <c r="N60" s="127"/>
      <c r="O60" s="2"/>
      <c r="P60" s="3">
        <f t="shared" si="1"/>
        <v>99000</v>
      </c>
      <c r="R60" s="127">
        <f t="shared" si="4"/>
        <v>1100</v>
      </c>
      <c r="S60" s="118">
        <f t="shared" si="3"/>
        <v>7700</v>
      </c>
    </row>
    <row r="61" spans="1:19" hidden="1">
      <c r="A61">
        <v>71</v>
      </c>
      <c r="B61" s="42" t="s">
        <v>28</v>
      </c>
      <c r="C61" s="313">
        <f>SUMIF('Employees Supported'!$A$2:$A$29,$B61,'Employees Supported'!$C$2:$C$29)</f>
        <v>1100</v>
      </c>
      <c r="D61" s="313"/>
      <c r="E61" s="2">
        <v>2</v>
      </c>
      <c r="F61" t="s">
        <v>68</v>
      </c>
      <c r="G61" t="str">
        <f t="shared" si="0"/>
        <v>SDOTMasks (Surgical)</v>
      </c>
      <c r="H61" s="2" t="s">
        <v>67</v>
      </c>
      <c r="I61" s="2">
        <v>3</v>
      </c>
      <c r="K61" s="2"/>
      <c r="L61" s="127"/>
      <c r="M61" s="2"/>
      <c r="N61" s="127"/>
      <c r="O61" s="2"/>
      <c r="P61" s="3">
        <f t="shared" si="1"/>
        <v>297000</v>
      </c>
      <c r="R61" s="127">
        <f t="shared" si="4"/>
        <v>3300</v>
      </c>
      <c r="S61" s="118">
        <f t="shared" si="3"/>
        <v>23100</v>
      </c>
    </row>
    <row r="62" spans="1:19" ht="16" hidden="1">
      <c r="A62">
        <v>72</v>
      </c>
      <c r="B62" s="42" t="s">
        <v>28</v>
      </c>
      <c r="C62" s="313">
        <f>SUMIF('Employees Supported'!$A$2:$A$29,$B62,'Employees Supported'!$C$2:$C$29)</f>
        <v>1100</v>
      </c>
      <c r="D62" s="313"/>
      <c r="E62" s="2">
        <v>3</v>
      </c>
      <c r="F62" t="s">
        <v>70</v>
      </c>
      <c r="G62" t="str">
        <f t="shared" si="0"/>
        <v>SDOTNitrile Gloves (Public Safety)</v>
      </c>
      <c r="H62" s="2" t="s">
        <v>71</v>
      </c>
      <c r="I62" s="2"/>
      <c r="K62" s="2"/>
      <c r="L62" s="127"/>
      <c r="M62" s="2"/>
      <c r="N62" s="127"/>
      <c r="O62" s="2" t="s">
        <v>2678</v>
      </c>
      <c r="P62" s="3" t="str">
        <f t="shared" si="1"/>
        <v>NR</v>
      </c>
      <c r="Q62" s="143" t="s">
        <v>2703</v>
      </c>
      <c r="R62" s="127">
        <f t="shared" si="4"/>
        <v>0</v>
      </c>
      <c r="S62" s="118">
        <f t="shared" si="3"/>
        <v>0</v>
      </c>
    </row>
    <row r="63" spans="1:19" hidden="1">
      <c r="A63">
        <v>73</v>
      </c>
      <c r="B63" s="42" t="s">
        <v>28</v>
      </c>
      <c r="C63" s="313">
        <f>SUMIF('Employees Supported'!$A$2:$A$29,$B63,'Employees Supported'!$C$2:$C$29)</f>
        <v>1100</v>
      </c>
      <c r="D63" s="313"/>
      <c r="E63" s="2">
        <v>4</v>
      </c>
      <c r="F63" t="s">
        <v>72</v>
      </c>
      <c r="G63" t="str">
        <f t="shared" si="0"/>
        <v>SDOTNitrile Gloves (General Use)</v>
      </c>
      <c r="H63" s="2" t="s">
        <v>71</v>
      </c>
      <c r="I63" s="2">
        <v>3</v>
      </c>
      <c r="K63" s="2"/>
      <c r="L63" s="127"/>
      <c r="M63" s="2"/>
      <c r="N63" s="127"/>
      <c r="O63" s="2"/>
      <c r="P63" s="3">
        <f t="shared" si="1"/>
        <v>297000</v>
      </c>
      <c r="R63" s="127">
        <f t="shared" si="4"/>
        <v>3300</v>
      </c>
      <c r="S63" s="118">
        <f t="shared" si="3"/>
        <v>23100</v>
      </c>
    </row>
    <row r="64" spans="1:19" hidden="1">
      <c r="A64">
        <v>74</v>
      </c>
      <c r="B64" s="42" t="s">
        <v>28</v>
      </c>
      <c r="C64" s="313">
        <f>SUMIF('Employees Supported'!$A$2:$A$29,$B64,'Employees Supported'!$C$2:$C$29)</f>
        <v>1100</v>
      </c>
      <c r="D64" s="313"/>
      <c r="E64" s="2">
        <v>5</v>
      </c>
      <c r="F64" t="s">
        <v>2669</v>
      </c>
      <c r="G64" t="str">
        <f t="shared" si="0"/>
        <v>SDOTSurgical gowns</v>
      </c>
      <c r="H64" s="2" t="s">
        <v>67</v>
      </c>
      <c r="I64" s="2"/>
      <c r="K64" s="2"/>
      <c r="L64" s="127"/>
      <c r="M64" s="2"/>
      <c r="N64" s="127"/>
      <c r="O64" s="2" t="s">
        <v>2678</v>
      </c>
      <c r="P64" s="3" t="str">
        <f t="shared" si="1"/>
        <v>NR</v>
      </c>
      <c r="R64" s="127">
        <f t="shared" si="4"/>
        <v>0</v>
      </c>
      <c r="S64" s="118">
        <f t="shared" si="3"/>
        <v>0</v>
      </c>
    </row>
    <row r="65" spans="1:19" hidden="1">
      <c r="A65">
        <v>75</v>
      </c>
      <c r="B65" s="42" t="s">
        <v>28</v>
      </c>
      <c r="C65" s="313">
        <f>SUMIF('Employees Supported'!$A$2:$A$29,$B65,'Employees Supported'!$C$2:$C$29)</f>
        <v>1100</v>
      </c>
      <c r="D65" s="313"/>
      <c r="E65" s="2">
        <v>6</v>
      </c>
      <c r="F65" t="s">
        <v>78</v>
      </c>
      <c r="G65" t="str">
        <f t="shared" si="0"/>
        <v>SDOTDisinfectant Wipes</v>
      </c>
      <c r="H65" s="2" t="s">
        <v>79</v>
      </c>
      <c r="I65" s="2"/>
      <c r="K65" s="2">
        <v>1</v>
      </c>
      <c r="L65" s="127"/>
      <c r="M65" s="2"/>
      <c r="N65" s="127"/>
      <c r="O65" s="2"/>
      <c r="P65" s="3">
        <f t="shared" si="1"/>
        <v>3300</v>
      </c>
      <c r="R65" s="127">
        <f t="shared" si="4"/>
        <v>36.666666666666664</v>
      </c>
      <c r="S65" s="118">
        <f t="shared" si="3"/>
        <v>256.66666666666663</v>
      </c>
    </row>
    <row r="66" spans="1:19" ht="16" hidden="1">
      <c r="A66">
        <v>76</v>
      </c>
      <c r="B66" s="42" t="s">
        <v>28</v>
      </c>
      <c r="C66" s="313">
        <f>SUMIF('Employees Supported'!$A$2:$A$29,$B66,'Employees Supported'!$C$2:$C$29)</f>
        <v>1100</v>
      </c>
      <c r="D66" s="313"/>
      <c r="E66" s="2">
        <v>7</v>
      </c>
      <c r="F66" t="s">
        <v>80</v>
      </c>
      <c r="G66" t="str">
        <f t="shared" si="0"/>
        <v>SDOTAntimicrobial (PAWS) Wipes</v>
      </c>
      <c r="H66" s="2" t="s">
        <v>81</v>
      </c>
      <c r="I66" s="2"/>
      <c r="K66" s="2"/>
      <c r="L66" s="127"/>
      <c r="M66" s="2"/>
      <c r="N66" s="127"/>
      <c r="O66" s="2" t="s">
        <v>2678</v>
      </c>
      <c r="P66" s="3" t="str">
        <f t="shared" si="1"/>
        <v>NR</v>
      </c>
      <c r="Q66" s="143" t="s">
        <v>2703</v>
      </c>
      <c r="R66" s="127">
        <f t="shared" si="4"/>
        <v>0</v>
      </c>
      <c r="S66" s="118">
        <f t="shared" si="3"/>
        <v>0</v>
      </c>
    </row>
    <row r="67" spans="1:19" hidden="1">
      <c r="A67">
        <v>77</v>
      </c>
      <c r="B67" s="42" t="s">
        <v>28</v>
      </c>
      <c r="C67" s="313">
        <f>SUMIF('Employees Supported'!$A$2:$A$29,$B67,'Employees Supported'!$C$2:$C$29)</f>
        <v>1100</v>
      </c>
      <c r="D67" s="313"/>
      <c r="E67" s="2">
        <v>8</v>
      </c>
      <c r="F67" t="s">
        <v>82</v>
      </c>
      <c r="G67" t="str">
        <f t="shared" si="0"/>
        <v>SDOTHand Sanitizer (12oz or equiv)</v>
      </c>
      <c r="H67" s="2" t="s">
        <v>83</v>
      </c>
      <c r="I67" s="2"/>
      <c r="K67" s="2"/>
      <c r="L67" s="127"/>
      <c r="M67" s="2">
        <v>4</v>
      </c>
      <c r="N67" s="127"/>
      <c r="O67" s="2"/>
      <c r="P67" s="3">
        <f t="shared" si="1"/>
        <v>4400</v>
      </c>
      <c r="R67" s="127">
        <f t="shared" si="4"/>
        <v>48.888888888888886</v>
      </c>
      <c r="S67" s="118">
        <f t="shared" si="3"/>
        <v>342.22222222222217</v>
      </c>
    </row>
    <row r="68" spans="1:19" hidden="1">
      <c r="A68">
        <v>78</v>
      </c>
      <c r="B68" s="42" t="s">
        <v>28</v>
      </c>
      <c r="C68" s="313">
        <f>SUMIF('Employees Supported'!$A$2:$A$29,$B68,'Employees Supported'!$C$2:$C$29)</f>
        <v>1100</v>
      </c>
      <c r="D68" s="313"/>
      <c r="E68" s="2">
        <v>9</v>
      </c>
      <c r="F68" t="s">
        <v>84</v>
      </c>
      <c r="G68" t="str">
        <f t="shared" ref="G68:G131" si="5">_xlfn.SINGLE(_xlfn.CONCAT(B68,F68))</f>
        <v>SDOTPurell (1200 ml stand refill)</v>
      </c>
      <c r="H68" s="2" t="s">
        <v>85</v>
      </c>
      <c r="I68" s="2"/>
      <c r="K68" s="2"/>
      <c r="L68" s="127"/>
      <c r="M68" s="2"/>
      <c r="N68" s="127">
        <v>550</v>
      </c>
      <c r="O68" s="2"/>
      <c r="P68" s="3">
        <f t="shared" ref="P68:P131" si="6">IF(O68="NR","NR",((((C68+D68)*I68)*90)+(J68*90)+(((C68+D68)*K68)*3)+(L68*3)+((C68+D68)*M68)+N68))</f>
        <v>550</v>
      </c>
      <c r="R68" s="127">
        <f t="shared" si="4"/>
        <v>6.1111111111111107</v>
      </c>
      <c r="S68" s="118">
        <f t="shared" ref="S68:S131" si="7">R68*7</f>
        <v>42.777777777777771</v>
      </c>
    </row>
    <row r="69" spans="1:19" ht="16" hidden="1">
      <c r="A69">
        <v>79</v>
      </c>
      <c r="B69" s="42" t="s">
        <v>28</v>
      </c>
      <c r="C69" s="313">
        <f>SUMIF('Employees Supported'!$A$2:$A$29,$B69,'Employees Supported'!$C$2:$C$29)</f>
        <v>1100</v>
      </c>
      <c r="D69" s="313"/>
      <c r="E69" s="2">
        <v>10</v>
      </c>
      <c r="F69" t="s">
        <v>89</v>
      </c>
      <c r="G69" t="str">
        <f t="shared" si="5"/>
        <v>SDOTThermometers</v>
      </c>
      <c r="H69" s="2" t="s">
        <v>67</v>
      </c>
      <c r="I69" s="2"/>
      <c r="K69" s="2"/>
      <c r="L69" s="127"/>
      <c r="M69" s="2"/>
      <c r="N69" s="127"/>
      <c r="O69" s="2" t="s">
        <v>2678</v>
      </c>
      <c r="P69" s="3" t="str">
        <f t="shared" si="6"/>
        <v>NR</v>
      </c>
      <c r="Q69" s="143" t="s">
        <v>2691</v>
      </c>
      <c r="R69" s="127">
        <f t="shared" si="4"/>
        <v>0</v>
      </c>
      <c r="S69" s="118">
        <f t="shared" si="7"/>
        <v>0</v>
      </c>
    </row>
    <row r="70" spans="1:19" ht="16" hidden="1">
      <c r="A70">
        <v>80</v>
      </c>
      <c r="B70" s="42" t="s">
        <v>28</v>
      </c>
      <c r="C70" s="313">
        <f>SUMIF('Employees Supported'!$A$2:$A$29,$B70,'Employees Supported'!$C$2:$C$29)</f>
        <v>1100</v>
      </c>
      <c r="D70" s="313"/>
      <c r="E70" s="2">
        <v>11</v>
      </c>
      <c r="F70" t="s">
        <v>86</v>
      </c>
      <c r="G70" t="str">
        <f t="shared" si="5"/>
        <v>SDOTIsopropyl Alcohol (16oz or equiv)</v>
      </c>
      <c r="H70" s="2" t="s">
        <v>83</v>
      </c>
      <c r="I70" s="2"/>
      <c r="K70" s="2"/>
      <c r="L70" s="127"/>
      <c r="M70" s="2"/>
      <c r="N70" s="127"/>
      <c r="O70" s="2" t="s">
        <v>2678</v>
      </c>
      <c r="P70" s="3" t="str">
        <f t="shared" si="6"/>
        <v>NR</v>
      </c>
      <c r="Q70" s="143" t="s">
        <v>2703</v>
      </c>
      <c r="R70" s="127">
        <f t="shared" si="4"/>
        <v>0</v>
      </c>
      <c r="S70" s="118">
        <f t="shared" si="7"/>
        <v>0</v>
      </c>
    </row>
    <row r="71" spans="1:19" hidden="1">
      <c r="A71">
        <v>81</v>
      </c>
      <c r="B71" s="42" t="s">
        <v>28</v>
      </c>
      <c r="C71" s="313">
        <f>SUMIF('Employees Supported'!$A$2:$A$29,$B71,'Employees Supported'!$C$2:$C$29)</f>
        <v>1100</v>
      </c>
      <c r="D71" s="313"/>
      <c r="E71" s="2">
        <v>12</v>
      </c>
      <c r="F71" t="s">
        <v>93</v>
      </c>
      <c r="G71" t="str">
        <f t="shared" si="5"/>
        <v>SDOTHand Soap</v>
      </c>
      <c r="H71" s="2" t="s">
        <v>83</v>
      </c>
      <c r="I71" s="2"/>
      <c r="K71" s="2"/>
      <c r="L71" s="127"/>
      <c r="M71" s="2">
        <v>4</v>
      </c>
      <c r="N71" s="127"/>
      <c r="O71" s="2"/>
      <c r="P71" s="3">
        <f t="shared" si="6"/>
        <v>4400</v>
      </c>
      <c r="R71" s="127">
        <f t="shared" si="4"/>
        <v>48.888888888888886</v>
      </c>
      <c r="S71" s="118">
        <f t="shared" si="7"/>
        <v>342.22222222222217</v>
      </c>
    </row>
    <row r="72" spans="1:19" ht="16" hidden="1">
      <c r="A72">
        <v>82</v>
      </c>
      <c r="B72" s="42" t="s">
        <v>28</v>
      </c>
      <c r="C72" s="313">
        <f>SUMIF('Employees Supported'!$A$2:$A$29,$B72,'Employees Supported'!$C$2:$C$29)</f>
        <v>1100</v>
      </c>
      <c r="D72" s="313"/>
      <c r="E72" s="2">
        <v>13</v>
      </c>
      <c r="F72" t="s">
        <v>75</v>
      </c>
      <c r="G72" t="str">
        <f t="shared" si="5"/>
        <v>SDOTTyvek Suits w/hoods</v>
      </c>
      <c r="H72" s="2" t="s">
        <v>67</v>
      </c>
      <c r="I72" s="2"/>
      <c r="K72" s="2"/>
      <c r="L72" s="127"/>
      <c r="M72" s="2"/>
      <c r="N72" s="127"/>
      <c r="O72" s="2" t="s">
        <v>2678</v>
      </c>
      <c r="P72" s="3" t="str">
        <f t="shared" si="6"/>
        <v>NR</v>
      </c>
      <c r="Q72" s="143" t="s">
        <v>2691</v>
      </c>
      <c r="R72" s="127">
        <f t="shared" si="4"/>
        <v>0</v>
      </c>
      <c r="S72" s="118">
        <f t="shared" si="7"/>
        <v>0</v>
      </c>
    </row>
    <row r="73" spans="1:19" ht="16" hidden="1">
      <c r="A73">
        <v>83</v>
      </c>
      <c r="B73" s="42" t="s">
        <v>28</v>
      </c>
      <c r="C73" s="313">
        <f>SUMIF('Employees Supported'!$A$2:$A$29,$B73,'Employees Supported'!$C$2:$C$29)</f>
        <v>1100</v>
      </c>
      <c r="D73" s="313"/>
      <c r="E73" s="2">
        <v>14</v>
      </c>
      <c r="F73" t="s">
        <v>74</v>
      </c>
      <c r="G73" t="str">
        <f t="shared" si="5"/>
        <v>SDOTTyvek Suits</v>
      </c>
      <c r="H73" s="2" t="s">
        <v>67</v>
      </c>
      <c r="I73" s="2"/>
      <c r="K73" s="2"/>
      <c r="L73" s="127"/>
      <c r="M73" s="2"/>
      <c r="N73" s="127"/>
      <c r="O73" s="2" t="s">
        <v>2678</v>
      </c>
      <c r="P73" s="3" t="str">
        <f t="shared" si="6"/>
        <v>NR</v>
      </c>
      <c r="Q73" s="143" t="s">
        <v>2691</v>
      </c>
      <c r="R73" s="127">
        <f t="shared" si="4"/>
        <v>0</v>
      </c>
      <c r="S73" s="118">
        <f t="shared" si="7"/>
        <v>0</v>
      </c>
    </row>
    <row r="74" spans="1:19" hidden="1">
      <c r="A74">
        <v>84</v>
      </c>
      <c r="B74" s="42" t="s">
        <v>28</v>
      </c>
      <c r="C74" s="313">
        <f>SUMIF('Employees Supported'!$A$2:$A$29,$B74,'Employees Supported'!$C$2:$C$29)</f>
        <v>1100</v>
      </c>
      <c r="D74" s="313"/>
      <c r="E74" s="2">
        <v>15</v>
      </c>
      <c r="F74" t="s">
        <v>94</v>
      </c>
      <c r="G74" t="str">
        <f t="shared" si="5"/>
        <v>SDOTFacial Tissue</v>
      </c>
      <c r="H74" s="2" t="s">
        <v>85</v>
      </c>
      <c r="I74" s="2"/>
      <c r="K74" s="2"/>
      <c r="L74" s="127"/>
      <c r="M74" s="2"/>
      <c r="N74" s="127"/>
      <c r="O74" s="2" t="s">
        <v>2678</v>
      </c>
      <c r="P74" s="3" t="str">
        <f t="shared" si="6"/>
        <v>NR</v>
      </c>
      <c r="R74" s="127">
        <f t="shared" si="4"/>
        <v>0</v>
      </c>
      <c r="S74" s="118">
        <f t="shared" si="7"/>
        <v>0</v>
      </c>
    </row>
    <row r="75" spans="1:19" ht="32" hidden="1">
      <c r="A75">
        <v>85</v>
      </c>
      <c r="B75" s="42" t="s">
        <v>28</v>
      </c>
      <c r="C75" s="313">
        <f>SUMIF('Employees Supported'!$A$2:$A$29,$B75,'Employees Supported'!$C$2:$C$29)</f>
        <v>1100</v>
      </c>
      <c r="D75" s="313"/>
      <c r="E75" s="2">
        <v>16</v>
      </c>
      <c r="F75" t="s">
        <v>69</v>
      </c>
      <c r="G75" t="str">
        <f t="shared" si="5"/>
        <v>SDOTMasks (Cloth)</v>
      </c>
      <c r="H75" s="2" t="s">
        <v>67</v>
      </c>
      <c r="I75" s="2"/>
      <c r="K75" s="2"/>
      <c r="L75" s="127"/>
      <c r="M75" s="2"/>
      <c r="N75" s="127"/>
      <c r="O75" s="2" t="s">
        <v>2678</v>
      </c>
      <c r="P75" s="3" t="str">
        <f t="shared" si="6"/>
        <v>NR</v>
      </c>
      <c r="Q75" s="143" t="s">
        <v>2704</v>
      </c>
      <c r="R75" s="127">
        <f t="shared" si="4"/>
        <v>0</v>
      </c>
      <c r="S75" s="118">
        <f t="shared" si="7"/>
        <v>0</v>
      </c>
    </row>
    <row r="76" spans="1:19" ht="16" hidden="1">
      <c r="A76">
        <v>86</v>
      </c>
      <c r="B76" s="42" t="s">
        <v>28</v>
      </c>
      <c r="C76" s="313">
        <f>SUMIF('Employees Supported'!$A$2:$A$29,$B76,'Employees Supported'!$C$2:$C$29)</f>
        <v>1100</v>
      </c>
      <c r="D76" s="313"/>
      <c r="E76" s="2">
        <v>17</v>
      </c>
      <c r="F76" t="s">
        <v>77</v>
      </c>
      <c r="G76" t="str">
        <f t="shared" si="5"/>
        <v>SDOTGoggles</v>
      </c>
      <c r="H76" s="2" t="s">
        <v>67</v>
      </c>
      <c r="I76" s="2"/>
      <c r="K76" s="2"/>
      <c r="L76" s="127"/>
      <c r="M76" s="2"/>
      <c r="N76" s="127"/>
      <c r="O76" s="2" t="s">
        <v>2678</v>
      </c>
      <c r="P76" s="3" t="str">
        <f t="shared" si="6"/>
        <v>NR</v>
      </c>
      <c r="Q76" s="143" t="s">
        <v>2680</v>
      </c>
      <c r="R76" s="127">
        <f t="shared" si="4"/>
        <v>0</v>
      </c>
      <c r="S76" s="118">
        <f t="shared" si="7"/>
        <v>0</v>
      </c>
    </row>
    <row r="77" spans="1:19" ht="16" hidden="1">
      <c r="A77">
        <v>87</v>
      </c>
      <c r="B77" s="42" t="s">
        <v>28</v>
      </c>
      <c r="C77" s="313">
        <f>SUMIF('Employees Supported'!$A$2:$A$29,$B77,'Employees Supported'!$C$2:$C$29)</f>
        <v>1100</v>
      </c>
      <c r="D77" s="313"/>
      <c r="E77" s="2">
        <v>18</v>
      </c>
      <c r="F77" t="s">
        <v>76</v>
      </c>
      <c r="G77" t="str">
        <f t="shared" si="5"/>
        <v>SDOTFace Shields</v>
      </c>
      <c r="H77" s="2" t="s">
        <v>67</v>
      </c>
      <c r="I77" s="2"/>
      <c r="K77" s="2"/>
      <c r="L77" s="127"/>
      <c r="M77" s="2"/>
      <c r="N77" s="127"/>
      <c r="O77" s="2" t="s">
        <v>2678</v>
      </c>
      <c r="P77" s="3" t="str">
        <f t="shared" si="6"/>
        <v>NR</v>
      </c>
      <c r="Q77" s="143" t="s">
        <v>2680</v>
      </c>
      <c r="R77" s="127">
        <f t="shared" si="4"/>
        <v>0</v>
      </c>
      <c r="S77" s="118">
        <f t="shared" si="7"/>
        <v>0</v>
      </c>
    </row>
    <row r="78" spans="1:19" hidden="1">
      <c r="A78">
        <v>88</v>
      </c>
      <c r="B78" s="42" t="s">
        <v>28</v>
      </c>
      <c r="C78" s="313">
        <f>SUMIF('Employees Supported'!$A$2:$A$29,$B78,'Employees Supported'!$C$2:$C$29)</f>
        <v>1100</v>
      </c>
      <c r="D78" s="313"/>
      <c r="E78" s="2">
        <v>19</v>
      </c>
      <c r="F78" t="s">
        <v>97</v>
      </c>
      <c r="G78" t="str">
        <f t="shared" si="5"/>
        <v>SDOTToilet Paper</v>
      </c>
      <c r="H78" s="2" t="s">
        <v>98</v>
      </c>
      <c r="I78" s="2"/>
      <c r="K78" s="2"/>
      <c r="L78" s="127"/>
      <c r="M78" s="2"/>
      <c r="N78" s="127"/>
      <c r="O78" s="2" t="s">
        <v>2678</v>
      </c>
      <c r="P78" s="3" t="str">
        <f t="shared" si="6"/>
        <v>NR</v>
      </c>
      <c r="R78" s="127">
        <f t="shared" si="4"/>
        <v>0</v>
      </c>
      <c r="S78" s="118">
        <f t="shared" si="7"/>
        <v>0</v>
      </c>
    </row>
    <row r="79" spans="1:19" hidden="1">
      <c r="A79">
        <v>92</v>
      </c>
      <c r="B79" s="42" t="s">
        <v>33</v>
      </c>
      <c r="C79" s="313">
        <f>SUMIF('Employees Supported'!$A$2:$A$29,$B79,'Employees Supported'!$C$2:$C$29)</f>
        <v>400</v>
      </c>
      <c r="D79" s="313"/>
      <c r="E79" s="2">
        <v>1</v>
      </c>
      <c r="F79" t="s">
        <v>66</v>
      </c>
      <c r="G79" t="str">
        <f t="shared" si="5"/>
        <v>SCLMasks (N95)</v>
      </c>
      <c r="H79" s="2" t="s">
        <v>67</v>
      </c>
      <c r="I79" s="2">
        <v>1</v>
      </c>
      <c r="K79" s="2"/>
      <c r="L79" s="127"/>
      <c r="M79" s="2"/>
      <c r="N79" s="127"/>
      <c r="O79" s="2"/>
      <c r="P79" s="3">
        <f t="shared" si="6"/>
        <v>36000</v>
      </c>
      <c r="R79" s="127">
        <f t="shared" si="4"/>
        <v>400</v>
      </c>
      <c r="S79" s="118">
        <f t="shared" si="7"/>
        <v>2800</v>
      </c>
    </row>
    <row r="80" spans="1:19" hidden="1">
      <c r="A80">
        <v>93</v>
      </c>
      <c r="B80" s="42" t="s">
        <v>33</v>
      </c>
      <c r="C80" s="313">
        <f>SUMIF('Employees Supported'!$A$2:$A$29,$B80,'Employees Supported'!$C$2:$C$29)</f>
        <v>400</v>
      </c>
      <c r="D80" s="313"/>
      <c r="E80" s="2">
        <v>2</v>
      </c>
      <c r="F80" t="s">
        <v>68</v>
      </c>
      <c r="G80" t="str">
        <f t="shared" si="5"/>
        <v>SCLMasks (Surgical)</v>
      </c>
      <c r="H80" s="2" t="s">
        <v>67</v>
      </c>
      <c r="I80" s="2">
        <v>3</v>
      </c>
      <c r="K80" s="2"/>
      <c r="L80" s="127"/>
      <c r="M80" s="2"/>
      <c r="N80" s="127"/>
      <c r="O80" s="2"/>
      <c r="P80" s="3">
        <f t="shared" si="6"/>
        <v>108000</v>
      </c>
      <c r="R80" s="127">
        <f t="shared" si="4"/>
        <v>1200</v>
      </c>
      <c r="S80" s="118">
        <f t="shared" si="7"/>
        <v>8400</v>
      </c>
    </row>
    <row r="81" spans="1:19" ht="16" hidden="1">
      <c r="A81">
        <v>94</v>
      </c>
      <c r="B81" s="42" t="s">
        <v>33</v>
      </c>
      <c r="C81" s="313">
        <f>SUMIF('Employees Supported'!$A$2:$A$29,$B81,'Employees Supported'!$C$2:$C$29)</f>
        <v>400</v>
      </c>
      <c r="D81" s="313"/>
      <c r="E81" s="2">
        <v>3</v>
      </c>
      <c r="F81" t="s">
        <v>70</v>
      </c>
      <c r="G81" t="str">
        <f t="shared" si="5"/>
        <v>SCLNitrile Gloves (Public Safety)</v>
      </c>
      <c r="H81" s="2" t="s">
        <v>71</v>
      </c>
      <c r="I81" s="2"/>
      <c r="K81" s="2"/>
      <c r="L81" s="127"/>
      <c r="M81" s="2"/>
      <c r="N81" s="127"/>
      <c r="O81" s="2" t="s">
        <v>2678</v>
      </c>
      <c r="P81" s="3" t="str">
        <f t="shared" si="6"/>
        <v>NR</v>
      </c>
      <c r="Q81" s="143" t="s">
        <v>2703</v>
      </c>
      <c r="R81" s="127">
        <f t="shared" si="4"/>
        <v>0</v>
      </c>
      <c r="S81" s="118">
        <f t="shared" si="7"/>
        <v>0</v>
      </c>
    </row>
    <row r="82" spans="1:19" hidden="1">
      <c r="A82">
        <v>95</v>
      </c>
      <c r="B82" s="42" t="s">
        <v>33</v>
      </c>
      <c r="C82" s="313">
        <f>SUMIF('Employees Supported'!$A$2:$A$29,$B82,'Employees Supported'!$C$2:$C$29)</f>
        <v>400</v>
      </c>
      <c r="D82" s="313"/>
      <c r="E82" s="2">
        <v>4</v>
      </c>
      <c r="F82" t="s">
        <v>72</v>
      </c>
      <c r="G82" t="str">
        <f t="shared" si="5"/>
        <v>SCLNitrile Gloves (General Use)</v>
      </c>
      <c r="H82" s="2" t="s">
        <v>71</v>
      </c>
      <c r="I82" s="2">
        <v>3</v>
      </c>
      <c r="K82" s="2"/>
      <c r="L82" s="127"/>
      <c r="M82" s="2"/>
      <c r="N82" s="127"/>
      <c r="O82" s="2"/>
      <c r="P82" s="3">
        <f t="shared" si="6"/>
        <v>108000</v>
      </c>
      <c r="R82" s="127">
        <f t="shared" si="4"/>
        <v>1200</v>
      </c>
      <c r="S82" s="118">
        <f t="shared" si="7"/>
        <v>8400</v>
      </c>
    </row>
    <row r="83" spans="1:19" hidden="1">
      <c r="A83">
        <v>96</v>
      </c>
      <c r="B83" s="42" t="s">
        <v>33</v>
      </c>
      <c r="C83" s="313">
        <f>SUMIF('Employees Supported'!$A$2:$A$29,$B83,'Employees Supported'!$C$2:$C$29)</f>
        <v>400</v>
      </c>
      <c r="D83" s="313"/>
      <c r="E83" s="2">
        <v>5</v>
      </c>
      <c r="F83" t="s">
        <v>2669</v>
      </c>
      <c r="G83" t="str">
        <f t="shared" si="5"/>
        <v>SCLSurgical gowns</v>
      </c>
      <c r="H83" s="2" t="s">
        <v>67</v>
      </c>
      <c r="I83" s="2"/>
      <c r="K83" s="2"/>
      <c r="L83" s="127"/>
      <c r="M83" s="2"/>
      <c r="N83" s="127"/>
      <c r="O83" s="2" t="s">
        <v>2678</v>
      </c>
      <c r="P83" s="3" t="str">
        <f t="shared" si="6"/>
        <v>NR</v>
      </c>
      <c r="R83" s="127">
        <f t="shared" si="4"/>
        <v>0</v>
      </c>
      <c r="S83" s="118">
        <f t="shared" si="7"/>
        <v>0</v>
      </c>
    </row>
    <row r="84" spans="1:19" hidden="1">
      <c r="A84">
        <v>97</v>
      </c>
      <c r="B84" s="42" t="s">
        <v>33</v>
      </c>
      <c r="C84" s="313">
        <f>SUMIF('Employees Supported'!$A$2:$A$29,$B84,'Employees Supported'!$C$2:$C$29)</f>
        <v>400</v>
      </c>
      <c r="D84" s="313"/>
      <c r="E84" s="2">
        <v>6</v>
      </c>
      <c r="F84" t="s">
        <v>78</v>
      </c>
      <c r="G84" t="str">
        <f t="shared" si="5"/>
        <v>SCLDisinfectant Wipes</v>
      </c>
      <c r="H84" s="2" t="s">
        <v>79</v>
      </c>
      <c r="I84" s="2"/>
      <c r="K84" s="2"/>
      <c r="L84" s="127"/>
      <c r="M84" s="2">
        <v>3</v>
      </c>
      <c r="N84" s="127"/>
      <c r="O84" s="2"/>
      <c r="P84" s="3">
        <f t="shared" si="6"/>
        <v>1200</v>
      </c>
      <c r="R84" s="127">
        <f t="shared" ref="R84:R147" si="8">SUM(P84)/90</f>
        <v>13.333333333333334</v>
      </c>
      <c r="S84" s="118">
        <f t="shared" si="7"/>
        <v>93.333333333333343</v>
      </c>
    </row>
    <row r="85" spans="1:19" ht="16" hidden="1">
      <c r="A85">
        <v>98</v>
      </c>
      <c r="B85" s="42" t="s">
        <v>33</v>
      </c>
      <c r="C85" s="313">
        <f>SUMIF('Employees Supported'!$A$2:$A$29,$B85,'Employees Supported'!$C$2:$C$29)</f>
        <v>400</v>
      </c>
      <c r="D85" s="313"/>
      <c r="E85" s="2">
        <v>7</v>
      </c>
      <c r="F85" t="s">
        <v>80</v>
      </c>
      <c r="G85" t="str">
        <f t="shared" si="5"/>
        <v>SCLAntimicrobial (PAWS) Wipes</v>
      </c>
      <c r="H85" s="2" t="s">
        <v>81</v>
      </c>
      <c r="I85" s="2"/>
      <c r="K85" s="2"/>
      <c r="L85" s="127"/>
      <c r="M85" s="2"/>
      <c r="N85" s="127"/>
      <c r="O85" s="2" t="s">
        <v>2678</v>
      </c>
      <c r="P85" s="3" t="str">
        <f t="shared" si="6"/>
        <v>NR</v>
      </c>
      <c r="Q85" s="143" t="s">
        <v>2703</v>
      </c>
      <c r="R85" s="127">
        <f t="shared" si="8"/>
        <v>0</v>
      </c>
      <c r="S85" s="118">
        <f t="shared" si="7"/>
        <v>0</v>
      </c>
    </row>
    <row r="86" spans="1:19" hidden="1">
      <c r="A86">
        <v>99</v>
      </c>
      <c r="B86" s="42" t="s">
        <v>33</v>
      </c>
      <c r="C86" s="313">
        <f>SUMIF('Employees Supported'!$A$2:$A$29,$B86,'Employees Supported'!$C$2:$C$29)</f>
        <v>400</v>
      </c>
      <c r="D86" s="313"/>
      <c r="E86" s="2">
        <v>8</v>
      </c>
      <c r="F86" t="s">
        <v>82</v>
      </c>
      <c r="G86" t="str">
        <f t="shared" si="5"/>
        <v>SCLHand Sanitizer (12oz or equiv)</v>
      </c>
      <c r="H86" s="2" t="s">
        <v>83</v>
      </c>
      <c r="I86" s="2"/>
      <c r="K86" s="2"/>
      <c r="L86" s="127"/>
      <c r="M86" s="2">
        <v>4</v>
      </c>
      <c r="N86" s="127"/>
      <c r="O86" s="2"/>
      <c r="P86" s="3">
        <f t="shared" si="6"/>
        <v>1600</v>
      </c>
      <c r="R86" s="127">
        <f t="shared" si="8"/>
        <v>17.777777777777779</v>
      </c>
      <c r="S86" s="118">
        <f t="shared" si="7"/>
        <v>124.44444444444446</v>
      </c>
    </row>
    <row r="87" spans="1:19" hidden="1">
      <c r="A87">
        <v>100</v>
      </c>
      <c r="B87" s="42" t="s">
        <v>33</v>
      </c>
      <c r="C87" s="313">
        <f>SUMIF('Employees Supported'!$A$2:$A$29,$B87,'Employees Supported'!$C$2:$C$29)</f>
        <v>400</v>
      </c>
      <c r="D87" s="313"/>
      <c r="E87" s="2">
        <v>9</v>
      </c>
      <c r="F87" t="s">
        <v>84</v>
      </c>
      <c r="G87" t="str">
        <f t="shared" si="5"/>
        <v>SCLPurell (1200 ml stand refill)</v>
      </c>
      <c r="H87" s="2" t="s">
        <v>85</v>
      </c>
      <c r="I87" s="2"/>
      <c r="K87" s="2"/>
      <c r="L87" s="127"/>
      <c r="M87" s="2"/>
      <c r="N87" s="127"/>
      <c r="O87" s="2" t="s">
        <v>2678</v>
      </c>
      <c r="P87" s="3" t="str">
        <f t="shared" si="6"/>
        <v>NR</v>
      </c>
      <c r="R87" s="127">
        <f t="shared" si="8"/>
        <v>0</v>
      </c>
      <c r="S87" s="118">
        <f t="shared" si="7"/>
        <v>0</v>
      </c>
    </row>
    <row r="88" spans="1:19" ht="16" hidden="1">
      <c r="A88">
        <v>101</v>
      </c>
      <c r="B88" s="42" t="s">
        <v>33</v>
      </c>
      <c r="C88" s="313">
        <f>SUMIF('Employees Supported'!$A$2:$A$29,$B88,'Employees Supported'!$C$2:$C$29)</f>
        <v>400</v>
      </c>
      <c r="D88" s="313"/>
      <c r="E88" s="2">
        <v>10</v>
      </c>
      <c r="F88" t="s">
        <v>89</v>
      </c>
      <c r="G88" t="str">
        <f t="shared" si="5"/>
        <v>SCLThermometers</v>
      </c>
      <c r="H88" s="2" t="s">
        <v>67</v>
      </c>
      <c r="I88" s="2"/>
      <c r="K88" s="2"/>
      <c r="L88" s="127"/>
      <c r="M88" s="2"/>
      <c r="N88" s="127"/>
      <c r="O88" s="2" t="s">
        <v>2678</v>
      </c>
      <c r="P88" s="3" t="str">
        <f t="shared" si="6"/>
        <v>NR</v>
      </c>
      <c r="Q88" s="143" t="s">
        <v>2691</v>
      </c>
      <c r="R88" s="127">
        <f t="shared" si="8"/>
        <v>0</v>
      </c>
      <c r="S88" s="118">
        <f t="shared" si="7"/>
        <v>0</v>
      </c>
    </row>
    <row r="89" spans="1:19" ht="16" hidden="1">
      <c r="A89">
        <v>102</v>
      </c>
      <c r="B89" s="42" t="s">
        <v>33</v>
      </c>
      <c r="C89" s="313">
        <f>SUMIF('Employees Supported'!$A$2:$A$29,$B89,'Employees Supported'!$C$2:$C$29)</f>
        <v>400</v>
      </c>
      <c r="D89" s="313"/>
      <c r="E89" s="2">
        <v>11</v>
      </c>
      <c r="F89" t="s">
        <v>86</v>
      </c>
      <c r="G89" t="str">
        <f t="shared" si="5"/>
        <v>SCLIsopropyl Alcohol (16oz or equiv)</v>
      </c>
      <c r="H89" s="2" t="s">
        <v>83</v>
      </c>
      <c r="I89" s="2"/>
      <c r="K89" s="2"/>
      <c r="L89" s="127"/>
      <c r="M89" s="2"/>
      <c r="N89" s="127"/>
      <c r="O89" s="2" t="s">
        <v>2678</v>
      </c>
      <c r="P89" s="3" t="str">
        <f t="shared" si="6"/>
        <v>NR</v>
      </c>
      <c r="Q89" s="143" t="s">
        <v>2703</v>
      </c>
      <c r="R89" s="127">
        <f t="shared" si="8"/>
        <v>0</v>
      </c>
      <c r="S89" s="118">
        <f t="shared" si="7"/>
        <v>0</v>
      </c>
    </row>
    <row r="90" spans="1:19" hidden="1">
      <c r="A90">
        <v>103</v>
      </c>
      <c r="B90" s="42" t="s">
        <v>33</v>
      </c>
      <c r="C90" s="313">
        <f>SUMIF('Employees Supported'!$A$2:$A$29,$B90,'Employees Supported'!$C$2:$C$29)</f>
        <v>400</v>
      </c>
      <c r="D90" s="313"/>
      <c r="E90" s="2">
        <v>12</v>
      </c>
      <c r="F90" t="s">
        <v>93</v>
      </c>
      <c r="G90" t="str">
        <f t="shared" si="5"/>
        <v>SCLHand Soap</v>
      </c>
      <c r="H90" s="2" t="s">
        <v>83</v>
      </c>
      <c r="I90" s="2"/>
      <c r="K90" s="2"/>
      <c r="L90" s="127"/>
      <c r="M90" s="2">
        <v>4</v>
      </c>
      <c r="N90" s="127"/>
      <c r="O90" s="2"/>
      <c r="P90" s="3">
        <f t="shared" si="6"/>
        <v>1600</v>
      </c>
      <c r="R90" s="127">
        <f t="shared" si="8"/>
        <v>17.777777777777779</v>
      </c>
      <c r="S90" s="118">
        <f t="shared" si="7"/>
        <v>124.44444444444446</v>
      </c>
    </row>
    <row r="91" spans="1:19" ht="16" hidden="1">
      <c r="A91">
        <v>104</v>
      </c>
      <c r="B91" s="42" t="s">
        <v>33</v>
      </c>
      <c r="C91" s="313">
        <f>SUMIF('Employees Supported'!$A$2:$A$29,$B91,'Employees Supported'!$C$2:$C$29)</f>
        <v>400</v>
      </c>
      <c r="D91" s="313"/>
      <c r="E91" s="2">
        <v>13</v>
      </c>
      <c r="F91" t="s">
        <v>75</v>
      </c>
      <c r="G91" t="str">
        <f t="shared" si="5"/>
        <v>SCLTyvek Suits w/hoods</v>
      </c>
      <c r="H91" s="2" t="s">
        <v>67</v>
      </c>
      <c r="I91" s="2"/>
      <c r="K91" s="2"/>
      <c r="L91" s="127"/>
      <c r="M91" s="2"/>
      <c r="N91" s="127"/>
      <c r="O91" s="2" t="s">
        <v>2678</v>
      </c>
      <c r="P91" s="3" t="str">
        <f t="shared" si="6"/>
        <v>NR</v>
      </c>
      <c r="Q91" s="143" t="s">
        <v>2691</v>
      </c>
      <c r="R91" s="127">
        <f t="shared" si="8"/>
        <v>0</v>
      </c>
      <c r="S91" s="118">
        <f t="shared" si="7"/>
        <v>0</v>
      </c>
    </row>
    <row r="92" spans="1:19" ht="16" hidden="1">
      <c r="A92">
        <v>105</v>
      </c>
      <c r="B92" s="42" t="s">
        <v>33</v>
      </c>
      <c r="C92" s="313">
        <f>SUMIF('Employees Supported'!$A$2:$A$29,$B92,'Employees Supported'!$C$2:$C$29)</f>
        <v>400</v>
      </c>
      <c r="D92" s="313"/>
      <c r="E92" s="2">
        <v>14</v>
      </c>
      <c r="F92" t="s">
        <v>74</v>
      </c>
      <c r="G92" t="str">
        <f t="shared" si="5"/>
        <v>SCLTyvek Suits</v>
      </c>
      <c r="H92" s="2" t="s">
        <v>67</v>
      </c>
      <c r="I92" s="2"/>
      <c r="K92" s="2"/>
      <c r="L92" s="127"/>
      <c r="M92" s="2"/>
      <c r="N92" s="127"/>
      <c r="O92" s="2" t="s">
        <v>2678</v>
      </c>
      <c r="P92" s="3" t="str">
        <f t="shared" si="6"/>
        <v>NR</v>
      </c>
      <c r="Q92" s="143" t="s">
        <v>2691</v>
      </c>
      <c r="R92" s="127">
        <f t="shared" si="8"/>
        <v>0</v>
      </c>
      <c r="S92" s="118">
        <f t="shared" si="7"/>
        <v>0</v>
      </c>
    </row>
    <row r="93" spans="1:19" hidden="1">
      <c r="A93">
        <v>106</v>
      </c>
      <c r="B93" s="42" t="s">
        <v>33</v>
      </c>
      <c r="C93" s="313">
        <f>SUMIF('Employees Supported'!$A$2:$A$29,$B93,'Employees Supported'!$C$2:$C$29)</f>
        <v>400</v>
      </c>
      <c r="D93" s="313"/>
      <c r="E93" s="2">
        <v>15</v>
      </c>
      <c r="F93" t="s">
        <v>94</v>
      </c>
      <c r="G93" t="str">
        <f t="shared" si="5"/>
        <v>SCLFacial Tissue</v>
      </c>
      <c r="H93" s="2" t="s">
        <v>85</v>
      </c>
      <c r="I93" s="2"/>
      <c r="K93" s="2"/>
      <c r="L93" s="127"/>
      <c r="M93" s="2"/>
      <c r="N93" s="127"/>
      <c r="O93" s="2" t="s">
        <v>2678</v>
      </c>
      <c r="P93" s="3" t="str">
        <f t="shared" si="6"/>
        <v>NR</v>
      </c>
      <c r="R93" s="127">
        <f t="shared" si="8"/>
        <v>0</v>
      </c>
      <c r="S93" s="118">
        <f t="shared" si="7"/>
        <v>0</v>
      </c>
    </row>
    <row r="94" spans="1:19" ht="32" hidden="1">
      <c r="A94">
        <v>107</v>
      </c>
      <c r="B94" s="42" t="s">
        <v>33</v>
      </c>
      <c r="C94" s="313">
        <f>SUMIF('Employees Supported'!$A$2:$A$29,$B94,'Employees Supported'!$C$2:$C$29)</f>
        <v>400</v>
      </c>
      <c r="D94" s="313"/>
      <c r="E94" s="2">
        <v>16</v>
      </c>
      <c r="F94" t="s">
        <v>69</v>
      </c>
      <c r="G94" t="str">
        <f t="shared" si="5"/>
        <v>SCLMasks (Cloth)</v>
      </c>
      <c r="H94" s="2" t="s">
        <v>67</v>
      </c>
      <c r="I94" s="2"/>
      <c r="K94" s="2"/>
      <c r="L94" s="127"/>
      <c r="M94" s="2"/>
      <c r="N94" s="127"/>
      <c r="O94" s="2" t="s">
        <v>2678</v>
      </c>
      <c r="P94" s="3" t="str">
        <f t="shared" si="6"/>
        <v>NR</v>
      </c>
      <c r="Q94" s="143" t="s">
        <v>2704</v>
      </c>
      <c r="R94" s="127">
        <f t="shared" si="8"/>
        <v>0</v>
      </c>
      <c r="S94" s="118">
        <f t="shared" si="7"/>
        <v>0</v>
      </c>
    </row>
    <row r="95" spans="1:19" ht="16" hidden="1">
      <c r="A95">
        <v>108</v>
      </c>
      <c r="B95" s="42" t="s">
        <v>33</v>
      </c>
      <c r="C95" s="313">
        <f>SUMIF('Employees Supported'!$A$2:$A$29,$B95,'Employees Supported'!$C$2:$C$29)</f>
        <v>400</v>
      </c>
      <c r="D95" s="313"/>
      <c r="E95" s="2">
        <v>17</v>
      </c>
      <c r="F95" t="s">
        <v>77</v>
      </c>
      <c r="G95" t="str">
        <f t="shared" si="5"/>
        <v>SCLGoggles</v>
      </c>
      <c r="H95" s="2" t="s">
        <v>67</v>
      </c>
      <c r="I95" s="2"/>
      <c r="K95" s="2"/>
      <c r="L95" s="127"/>
      <c r="M95" s="2"/>
      <c r="N95" s="127"/>
      <c r="O95" s="2" t="s">
        <v>2678</v>
      </c>
      <c r="P95" s="3" t="str">
        <f t="shared" si="6"/>
        <v>NR</v>
      </c>
      <c r="Q95" s="143" t="s">
        <v>2680</v>
      </c>
      <c r="R95" s="127">
        <f t="shared" si="8"/>
        <v>0</v>
      </c>
      <c r="S95" s="118">
        <f t="shared" si="7"/>
        <v>0</v>
      </c>
    </row>
    <row r="96" spans="1:19" ht="16" hidden="1">
      <c r="A96">
        <v>109</v>
      </c>
      <c r="B96" s="42" t="s">
        <v>33</v>
      </c>
      <c r="C96" s="313">
        <f>SUMIF('Employees Supported'!$A$2:$A$29,$B96,'Employees Supported'!$C$2:$C$29)</f>
        <v>400</v>
      </c>
      <c r="D96" s="313"/>
      <c r="E96" s="2">
        <v>18</v>
      </c>
      <c r="F96" t="s">
        <v>76</v>
      </c>
      <c r="G96" t="str">
        <f t="shared" si="5"/>
        <v>SCLFace Shields</v>
      </c>
      <c r="H96" s="2" t="s">
        <v>67</v>
      </c>
      <c r="I96" s="2"/>
      <c r="K96" s="2"/>
      <c r="L96" s="127"/>
      <c r="M96" s="2"/>
      <c r="N96" s="127"/>
      <c r="O96" s="2" t="s">
        <v>2678</v>
      </c>
      <c r="P96" s="3" t="str">
        <f t="shared" si="6"/>
        <v>NR</v>
      </c>
      <c r="Q96" s="143" t="s">
        <v>2680</v>
      </c>
      <c r="R96" s="127">
        <f t="shared" si="8"/>
        <v>0</v>
      </c>
      <c r="S96" s="118">
        <f t="shared" si="7"/>
        <v>0</v>
      </c>
    </row>
    <row r="97" spans="1:19" hidden="1">
      <c r="A97">
        <v>110</v>
      </c>
      <c r="B97" s="42" t="s">
        <v>33</v>
      </c>
      <c r="C97" s="313">
        <f>SUMIF('Employees Supported'!$A$2:$A$29,$B97,'Employees Supported'!$C$2:$C$29)</f>
        <v>400</v>
      </c>
      <c r="D97" s="313"/>
      <c r="E97" s="2">
        <v>19</v>
      </c>
      <c r="F97" t="s">
        <v>97</v>
      </c>
      <c r="G97" t="str">
        <f t="shared" si="5"/>
        <v>SCLToilet Paper</v>
      </c>
      <c r="H97" s="2" t="s">
        <v>98</v>
      </c>
      <c r="I97" s="2"/>
      <c r="K97" s="2"/>
      <c r="L97" s="127"/>
      <c r="M97" s="2"/>
      <c r="N97" s="127"/>
      <c r="O97" s="2" t="s">
        <v>2678</v>
      </c>
      <c r="P97" s="3" t="str">
        <f t="shared" si="6"/>
        <v>NR</v>
      </c>
      <c r="R97" s="127">
        <f t="shared" si="8"/>
        <v>0</v>
      </c>
      <c r="S97" s="118">
        <f t="shared" si="7"/>
        <v>0</v>
      </c>
    </row>
    <row r="98" spans="1:19" hidden="1">
      <c r="A98">
        <v>114</v>
      </c>
      <c r="B98" s="42" t="s">
        <v>31</v>
      </c>
      <c r="C98" s="313">
        <f>SUMIF('Employees Supported'!$A$2:$A$29,$B98,'Employees Supported'!$C$2:$C$29)</f>
        <v>700</v>
      </c>
      <c r="D98" s="313"/>
      <c r="E98" s="2">
        <v>1</v>
      </c>
      <c r="F98" t="s">
        <v>66</v>
      </c>
      <c r="G98" t="str">
        <f t="shared" si="5"/>
        <v>SeaITMasks (N95)</v>
      </c>
      <c r="H98" s="2" t="s">
        <v>67</v>
      </c>
      <c r="I98" s="2">
        <v>1</v>
      </c>
      <c r="K98" s="2"/>
      <c r="L98" s="127"/>
      <c r="M98" s="2"/>
      <c r="N98" s="127"/>
      <c r="O98" s="2"/>
      <c r="P98" s="3">
        <f t="shared" si="6"/>
        <v>63000</v>
      </c>
      <c r="R98" s="127">
        <f t="shared" si="8"/>
        <v>700</v>
      </c>
      <c r="S98" s="118">
        <f t="shared" si="7"/>
        <v>4900</v>
      </c>
    </row>
    <row r="99" spans="1:19" hidden="1">
      <c r="A99">
        <v>115</v>
      </c>
      <c r="B99" s="42" t="s">
        <v>31</v>
      </c>
      <c r="C99" s="313">
        <f>SUMIF('Employees Supported'!$A$2:$A$29,$B99,'Employees Supported'!$C$2:$C$29)</f>
        <v>700</v>
      </c>
      <c r="D99" s="313"/>
      <c r="E99" s="2">
        <v>2</v>
      </c>
      <c r="F99" t="s">
        <v>68</v>
      </c>
      <c r="G99" t="str">
        <f t="shared" si="5"/>
        <v>SeaITMasks (Surgical)</v>
      </c>
      <c r="H99" s="2" t="s">
        <v>67</v>
      </c>
      <c r="I99" s="2">
        <v>3</v>
      </c>
      <c r="K99" s="2"/>
      <c r="L99" s="127"/>
      <c r="M99" s="2"/>
      <c r="N99" s="127"/>
      <c r="O99" s="2"/>
      <c r="P99" s="3">
        <f t="shared" si="6"/>
        <v>189000</v>
      </c>
      <c r="R99" s="127">
        <f t="shared" si="8"/>
        <v>2100</v>
      </c>
      <c r="S99" s="118">
        <f t="shared" si="7"/>
        <v>14700</v>
      </c>
    </row>
    <row r="100" spans="1:19" ht="16" hidden="1">
      <c r="A100">
        <v>116</v>
      </c>
      <c r="B100" s="42" t="s">
        <v>31</v>
      </c>
      <c r="C100" s="313">
        <f>SUMIF('Employees Supported'!$A$2:$A$29,$B100,'Employees Supported'!$C$2:$C$29)</f>
        <v>700</v>
      </c>
      <c r="D100" s="313"/>
      <c r="E100" s="2">
        <v>3</v>
      </c>
      <c r="F100" t="s">
        <v>70</v>
      </c>
      <c r="G100" t="str">
        <f t="shared" si="5"/>
        <v>SeaITNitrile Gloves (Public Safety)</v>
      </c>
      <c r="H100" s="2" t="s">
        <v>71</v>
      </c>
      <c r="I100" s="2"/>
      <c r="K100" s="2"/>
      <c r="L100" s="127"/>
      <c r="M100" s="2"/>
      <c r="N100" s="127"/>
      <c r="O100" s="2" t="s">
        <v>2678</v>
      </c>
      <c r="P100" s="3" t="str">
        <f t="shared" si="6"/>
        <v>NR</v>
      </c>
      <c r="Q100" s="143" t="s">
        <v>2703</v>
      </c>
      <c r="R100" s="127">
        <f t="shared" si="8"/>
        <v>0</v>
      </c>
      <c r="S100" s="118">
        <f t="shared" si="7"/>
        <v>0</v>
      </c>
    </row>
    <row r="101" spans="1:19" hidden="1">
      <c r="A101">
        <v>117</v>
      </c>
      <c r="B101" s="42" t="s">
        <v>31</v>
      </c>
      <c r="C101" s="313">
        <f>SUMIF('Employees Supported'!$A$2:$A$29,$B101,'Employees Supported'!$C$2:$C$29)</f>
        <v>700</v>
      </c>
      <c r="D101" s="313"/>
      <c r="E101" s="2">
        <v>4</v>
      </c>
      <c r="F101" t="s">
        <v>72</v>
      </c>
      <c r="G101" t="str">
        <f t="shared" si="5"/>
        <v>SeaITNitrile Gloves (General Use)</v>
      </c>
      <c r="H101" s="2" t="s">
        <v>71</v>
      </c>
      <c r="I101" s="2">
        <v>3</v>
      </c>
      <c r="K101" s="2"/>
      <c r="L101" s="127"/>
      <c r="M101" s="2"/>
      <c r="N101" s="127"/>
      <c r="O101" s="2"/>
      <c r="P101" s="3">
        <f t="shared" si="6"/>
        <v>189000</v>
      </c>
      <c r="R101" s="127">
        <f t="shared" si="8"/>
        <v>2100</v>
      </c>
      <c r="S101" s="118">
        <f t="shared" si="7"/>
        <v>14700</v>
      </c>
    </row>
    <row r="102" spans="1:19" hidden="1">
      <c r="A102">
        <v>118</v>
      </c>
      <c r="B102" s="42" t="s">
        <v>31</v>
      </c>
      <c r="C102" s="313">
        <f>SUMIF('Employees Supported'!$A$2:$A$29,$B102,'Employees Supported'!$C$2:$C$29)</f>
        <v>700</v>
      </c>
      <c r="D102" s="313"/>
      <c r="E102" s="2">
        <v>5</v>
      </c>
      <c r="F102" t="s">
        <v>2669</v>
      </c>
      <c r="G102" t="str">
        <f t="shared" si="5"/>
        <v>SeaITSurgical gowns</v>
      </c>
      <c r="H102" s="2" t="s">
        <v>67</v>
      </c>
      <c r="I102" s="2"/>
      <c r="K102" s="2"/>
      <c r="L102" s="127"/>
      <c r="M102" s="2"/>
      <c r="N102" s="127"/>
      <c r="O102" s="2" t="s">
        <v>2678</v>
      </c>
      <c r="P102" s="3" t="str">
        <f t="shared" si="6"/>
        <v>NR</v>
      </c>
      <c r="R102" s="127">
        <f t="shared" si="8"/>
        <v>0</v>
      </c>
      <c r="S102" s="118">
        <f t="shared" si="7"/>
        <v>0</v>
      </c>
    </row>
    <row r="103" spans="1:19" hidden="1">
      <c r="A103">
        <v>119</v>
      </c>
      <c r="B103" s="42" t="s">
        <v>31</v>
      </c>
      <c r="C103" s="313">
        <f>SUMIF('Employees Supported'!$A$2:$A$29,$B103,'Employees Supported'!$C$2:$C$29)</f>
        <v>700</v>
      </c>
      <c r="D103" s="313"/>
      <c r="E103" s="2">
        <v>6</v>
      </c>
      <c r="F103" t="s">
        <v>78</v>
      </c>
      <c r="G103" t="str">
        <f t="shared" si="5"/>
        <v>SeaITDisinfectant Wipes</v>
      </c>
      <c r="H103" s="2" t="s">
        <v>79</v>
      </c>
      <c r="I103" s="2"/>
      <c r="K103" s="2"/>
      <c r="L103" s="127"/>
      <c r="M103" s="2">
        <v>3</v>
      </c>
      <c r="N103" s="127"/>
      <c r="O103" s="2"/>
      <c r="P103" s="3">
        <f t="shared" si="6"/>
        <v>2100</v>
      </c>
      <c r="R103" s="127">
        <f t="shared" si="8"/>
        <v>23.333333333333332</v>
      </c>
      <c r="S103" s="118">
        <f t="shared" si="7"/>
        <v>163.33333333333331</v>
      </c>
    </row>
    <row r="104" spans="1:19" ht="16" hidden="1">
      <c r="A104">
        <v>120</v>
      </c>
      <c r="B104" s="42" t="s">
        <v>31</v>
      </c>
      <c r="C104" s="313">
        <f>SUMIF('Employees Supported'!$A$2:$A$29,$B104,'Employees Supported'!$C$2:$C$29)</f>
        <v>700</v>
      </c>
      <c r="D104" s="313"/>
      <c r="E104" s="2">
        <v>7</v>
      </c>
      <c r="F104" t="s">
        <v>80</v>
      </c>
      <c r="G104" t="str">
        <f t="shared" si="5"/>
        <v>SeaITAntimicrobial (PAWS) Wipes</v>
      </c>
      <c r="H104" s="2" t="s">
        <v>81</v>
      </c>
      <c r="I104" s="2"/>
      <c r="K104" s="2"/>
      <c r="L104" s="127"/>
      <c r="M104" s="2"/>
      <c r="N104" s="127"/>
      <c r="O104" s="2" t="s">
        <v>2678</v>
      </c>
      <c r="P104" s="3" t="str">
        <f t="shared" si="6"/>
        <v>NR</v>
      </c>
      <c r="Q104" s="143" t="s">
        <v>2703</v>
      </c>
      <c r="R104" s="127">
        <f t="shared" si="8"/>
        <v>0</v>
      </c>
      <c r="S104" s="118">
        <f t="shared" si="7"/>
        <v>0</v>
      </c>
    </row>
    <row r="105" spans="1:19" hidden="1">
      <c r="A105">
        <v>121</v>
      </c>
      <c r="B105" s="42" t="s">
        <v>31</v>
      </c>
      <c r="C105" s="313">
        <f>SUMIF('Employees Supported'!$A$2:$A$29,$B105,'Employees Supported'!$C$2:$C$29)</f>
        <v>700</v>
      </c>
      <c r="D105" s="313"/>
      <c r="E105" s="2">
        <v>8</v>
      </c>
      <c r="F105" t="s">
        <v>82</v>
      </c>
      <c r="G105" t="str">
        <f t="shared" si="5"/>
        <v>SeaITHand Sanitizer (12oz or equiv)</v>
      </c>
      <c r="H105" s="2" t="s">
        <v>83</v>
      </c>
      <c r="I105" s="2"/>
      <c r="K105" s="2"/>
      <c r="L105" s="127"/>
      <c r="M105" s="2">
        <v>4</v>
      </c>
      <c r="N105" s="127"/>
      <c r="O105" s="2"/>
      <c r="P105" s="3">
        <f t="shared" si="6"/>
        <v>2800</v>
      </c>
      <c r="R105" s="127">
        <f t="shared" si="8"/>
        <v>31.111111111111111</v>
      </c>
      <c r="S105" s="118">
        <f t="shared" si="7"/>
        <v>217.77777777777777</v>
      </c>
    </row>
    <row r="106" spans="1:19" hidden="1">
      <c r="A106">
        <v>122</v>
      </c>
      <c r="B106" s="42" t="s">
        <v>31</v>
      </c>
      <c r="C106" s="313">
        <f>SUMIF('Employees Supported'!$A$2:$A$29,$B106,'Employees Supported'!$C$2:$C$29)</f>
        <v>700</v>
      </c>
      <c r="D106" s="313"/>
      <c r="E106" s="2">
        <v>9</v>
      </c>
      <c r="F106" t="s">
        <v>84</v>
      </c>
      <c r="G106" t="str">
        <f t="shared" si="5"/>
        <v>SeaITPurell (1200 ml stand refill)</v>
      </c>
      <c r="H106" s="2" t="s">
        <v>85</v>
      </c>
      <c r="I106" s="2"/>
      <c r="K106" s="2"/>
      <c r="L106" s="127"/>
      <c r="M106" s="2"/>
      <c r="N106" s="127"/>
      <c r="O106" s="2" t="s">
        <v>2678</v>
      </c>
      <c r="P106" s="3" t="str">
        <f t="shared" si="6"/>
        <v>NR</v>
      </c>
      <c r="R106" s="127">
        <f t="shared" si="8"/>
        <v>0</v>
      </c>
      <c r="S106" s="118">
        <f t="shared" si="7"/>
        <v>0</v>
      </c>
    </row>
    <row r="107" spans="1:19" ht="16" hidden="1">
      <c r="A107">
        <v>123</v>
      </c>
      <c r="B107" s="42" t="s">
        <v>31</v>
      </c>
      <c r="C107" s="313">
        <f>SUMIF('Employees Supported'!$A$2:$A$29,$B107,'Employees Supported'!$C$2:$C$29)</f>
        <v>700</v>
      </c>
      <c r="D107" s="313"/>
      <c r="E107" s="2">
        <v>10</v>
      </c>
      <c r="F107" t="s">
        <v>89</v>
      </c>
      <c r="G107" t="str">
        <f t="shared" si="5"/>
        <v>SeaITThermometers</v>
      </c>
      <c r="H107" s="2" t="s">
        <v>67</v>
      </c>
      <c r="I107" s="2"/>
      <c r="K107" s="2"/>
      <c r="L107" s="127"/>
      <c r="M107" s="2"/>
      <c r="N107" s="127"/>
      <c r="O107" s="2" t="s">
        <v>2678</v>
      </c>
      <c r="P107" s="3" t="str">
        <f t="shared" si="6"/>
        <v>NR</v>
      </c>
      <c r="Q107" s="143" t="s">
        <v>2691</v>
      </c>
      <c r="R107" s="127">
        <f t="shared" si="8"/>
        <v>0</v>
      </c>
      <c r="S107" s="118">
        <f t="shared" si="7"/>
        <v>0</v>
      </c>
    </row>
    <row r="108" spans="1:19" ht="16" hidden="1">
      <c r="A108">
        <v>124</v>
      </c>
      <c r="B108" s="42" t="s">
        <v>31</v>
      </c>
      <c r="C108" s="313">
        <f>SUMIF('Employees Supported'!$A$2:$A$29,$B108,'Employees Supported'!$C$2:$C$29)</f>
        <v>700</v>
      </c>
      <c r="D108" s="313"/>
      <c r="E108" s="2">
        <v>11</v>
      </c>
      <c r="F108" t="s">
        <v>86</v>
      </c>
      <c r="G108" t="str">
        <f t="shared" si="5"/>
        <v>SeaITIsopropyl Alcohol (16oz or equiv)</v>
      </c>
      <c r="H108" s="2" t="s">
        <v>83</v>
      </c>
      <c r="I108" s="2"/>
      <c r="K108" s="2"/>
      <c r="L108" s="127"/>
      <c r="M108" s="2"/>
      <c r="N108" s="127"/>
      <c r="O108" s="2" t="s">
        <v>2678</v>
      </c>
      <c r="P108" s="3" t="str">
        <f t="shared" si="6"/>
        <v>NR</v>
      </c>
      <c r="Q108" s="143" t="s">
        <v>2703</v>
      </c>
      <c r="R108" s="127">
        <f t="shared" si="8"/>
        <v>0</v>
      </c>
      <c r="S108" s="118">
        <f t="shared" si="7"/>
        <v>0</v>
      </c>
    </row>
    <row r="109" spans="1:19" hidden="1">
      <c r="A109">
        <v>125</v>
      </c>
      <c r="B109" s="42" t="s">
        <v>31</v>
      </c>
      <c r="C109" s="313">
        <f>SUMIF('Employees Supported'!$A$2:$A$29,$B109,'Employees Supported'!$C$2:$C$29)</f>
        <v>700</v>
      </c>
      <c r="D109" s="313"/>
      <c r="E109" s="2">
        <v>12</v>
      </c>
      <c r="F109" t="s">
        <v>93</v>
      </c>
      <c r="G109" t="str">
        <f t="shared" si="5"/>
        <v>SeaITHand Soap</v>
      </c>
      <c r="H109" s="2" t="s">
        <v>83</v>
      </c>
      <c r="I109" s="2"/>
      <c r="K109" s="2"/>
      <c r="L109" s="127"/>
      <c r="M109" s="2"/>
      <c r="N109" s="127"/>
      <c r="O109" s="2" t="s">
        <v>2678</v>
      </c>
      <c r="P109" s="3" t="str">
        <f t="shared" si="6"/>
        <v>NR</v>
      </c>
      <c r="R109" s="127">
        <f t="shared" si="8"/>
        <v>0</v>
      </c>
      <c r="S109" s="118">
        <f t="shared" si="7"/>
        <v>0</v>
      </c>
    </row>
    <row r="110" spans="1:19" ht="16" hidden="1">
      <c r="A110">
        <v>126</v>
      </c>
      <c r="B110" s="42" t="s">
        <v>31</v>
      </c>
      <c r="C110" s="313">
        <f>SUMIF('Employees Supported'!$A$2:$A$29,$B110,'Employees Supported'!$C$2:$C$29)</f>
        <v>700</v>
      </c>
      <c r="D110" s="313"/>
      <c r="E110" s="2">
        <v>13</v>
      </c>
      <c r="F110" t="s">
        <v>75</v>
      </c>
      <c r="G110" t="str">
        <f t="shared" si="5"/>
        <v>SeaITTyvek Suits w/hoods</v>
      </c>
      <c r="H110" s="2" t="s">
        <v>67</v>
      </c>
      <c r="I110" s="2"/>
      <c r="K110" s="2"/>
      <c r="L110" s="127"/>
      <c r="M110" s="2"/>
      <c r="N110" s="127"/>
      <c r="O110" s="2" t="s">
        <v>2678</v>
      </c>
      <c r="P110" s="3" t="str">
        <f t="shared" si="6"/>
        <v>NR</v>
      </c>
      <c r="Q110" s="143" t="s">
        <v>2691</v>
      </c>
      <c r="R110" s="127">
        <f t="shared" si="8"/>
        <v>0</v>
      </c>
      <c r="S110" s="118">
        <f t="shared" si="7"/>
        <v>0</v>
      </c>
    </row>
    <row r="111" spans="1:19" ht="16" hidden="1">
      <c r="A111">
        <v>127</v>
      </c>
      <c r="B111" s="42" t="s">
        <v>31</v>
      </c>
      <c r="C111" s="313">
        <f>SUMIF('Employees Supported'!$A$2:$A$29,$B111,'Employees Supported'!$C$2:$C$29)</f>
        <v>700</v>
      </c>
      <c r="D111" s="313"/>
      <c r="E111" s="2">
        <v>14</v>
      </c>
      <c r="F111" t="s">
        <v>74</v>
      </c>
      <c r="G111" t="str">
        <f t="shared" si="5"/>
        <v>SeaITTyvek Suits</v>
      </c>
      <c r="H111" s="2" t="s">
        <v>67</v>
      </c>
      <c r="I111" s="2"/>
      <c r="K111" s="2"/>
      <c r="L111" s="127"/>
      <c r="M111" s="2"/>
      <c r="N111" s="127"/>
      <c r="O111" s="2" t="s">
        <v>2678</v>
      </c>
      <c r="P111" s="3" t="str">
        <f t="shared" si="6"/>
        <v>NR</v>
      </c>
      <c r="Q111" s="143" t="s">
        <v>2691</v>
      </c>
      <c r="R111" s="127">
        <f t="shared" si="8"/>
        <v>0</v>
      </c>
      <c r="S111" s="118">
        <f t="shared" si="7"/>
        <v>0</v>
      </c>
    </row>
    <row r="112" spans="1:19" hidden="1">
      <c r="A112">
        <v>128</v>
      </c>
      <c r="B112" s="42" t="s">
        <v>31</v>
      </c>
      <c r="C112" s="313">
        <f>SUMIF('Employees Supported'!$A$2:$A$29,$B112,'Employees Supported'!$C$2:$C$29)</f>
        <v>700</v>
      </c>
      <c r="D112" s="313"/>
      <c r="E112" s="2">
        <v>15</v>
      </c>
      <c r="F112" t="s">
        <v>94</v>
      </c>
      <c r="G112" t="str">
        <f t="shared" si="5"/>
        <v>SeaITFacial Tissue</v>
      </c>
      <c r="H112" s="2" t="s">
        <v>85</v>
      </c>
      <c r="I112" s="2"/>
      <c r="K112" s="2"/>
      <c r="L112" s="127"/>
      <c r="M112" s="2"/>
      <c r="N112" s="127"/>
      <c r="O112" s="2" t="s">
        <v>2678</v>
      </c>
      <c r="P112" s="3" t="str">
        <f t="shared" si="6"/>
        <v>NR</v>
      </c>
      <c r="R112" s="127">
        <f t="shared" si="8"/>
        <v>0</v>
      </c>
      <c r="S112" s="118">
        <f t="shared" si="7"/>
        <v>0</v>
      </c>
    </row>
    <row r="113" spans="1:19" ht="32" hidden="1">
      <c r="A113">
        <v>129</v>
      </c>
      <c r="B113" s="42" t="s">
        <v>31</v>
      </c>
      <c r="C113" s="313">
        <f>SUMIF('Employees Supported'!$A$2:$A$29,$B113,'Employees Supported'!$C$2:$C$29)</f>
        <v>700</v>
      </c>
      <c r="D113" s="313"/>
      <c r="E113" s="2">
        <v>16</v>
      </c>
      <c r="F113" t="s">
        <v>69</v>
      </c>
      <c r="G113" t="str">
        <f t="shared" si="5"/>
        <v>SeaITMasks (Cloth)</v>
      </c>
      <c r="H113" s="2" t="s">
        <v>67</v>
      </c>
      <c r="I113" s="2"/>
      <c r="K113" s="2"/>
      <c r="L113" s="127"/>
      <c r="M113" s="2"/>
      <c r="N113" s="127"/>
      <c r="O113" s="2" t="s">
        <v>2678</v>
      </c>
      <c r="P113" s="3" t="str">
        <f t="shared" si="6"/>
        <v>NR</v>
      </c>
      <c r="Q113" s="143" t="s">
        <v>2704</v>
      </c>
      <c r="R113" s="127">
        <f t="shared" si="8"/>
        <v>0</v>
      </c>
      <c r="S113" s="118">
        <f t="shared" si="7"/>
        <v>0</v>
      </c>
    </row>
    <row r="114" spans="1:19" ht="16" hidden="1">
      <c r="A114">
        <v>130</v>
      </c>
      <c r="B114" s="42" t="s">
        <v>31</v>
      </c>
      <c r="C114" s="313">
        <f>SUMIF('Employees Supported'!$A$2:$A$29,$B114,'Employees Supported'!$C$2:$C$29)</f>
        <v>700</v>
      </c>
      <c r="D114" s="313"/>
      <c r="E114" s="2">
        <v>17</v>
      </c>
      <c r="F114" t="s">
        <v>77</v>
      </c>
      <c r="G114" t="str">
        <f t="shared" si="5"/>
        <v>SeaITGoggles</v>
      </c>
      <c r="H114" s="2" t="s">
        <v>67</v>
      </c>
      <c r="I114" s="2"/>
      <c r="K114" s="2"/>
      <c r="L114" s="127"/>
      <c r="M114" s="2"/>
      <c r="N114" s="127"/>
      <c r="O114" s="2" t="s">
        <v>2678</v>
      </c>
      <c r="P114" s="3" t="str">
        <f t="shared" si="6"/>
        <v>NR</v>
      </c>
      <c r="Q114" s="143" t="s">
        <v>2680</v>
      </c>
      <c r="R114" s="127">
        <f t="shared" si="8"/>
        <v>0</v>
      </c>
      <c r="S114" s="118">
        <f t="shared" si="7"/>
        <v>0</v>
      </c>
    </row>
    <row r="115" spans="1:19" ht="16" hidden="1">
      <c r="A115">
        <v>131</v>
      </c>
      <c r="B115" s="42" t="s">
        <v>31</v>
      </c>
      <c r="C115" s="313">
        <f>SUMIF('Employees Supported'!$A$2:$A$29,$B115,'Employees Supported'!$C$2:$C$29)</f>
        <v>700</v>
      </c>
      <c r="D115" s="313"/>
      <c r="E115" s="2">
        <v>18</v>
      </c>
      <c r="F115" t="s">
        <v>76</v>
      </c>
      <c r="G115" t="str">
        <f t="shared" si="5"/>
        <v>SeaITFace Shields</v>
      </c>
      <c r="H115" s="2" t="s">
        <v>67</v>
      </c>
      <c r="I115" s="2"/>
      <c r="K115" s="2"/>
      <c r="L115" s="127"/>
      <c r="M115" s="2"/>
      <c r="N115" s="127"/>
      <c r="O115" s="2" t="s">
        <v>2678</v>
      </c>
      <c r="P115" s="3" t="str">
        <f t="shared" si="6"/>
        <v>NR</v>
      </c>
      <c r="Q115" s="143" t="s">
        <v>2680</v>
      </c>
      <c r="R115" s="127">
        <f t="shared" si="8"/>
        <v>0</v>
      </c>
      <c r="S115" s="118">
        <f t="shared" si="7"/>
        <v>0</v>
      </c>
    </row>
    <row r="116" spans="1:19" hidden="1">
      <c r="A116">
        <v>132</v>
      </c>
      <c r="B116" s="42" t="s">
        <v>31</v>
      </c>
      <c r="C116" s="313">
        <f>SUMIF('Employees Supported'!$A$2:$A$29,$B116,'Employees Supported'!$C$2:$C$29)</f>
        <v>700</v>
      </c>
      <c r="D116" s="313"/>
      <c r="E116" s="2">
        <v>19</v>
      </c>
      <c r="F116" t="s">
        <v>97</v>
      </c>
      <c r="G116" t="str">
        <f t="shared" si="5"/>
        <v>SeaITToilet Paper</v>
      </c>
      <c r="H116" s="2" t="s">
        <v>98</v>
      </c>
      <c r="I116" s="2"/>
      <c r="K116" s="2"/>
      <c r="L116" s="127"/>
      <c r="M116" s="2"/>
      <c r="N116" s="127"/>
      <c r="O116" s="2" t="s">
        <v>2678</v>
      </c>
      <c r="P116" s="3" t="str">
        <f t="shared" si="6"/>
        <v>NR</v>
      </c>
      <c r="R116" s="127">
        <f t="shared" si="8"/>
        <v>0</v>
      </c>
      <c r="S116" s="118">
        <f t="shared" si="7"/>
        <v>0</v>
      </c>
    </row>
    <row r="117" spans="1:19" hidden="1">
      <c r="A117">
        <v>136</v>
      </c>
      <c r="B117" s="42" t="s">
        <v>29</v>
      </c>
      <c r="C117" s="313">
        <f>SUMIF('Employees Supported'!$A$2:$A$29,$B117,'Employees Supported'!$C$2:$C$29)</f>
        <v>550</v>
      </c>
      <c r="D117" s="313"/>
      <c r="E117" s="2">
        <v>1</v>
      </c>
      <c r="F117" t="s">
        <v>66</v>
      </c>
      <c r="G117" t="str">
        <f t="shared" si="5"/>
        <v>SDCIMasks (N95)</v>
      </c>
      <c r="H117" s="2" t="s">
        <v>67</v>
      </c>
      <c r="I117" s="2">
        <v>1</v>
      </c>
      <c r="K117" s="2"/>
      <c r="L117" s="127"/>
      <c r="M117" s="2"/>
      <c r="N117" s="127"/>
      <c r="O117" s="2"/>
      <c r="P117" s="3">
        <f t="shared" si="6"/>
        <v>49500</v>
      </c>
      <c r="R117" s="127">
        <f t="shared" si="8"/>
        <v>550</v>
      </c>
      <c r="S117" s="118">
        <f t="shared" si="7"/>
        <v>3850</v>
      </c>
    </row>
    <row r="118" spans="1:19" hidden="1">
      <c r="A118">
        <v>137</v>
      </c>
      <c r="B118" s="42" t="s">
        <v>29</v>
      </c>
      <c r="C118" s="313">
        <f>SUMIF('Employees Supported'!$A$2:$A$29,$B118,'Employees Supported'!$C$2:$C$29)</f>
        <v>550</v>
      </c>
      <c r="D118" s="313"/>
      <c r="E118" s="2">
        <v>2</v>
      </c>
      <c r="F118" t="s">
        <v>68</v>
      </c>
      <c r="G118" t="str">
        <f t="shared" si="5"/>
        <v>SDCIMasks (Surgical)</v>
      </c>
      <c r="H118" s="2" t="s">
        <v>67</v>
      </c>
      <c r="I118" s="2">
        <v>3</v>
      </c>
      <c r="K118" s="2"/>
      <c r="L118" s="127"/>
      <c r="M118" s="2"/>
      <c r="N118" s="127"/>
      <c r="O118" s="2"/>
      <c r="P118" s="3">
        <f t="shared" si="6"/>
        <v>148500</v>
      </c>
      <c r="R118" s="127">
        <f t="shared" si="8"/>
        <v>1650</v>
      </c>
      <c r="S118" s="118">
        <f t="shared" si="7"/>
        <v>11550</v>
      </c>
    </row>
    <row r="119" spans="1:19" ht="16" hidden="1">
      <c r="A119">
        <v>138</v>
      </c>
      <c r="B119" s="42" t="s">
        <v>29</v>
      </c>
      <c r="C119" s="313">
        <f>SUMIF('Employees Supported'!$A$2:$A$29,$B119,'Employees Supported'!$C$2:$C$29)</f>
        <v>550</v>
      </c>
      <c r="D119" s="313"/>
      <c r="E119" s="2">
        <v>3</v>
      </c>
      <c r="F119" t="s">
        <v>70</v>
      </c>
      <c r="G119" t="str">
        <f t="shared" si="5"/>
        <v>SDCINitrile Gloves (Public Safety)</v>
      </c>
      <c r="H119" s="2" t="s">
        <v>71</v>
      </c>
      <c r="I119" s="2"/>
      <c r="K119" s="2"/>
      <c r="L119" s="127"/>
      <c r="M119" s="2"/>
      <c r="N119" s="127"/>
      <c r="O119" s="2" t="s">
        <v>2678</v>
      </c>
      <c r="P119" s="3" t="str">
        <f t="shared" si="6"/>
        <v>NR</v>
      </c>
      <c r="Q119" s="143" t="s">
        <v>2703</v>
      </c>
      <c r="R119" s="127">
        <f t="shared" si="8"/>
        <v>0</v>
      </c>
      <c r="S119" s="118">
        <f t="shared" si="7"/>
        <v>0</v>
      </c>
    </row>
    <row r="120" spans="1:19" hidden="1">
      <c r="A120">
        <v>139</v>
      </c>
      <c r="B120" s="42" t="s">
        <v>29</v>
      </c>
      <c r="C120" s="313">
        <f>SUMIF('Employees Supported'!$A$2:$A$29,$B120,'Employees Supported'!$C$2:$C$29)</f>
        <v>550</v>
      </c>
      <c r="D120" s="313"/>
      <c r="E120" s="2">
        <v>4</v>
      </c>
      <c r="F120" t="s">
        <v>72</v>
      </c>
      <c r="G120" t="str">
        <f t="shared" si="5"/>
        <v>SDCINitrile Gloves (General Use)</v>
      </c>
      <c r="H120" s="2" t="s">
        <v>71</v>
      </c>
      <c r="I120" s="2">
        <v>3</v>
      </c>
      <c r="K120" s="2"/>
      <c r="L120" s="127"/>
      <c r="M120" s="2"/>
      <c r="N120" s="127"/>
      <c r="O120" s="2"/>
      <c r="P120" s="3">
        <f t="shared" si="6"/>
        <v>148500</v>
      </c>
      <c r="R120" s="127">
        <f t="shared" si="8"/>
        <v>1650</v>
      </c>
      <c r="S120" s="118">
        <f t="shared" si="7"/>
        <v>11550</v>
      </c>
    </row>
    <row r="121" spans="1:19" hidden="1">
      <c r="A121">
        <v>140</v>
      </c>
      <c r="B121" s="42" t="s">
        <v>29</v>
      </c>
      <c r="C121" s="313">
        <f>SUMIF('Employees Supported'!$A$2:$A$29,$B121,'Employees Supported'!$C$2:$C$29)</f>
        <v>550</v>
      </c>
      <c r="D121" s="313"/>
      <c r="E121" s="2">
        <v>5</v>
      </c>
      <c r="F121" t="s">
        <v>2669</v>
      </c>
      <c r="G121" t="str">
        <f t="shared" si="5"/>
        <v>SDCISurgical gowns</v>
      </c>
      <c r="H121" s="2" t="s">
        <v>67</v>
      </c>
      <c r="I121" s="2"/>
      <c r="K121" s="2"/>
      <c r="L121" s="127"/>
      <c r="M121" s="2"/>
      <c r="N121" s="127"/>
      <c r="O121" s="2" t="s">
        <v>2678</v>
      </c>
      <c r="P121" s="3" t="str">
        <f t="shared" si="6"/>
        <v>NR</v>
      </c>
      <c r="R121" s="127">
        <f t="shared" si="8"/>
        <v>0</v>
      </c>
      <c r="S121" s="118">
        <f t="shared" si="7"/>
        <v>0</v>
      </c>
    </row>
    <row r="122" spans="1:19" hidden="1">
      <c r="A122">
        <v>141</v>
      </c>
      <c r="B122" s="42" t="s">
        <v>29</v>
      </c>
      <c r="C122" s="313">
        <f>SUMIF('Employees Supported'!$A$2:$A$29,$B122,'Employees Supported'!$C$2:$C$29)</f>
        <v>550</v>
      </c>
      <c r="D122" s="313"/>
      <c r="E122" s="2">
        <v>6</v>
      </c>
      <c r="F122" t="s">
        <v>78</v>
      </c>
      <c r="G122" t="str">
        <f t="shared" si="5"/>
        <v>SDCIDisinfectant Wipes</v>
      </c>
      <c r="H122" s="2" t="s">
        <v>79</v>
      </c>
      <c r="I122" s="2"/>
      <c r="K122" s="2"/>
      <c r="L122" s="127"/>
      <c r="M122" s="2">
        <v>3</v>
      </c>
      <c r="N122" s="127"/>
      <c r="O122" s="2"/>
      <c r="P122" s="3">
        <f t="shared" si="6"/>
        <v>1650</v>
      </c>
      <c r="R122" s="127">
        <f t="shared" si="8"/>
        <v>18.333333333333332</v>
      </c>
      <c r="S122" s="118">
        <f t="shared" si="7"/>
        <v>128.33333333333331</v>
      </c>
    </row>
    <row r="123" spans="1:19" ht="16" hidden="1">
      <c r="A123">
        <v>142</v>
      </c>
      <c r="B123" s="42" t="s">
        <v>29</v>
      </c>
      <c r="C123" s="313">
        <f>SUMIF('Employees Supported'!$A$2:$A$29,$B123,'Employees Supported'!$C$2:$C$29)</f>
        <v>550</v>
      </c>
      <c r="D123" s="313"/>
      <c r="E123" s="2">
        <v>7</v>
      </c>
      <c r="F123" t="s">
        <v>80</v>
      </c>
      <c r="G123" t="str">
        <f t="shared" si="5"/>
        <v>SDCIAntimicrobial (PAWS) Wipes</v>
      </c>
      <c r="H123" s="2" t="s">
        <v>81</v>
      </c>
      <c r="I123" s="2"/>
      <c r="K123" s="2"/>
      <c r="L123" s="127"/>
      <c r="M123" s="2"/>
      <c r="N123" s="127"/>
      <c r="O123" s="2" t="s">
        <v>2678</v>
      </c>
      <c r="P123" s="3" t="str">
        <f t="shared" si="6"/>
        <v>NR</v>
      </c>
      <c r="Q123" s="143" t="s">
        <v>2703</v>
      </c>
      <c r="R123" s="127">
        <f t="shared" si="8"/>
        <v>0</v>
      </c>
      <c r="S123" s="118">
        <f t="shared" si="7"/>
        <v>0</v>
      </c>
    </row>
    <row r="124" spans="1:19" hidden="1">
      <c r="A124">
        <v>143</v>
      </c>
      <c r="B124" s="42" t="s">
        <v>29</v>
      </c>
      <c r="C124" s="313">
        <f>SUMIF('Employees Supported'!$A$2:$A$29,$B124,'Employees Supported'!$C$2:$C$29)</f>
        <v>550</v>
      </c>
      <c r="D124" s="313"/>
      <c r="E124" s="2">
        <v>8</v>
      </c>
      <c r="F124" t="s">
        <v>82</v>
      </c>
      <c r="G124" t="str">
        <f t="shared" si="5"/>
        <v>SDCIHand Sanitizer (12oz or equiv)</v>
      </c>
      <c r="H124" s="2" t="s">
        <v>83</v>
      </c>
      <c r="I124" s="2"/>
      <c r="K124" s="2"/>
      <c r="L124" s="127"/>
      <c r="M124" s="2">
        <v>4</v>
      </c>
      <c r="N124" s="127"/>
      <c r="O124" s="2"/>
      <c r="P124" s="3">
        <f t="shared" si="6"/>
        <v>2200</v>
      </c>
      <c r="R124" s="127">
        <f t="shared" si="8"/>
        <v>24.444444444444443</v>
      </c>
      <c r="S124" s="118">
        <f t="shared" si="7"/>
        <v>171.11111111111109</v>
      </c>
    </row>
    <row r="125" spans="1:19" hidden="1">
      <c r="A125">
        <v>144</v>
      </c>
      <c r="B125" s="42" t="s">
        <v>29</v>
      </c>
      <c r="C125" s="313">
        <f>SUMIF('Employees Supported'!$A$2:$A$29,$B125,'Employees Supported'!$C$2:$C$29)</f>
        <v>550</v>
      </c>
      <c r="D125" s="313"/>
      <c r="E125" s="2">
        <v>9</v>
      </c>
      <c r="F125" t="s">
        <v>84</v>
      </c>
      <c r="G125" t="str">
        <f t="shared" si="5"/>
        <v>SDCIPurell (1200 ml stand refill)</v>
      </c>
      <c r="H125" s="2" t="s">
        <v>85</v>
      </c>
      <c r="I125" s="2"/>
      <c r="K125" s="2"/>
      <c r="L125" s="127"/>
      <c r="M125" s="2"/>
      <c r="N125" s="127"/>
      <c r="O125" s="2" t="s">
        <v>2678</v>
      </c>
      <c r="P125" s="3" t="str">
        <f t="shared" si="6"/>
        <v>NR</v>
      </c>
      <c r="R125" s="127">
        <f t="shared" si="8"/>
        <v>0</v>
      </c>
      <c r="S125" s="118">
        <f t="shared" si="7"/>
        <v>0</v>
      </c>
    </row>
    <row r="126" spans="1:19" ht="16" hidden="1">
      <c r="A126">
        <v>145</v>
      </c>
      <c r="B126" s="42" t="s">
        <v>29</v>
      </c>
      <c r="C126" s="313">
        <f>SUMIF('Employees Supported'!$A$2:$A$29,$B126,'Employees Supported'!$C$2:$C$29)</f>
        <v>550</v>
      </c>
      <c r="D126" s="313"/>
      <c r="E126" s="2">
        <v>10</v>
      </c>
      <c r="F126" t="s">
        <v>89</v>
      </c>
      <c r="G126" t="str">
        <f t="shared" si="5"/>
        <v>SDCIThermometers</v>
      </c>
      <c r="H126" s="2" t="s">
        <v>67</v>
      </c>
      <c r="I126" s="2"/>
      <c r="K126" s="2"/>
      <c r="L126" s="127"/>
      <c r="M126" s="2"/>
      <c r="N126" s="127"/>
      <c r="O126" s="2" t="s">
        <v>2678</v>
      </c>
      <c r="P126" s="3" t="str">
        <f t="shared" si="6"/>
        <v>NR</v>
      </c>
      <c r="Q126" s="143" t="s">
        <v>2691</v>
      </c>
      <c r="R126" s="127">
        <f t="shared" si="8"/>
        <v>0</v>
      </c>
      <c r="S126" s="118">
        <f t="shared" si="7"/>
        <v>0</v>
      </c>
    </row>
    <row r="127" spans="1:19" ht="16" hidden="1">
      <c r="A127">
        <v>146</v>
      </c>
      <c r="B127" s="42" t="s">
        <v>29</v>
      </c>
      <c r="C127" s="313">
        <f>SUMIF('Employees Supported'!$A$2:$A$29,$B127,'Employees Supported'!$C$2:$C$29)</f>
        <v>550</v>
      </c>
      <c r="D127" s="313"/>
      <c r="E127" s="2">
        <v>11</v>
      </c>
      <c r="F127" t="s">
        <v>86</v>
      </c>
      <c r="G127" t="str">
        <f t="shared" si="5"/>
        <v>SDCIIsopropyl Alcohol (16oz or equiv)</v>
      </c>
      <c r="H127" s="2" t="s">
        <v>83</v>
      </c>
      <c r="I127" s="2"/>
      <c r="K127" s="2"/>
      <c r="L127" s="127"/>
      <c r="M127" s="2"/>
      <c r="N127" s="127"/>
      <c r="O127" s="2" t="s">
        <v>2678</v>
      </c>
      <c r="P127" s="3" t="str">
        <f t="shared" si="6"/>
        <v>NR</v>
      </c>
      <c r="Q127" s="143" t="s">
        <v>2703</v>
      </c>
      <c r="R127" s="127">
        <f t="shared" si="8"/>
        <v>0</v>
      </c>
      <c r="S127" s="118">
        <f t="shared" si="7"/>
        <v>0</v>
      </c>
    </row>
    <row r="128" spans="1:19" hidden="1">
      <c r="A128">
        <v>147</v>
      </c>
      <c r="B128" s="42" t="s">
        <v>29</v>
      </c>
      <c r="C128" s="313">
        <f>SUMIF('Employees Supported'!$A$2:$A$29,$B128,'Employees Supported'!$C$2:$C$29)</f>
        <v>550</v>
      </c>
      <c r="D128" s="313"/>
      <c r="E128" s="2">
        <v>12</v>
      </c>
      <c r="F128" t="s">
        <v>93</v>
      </c>
      <c r="G128" t="str">
        <f t="shared" si="5"/>
        <v>SDCIHand Soap</v>
      </c>
      <c r="H128" s="2" t="s">
        <v>83</v>
      </c>
      <c r="I128" s="2"/>
      <c r="K128" s="2"/>
      <c r="L128" s="127"/>
      <c r="M128" s="2"/>
      <c r="N128" s="127"/>
      <c r="O128" s="2" t="s">
        <v>2678</v>
      </c>
      <c r="P128" s="3" t="str">
        <f t="shared" si="6"/>
        <v>NR</v>
      </c>
      <c r="R128" s="127">
        <f t="shared" si="8"/>
        <v>0</v>
      </c>
      <c r="S128" s="118">
        <f t="shared" si="7"/>
        <v>0</v>
      </c>
    </row>
    <row r="129" spans="1:19" ht="16" hidden="1">
      <c r="A129">
        <v>148</v>
      </c>
      <c r="B129" s="42" t="s">
        <v>29</v>
      </c>
      <c r="C129" s="313">
        <f>SUMIF('Employees Supported'!$A$2:$A$29,$B129,'Employees Supported'!$C$2:$C$29)</f>
        <v>550</v>
      </c>
      <c r="D129" s="313"/>
      <c r="E129" s="2">
        <v>13</v>
      </c>
      <c r="F129" t="s">
        <v>75</v>
      </c>
      <c r="G129" t="str">
        <f t="shared" si="5"/>
        <v>SDCITyvek Suits w/hoods</v>
      </c>
      <c r="H129" s="2" t="s">
        <v>67</v>
      </c>
      <c r="I129" s="2"/>
      <c r="K129" s="2"/>
      <c r="L129" s="127"/>
      <c r="M129" s="2"/>
      <c r="N129" s="127"/>
      <c r="O129" s="2" t="s">
        <v>2678</v>
      </c>
      <c r="P129" s="3" t="str">
        <f t="shared" si="6"/>
        <v>NR</v>
      </c>
      <c r="Q129" s="143" t="s">
        <v>2691</v>
      </c>
      <c r="R129" s="127">
        <f t="shared" si="8"/>
        <v>0</v>
      </c>
      <c r="S129" s="118">
        <f t="shared" si="7"/>
        <v>0</v>
      </c>
    </row>
    <row r="130" spans="1:19" ht="16" hidden="1">
      <c r="A130">
        <v>149</v>
      </c>
      <c r="B130" s="42" t="s">
        <v>29</v>
      </c>
      <c r="C130" s="313">
        <f>SUMIF('Employees Supported'!$A$2:$A$29,$B130,'Employees Supported'!$C$2:$C$29)</f>
        <v>550</v>
      </c>
      <c r="D130" s="313"/>
      <c r="E130" s="2">
        <v>14</v>
      </c>
      <c r="F130" t="s">
        <v>74</v>
      </c>
      <c r="G130" t="str">
        <f t="shared" si="5"/>
        <v>SDCITyvek Suits</v>
      </c>
      <c r="H130" s="2" t="s">
        <v>67</v>
      </c>
      <c r="I130" s="2"/>
      <c r="K130" s="2"/>
      <c r="L130" s="127"/>
      <c r="M130" s="2"/>
      <c r="N130" s="127"/>
      <c r="O130" s="2" t="s">
        <v>2678</v>
      </c>
      <c r="P130" s="3" t="str">
        <f t="shared" si="6"/>
        <v>NR</v>
      </c>
      <c r="Q130" s="143" t="s">
        <v>2691</v>
      </c>
      <c r="R130" s="127">
        <f t="shared" si="8"/>
        <v>0</v>
      </c>
      <c r="S130" s="118">
        <f t="shared" si="7"/>
        <v>0</v>
      </c>
    </row>
    <row r="131" spans="1:19" hidden="1">
      <c r="A131">
        <v>150</v>
      </c>
      <c r="B131" s="42" t="s">
        <v>29</v>
      </c>
      <c r="C131" s="313">
        <f>SUMIF('Employees Supported'!$A$2:$A$29,$B131,'Employees Supported'!$C$2:$C$29)</f>
        <v>550</v>
      </c>
      <c r="D131" s="313"/>
      <c r="E131" s="2">
        <v>15</v>
      </c>
      <c r="F131" t="s">
        <v>94</v>
      </c>
      <c r="G131" t="str">
        <f t="shared" si="5"/>
        <v>SDCIFacial Tissue</v>
      </c>
      <c r="H131" s="2" t="s">
        <v>85</v>
      </c>
      <c r="I131" s="2"/>
      <c r="K131" s="2"/>
      <c r="L131" s="127"/>
      <c r="M131" s="2"/>
      <c r="N131" s="127"/>
      <c r="O131" s="2" t="s">
        <v>2678</v>
      </c>
      <c r="P131" s="3" t="str">
        <f t="shared" si="6"/>
        <v>NR</v>
      </c>
      <c r="R131" s="127">
        <f t="shared" si="8"/>
        <v>0</v>
      </c>
      <c r="S131" s="118">
        <f t="shared" si="7"/>
        <v>0</v>
      </c>
    </row>
    <row r="132" spans="1:19" ht="32" hidden="1">
      <c r="A132">
        <v>151</v>
      </c>
      <c r="B132" s="42" t="s">
        <v>29</v>
      </c>
      <c r="C132" s="313">
        <f>SUMIF('Employees Supported'!$A$2:$A$29,$B132,'Employees Supported'!$C$2:$C$29)</f>
        <v>550</v>
      </c>
      <c r="D132" s="313"/>
      <c r="E132" s="2">
        <v>16</v>
      </c>
      <c r="F132" t="s">
        <v>69</v>
      </c>
      <c r="G132" t="str">
        <f t="shared" ref="G132:G195" si="9">_xlfn.SINGLE(_xlfn.CONCAT(B132,F132))</f>
        <v>SDCIMasks (Cloth)</v>
      </c>
      <c r="H132" s="2" t="s">
        <v>67</v>
      </c>
      <c r="I132" s="2"/>
      <c r="K132" s="2"/>
      <c r="L132" s="127"/>
      <c r="M132" s="2"/>
      <c r="N132" s="127"/>
      <c r="O132" s="2" t="s">
        <v>2678</v>
      </c>
      <c r="P132" s="3" t="str">
        <f t="shared" ref="P132:P195" si="10">IF(O132="NR","NR",((((C132+D132)*I132)*90)+(J132*90)+(((C132+D132)*K132)*3)+(L132*3)+((C132+D132)*M132)+N132))</f>
        <v>NR</v>
      </c>
      <c r="Q132" s="143" t="s">
        <v>2704</v>
      </c>
      <c r="R132" s="127">
        <f t="shared" si="8"/>
        <v>0</v>
      </c>
      <c r="S132" s="118">
        <f t="shared" ref="S132:S195" si="11">R132*7</f>
        <v>0</v>
      </c>
    </row>
    <row r="133" spans="1:19" ht="16" hidden="1">
      <c r="A133">
        <v>152</v>
      </c>
      <c r="B133" s="42" t="s">
        <v>29</v>
      </c>
      <c r="C133" s="313">
        <f>SUMIF('Employees Supported'!$A$2:$A$29,$B133,'Employees Supported'!$C$2:$C$29)</f>
        <v>550</v>
      </c>
      <c r="D133" s="313"/>
      <c r="E133" s="2">
        <v>17</v>
      </c>
      <c r="F133" t="s">
        <v>77</v>
      </c>
      <c r="G133" t="str">
        <f t="shared" si="9"/>
        <v>SDCIGoggles</v>
      </c>
      <c r="H133" s="2" t="s">
        <v>67</v>
      </c>
      <c r="I133" s="2"/>
      <c r="K133" s="2"/>
      <c r="L133" s="127"/>
      <c r="M133" s="2"/>
      <c r="N133" s="127"/>
      <c r="O133" s="2" t="s">
        <v>2678</v>
      </c>
      <c r="P133" s="3" t="str">
        <f t="shared" si="10"/>
        <v>NR</v>
      </c>
      <c r="Q133" s="143" t="s">
        <v>2680</v>
      </c>
      <c r="R133" s="127">
        <f t="shared" si="8"/>
        <v>0</v>
      </c>
      <c r="S133" s="118">
        <f t="shared" si="11"/>
        <v>0</v>
      </c>
    </row>
    <row r="134" spans="1:19" ht="16" hidden="1">
      <c r="A134">
        <v>153</v>
      </c>
      <c r="B134" s="42" t="s">
        <v>29</v>
      </c>
      <c r="C134" s="313">
        <f>SUMIF('Employees Supported'!$A$2:$A$29,$B134,'Employees Supported'!$C$2:$C$29)</f>
        <v>550</v>
      </c>
      <c r="D134" s="313"/>
      <c r="E134" s="2">
        <v>18</v>
      </c>
      <c r="F134" t="s">
        <v>76</v>
      </c>
      <c r="G134" t="str">
        <f t="shared" si="9"/>
        <v>SDCIFace Shields</v>
      </c>
      <c r="H134" s="2" t="s">
        <v>67</v>
      </c>
      <c r="I134" s="2"/>
      <c r="K134" s="2"/>
      <c r="L134" s="127"/>
      <c r="M134" s="2"/>
      <c r="N134" s="127"/>
      <c r="O134" s="2" t="s">
        <v>2678</v>
      </c>
      <c r="P134" s="3" t="str">
        <f t="shared" si="10"/>
        <v>NR</v>
      </c>
      <c r="Q134" s="143" t="s">
        <v>2680</v>
      </c>
      <c r="R134" s="127">
        <f t="shared" si="8"/>
        <v>0</v>
      </c>
      <c r="S134" s="118">
        <f t="shared" si="11"/>
        <v>0</v>
      </c>
    </row>
    <row r="135" spans="1:19" hidden="1">
      <c r="A135">
        <v>154</v>
      </c>
      <c r="B135" s="42" t="s">
        <v>29</v>
      </c>
      <c r="C135" s="313">
        <f>SUMIF('Employees Supported'!$A$2:$A$29,$B135,'Employees Supported'!$C$2:$C$29)</f>
        <v>550</v>
      </c>
      <c r="D135" s="313"/>
      <c r="E135" s="2">
        <v>19</v>
      </c>
      <c r="F135" t="s">
        <v>97</v>
      </c>
      <c r="G135" t="str">
        <f t="shared" si="9"/>
        <v>SDCIToilet Paper</v>
      </c>
      <c r="H135" s="2" t="s">
        <v>98</v>
      </c>
      <c r="I135" s="2"/>
      <c r="K135" s="2"/>
      <c r="L135" s="127"/>
      <c r="M135" s="2"/>
      <c r="N135" s="127"/>
      <c r="O135" s="2" t="s">
        <v>2678</v>
      </c>
      <c r="P135" s="3" t="str">
        <f t="shared" si="10"/>
        <v>NR</v>
      </c>
      <c r="R135" s="127">
        <f t="shared" si="8"/>
        <v>0</v>
      </c>
      <c r="S135" s="118">
        <f t="shared" si="11"/>
        <v>0</v>
      </c>
    </row>
    <row r="136" spans="1:19" hidden="1">
      <c r="A136">
        <v>158</v>
      </c>
      <c r="B136" s="42" t="s">
        <v>27</v>
      </c>
      <c r="C136" s="313">
        <f>SUMIF('Employees Supported'!$A$2:$A$29,$B136,'Employees Supported'!$C$2:$C$29)</f>
        <v>400</v>
      </c>
      <c r="D136" s="313"/>
      <c r="E136" s="2">
        <v>1</v>
      </c>
      <c r="F136" t="s">
        <v>66</v>
      </c>
      <c r="G136" t="str">
        <f t="shared" si="9"/>
        <v>SPUMasks (N95)</v>
      </c>
      <c r="H136" s="2" t="s">
        <v>67</v>
      </c>
      <c r="I136" s="2">
        <v>1</v>
      </c>
      <c r="K136" s="2"/>
      <c r="L136" s="127"/>
      <c r="M136" s="2"/>
      <c r="N136" s="127"/>
      <c r="O136" s="2"/>
      <c r="P136" s="3">
        <f t="shared" si="10"/>
        <v>36000</v>
      </c>
      <c r="R136" s="127">
        <f t="shared" si="8"/>
        <v>400</v>
      </c>
      <c r="S136" s="118">
        <f t="shared" si="11"/>
        <v>2800</v>
      </c>
    </row>
    <row r="137" spans="1:19" hidden="1">
      <c r="A137">
        <v>159</v>
      </c>
      <c r="B137" s="42" t="s">
        <v>27</v>
      </c>
      <c r="C137" s="313">
        <f>SUMIF('Employees Supported'!$A$2:$A$29,$B137,'Employees Supported'!$C$2:$C$29)</f>
        <v>400</v>
      </c>
      <c r="D137" s="313"/>
      <c r="E137" s="2">
        <v>2</v>
      </c>
      <c r="F137" t="s">
        <v>68</v>
      </c>
      <c r="G137" t="str">
        <f t="shared" si="9"/>
        <v>SPUMasks (Surgical)</v>
      </c>
      <c r="H137" s="2" t="s">
        <v>67</v>
      </c>
      <c r="I137" s="2"/>
      <c r="K137" s="2"/>
      <c r="L137" s="127"/>
      <c r="M137" s="2"/>
      <c r="N137" s="127"/>
      <c r="O137" s="2" t="s">
        <v>2678</v>
      </c>
      <c r="P137" s="3" t="str">
        <f t="shared" si="10"/>
        <v>NR</v>
      </c>
      <c r="R137" s="127">
        <f t="shared" si="8"/>
        <v>0</v>
      </c>
      <c r="S137" s="118">
        <f t="shared" si="11"/>
        <v>0</v>
      </c>
    </row>
    <row r="138" spans="1:19" ht="16" hidden="1">
      <c r="A138">
        <v>160</v>
      </c>
      <c r="B138" s="42" t="s">
        <v>27</v>
      </c>
      <c r="C138" s="313">
        <f>SUMIF('Employees Supported'!$A$2:$A$29,$B138,'Employees Supported'!$C$2:$C$29)</f>
        <v>400</v>
      </c>
      <c r="D138" s="313"/>
      <c r="E138" s="2">
        <v>3</v>
      </c>
      <c r="F138" t="s">
        <v>70</v>
      </c>
      <c r="G138" t="str">
        <f t="shared" si="9"/>
        <v>SPUNitrile Gloves (Public Safety)</v>
      </c>
      <c r="H138" s="2" t="s">
        <v>71</v>
      </c>
      <c r="I138" s="2"/>
      <c r="K138" s="2"/>
      <c r="L138" s="127"/>
      <c r="M138" s="2"/>
      <c r="N138" s="127"/>
      <c r="O138" s="2" t="s">
        <v>2678</v>
      </c>
      <c r="P138" s="3" t="str">
        <f t="shared" si="10"/>
        <v>NR</v>
      </c>
      <c r="Q138" s="143" t="s">
        <v>2703</v>
      </c>
      <c r="R138" s="127">
        <f t="shared" si="8"/>
        <v>0</v>
      </c>
      <c r="S138" s="118">
        <f t="shared" si="11"/>
        <v>0</v>
      </c>
    </row>
    <row r="139" spans="1:19" hidden="1">
      <c r="A139">
        <v>161</v>
      </c>
      <c r="B139" s="42" t="s">
        <v>27</v>
      </c>
      <c r="C139" s="313">
        <f>SUMIF('Employees Supported'!$A$2:$A$29,$B139,'Employees Supported'!$C$2:$C$29)</f>
        <v>400</v>
      </c>
      <c r="D139" s="313"/>
      <c r="E139" s="2">
        <v>4</v>
      </c>
      <c r="F139" t="s">
        <v>72</v>
      </c>
      <c r="G139" t="str">
        <f t="shared" si="9"/>
        <v>SPUNitrile Gloves (General Use)</v>
      </c>
      <c r="H139" s="2" t="s">
        <v>71</v>
      </c>
      <c r="I139" s="2">
        <v>3</v>
      </c>
      <c r="K139" s="2"/>
      <c r="L139" s="127"/>
      <c r="M139" s="2"/>
      <c r="N139" s="127"/>
      <c r="O139" s="2"/>
      <c r="P139" s="3">
        <f t="shared" si="10"/>
        <v>108000</v>
      </c>
      <c r="R139" s="127">
        <f t="shared" si="8"/>
        <v>1200</v>
      </c>
      <c r="S139" s="118">
        <f t="shared" si="11"/>
        <v>8400</v>
      </c>
    </row>
    <row r="140" spans="1:19" hidden="1">
      <c r="A140">
        <v>162</v>
      </c>
      <c r="B140" s="42" t="s">
        <v>27</v>
      </c>
      <c r="C140" s="313">
        <f>SUMIF('Employees Supported'!$A$2:$A$29,$B140,'Employees Supported'!$C$2:$C$29)</f>
        <v>400</v>
      </c>
      <c r="D140" s="313"/>
      <c r="E140" s="2">
        <v>5</v>
      </c>
      <c r="F140" t="s">
        <v>2669</v>
      </c>
      <c r="G140" t="str">
        <f t="shared" si="9"/>
        <v>SPUSurgical gowns</v>
      </c>
      <c r="H140" s="2" t="s">
        <v>67</v>
      </c>
      <c r="I140" s="2"/>
      <c r="K140" s="2"/>
      <c r="L140" s="127"/>
      <c r="M140" s="2"/>
      <c r="N140" s="127"/>
      <c r="O140" s="2" t="s">
        <v>2678</v>
      </c>
      <c r="P140" s="3" t="str">
        <f t="shared" si="10"/>
        <v>NR</v>
      </c>
      <c r="R140" s="127">
        <f t="shared" si="8"/>
        <v>0</v>
      </c>
      <c r="S140" s="118">
        <f t="shared" si="11"/>
        <v>0</v>
      </c>
    </row>
    <row r="141" spans="1:19" hidden="1">
      <c r="A141">
        <v>163</v>
      </c>
      <c r="B141" s="42" t="s">
        <v>27</v>
      </c>
      <c r="C141" s="313">
        <f>SUMIF('Employees Supported'!$A$2:$A$29,$B141,'Employees Supported'!$C$2:$C$29)</f>
        <v>400</v>
      </c>
      <c r="D141" s="313"/>
      <c r="E141" s="2">
        <v>6</v>
      </c>
      <c r="F141" t="s">
        <v>78</v>
      </c>
      <c r="G141" t="str">
        <f t="shared" si="9"/>
        <v>SPUDisinfectant Wipes</v>
      </c>
      <c r="H141" s="2" t="s">
        <v>79</v>
      </c>
      <c r="I141" s="2"/>
      <c r="K141" s="2"/>
      <c r="L141" s="127"/>
      <c r="M141" s="2">
        <v>3</v>
      </c>
      <c r="N141" s="127"/>
      <c r="O141" s="2"/>
      <c r="P141" s="3">
        <f t="shared" si="10"/>
        <v>1200</v>
      </c>
      <c r="R141" s="127">
        <f t="shared" si="8"/>
        <v>13.333333333333334</v>
      </c>
      <c r="S141" s="118">
        <f t="shared" si="11"/>
        <v>93.333333333333343</v>
      </c>
    </row>
    <row r="142" spans="1:19" ht="16" hidden="1">
      <c r="A142">
        <v>164</v>
      </c>
      <c r="B142" s="42" t="s">
        <v>27</v>
      </c>
      <c r="C142" s="313">
        <f>SUMIF('Employees Supported'!$A$2:$A$29,$B142,'Employees Supported'!$C$2:$C$29)</f>
        <v>400</v>
      </c>
      <c r="D142" s="313"/>
      <c r="E142" s="2">
        <v>7</v>
      </c>
      <c r="F142" t="s">
        <v>80</v>
      </c>
      <c r="G142" t="str">
        <f t="shared" si="9"/>
        <v>SPUAntimicrobial (PAWS) Wipes</v>
      </c>
      <c r="H142" s="2" t="s">
        <v>81</v>
      </c>
      <c r="I142" s="2"/>
      <c r="K142" s="2"/>
      <c r="L142" s="127"/>
      <c r="M142" s="2"/>
      <c r="N142" s="127"/>
      <c r="O142" s="2" t="s">
        <v>2678</v>
      </c>
      <c r="P142" s="3" t="str">
        <f t="shared" si="10"/>
        <v>NR</v>
      </c>
      <c r="Q142" s="143" t="s">
        <v>2703</v>
      </c>
      <c r="R142" s="127">
        <f t="shared" si="8"/>
        <v>0</v>
      </c>
      <c r="S142" s="118">
        <f t="shared" si="11"/>
        <v>0</v>
      </c>
    </row>
    <row r="143" spans="1:19" hidden="1">
      <c r="A143">
        <v>165</v>
      </c>
      <c r="B143" s="42" t="s">
        <v>27</v>
      </c>
      <c r="C143" s="313">
        <f>SUMIF('Employees Supported'!$A$2:$A$29,$B143,'Employees Supported'!$C$2:$C$29)</f>
        <v>400</v>
      </c>
      <c r="D143" s="313"/>
      <c r="E143" s="2">
        <v>8</v>
      </c>
      <c r="F143" t="s">
        <v>82</v>
      </c>
      <c r="G143" t="str">
        <f t="shared" si="9"/>
        <v>SPUHand Sanitizer (12oz or equiv)</v>
      </c>
      <c r="H143" s="2" t="s">
        <v>83</v>
      </c>
      <c r="I143" s="2"/>
      <c r="K143" s="2"/>
      <c r="L143" s="127"/>
      <c r="M143" s="2">
        <v>4</v>
      </c>
      <c r="N143" s="127"/>
      <c r="O143" s="2"/>
      <c r="P143" s="3">
        <f t="shared" si="10"/>
        <v>1600</v>
      </c>
      <c r="R143" s="127">
        <f t="shared" si="8"/>
        <v>17.777777777777779</v>
      </c>
      <c r="S143" s="118">
        <f t="shared" si="11"/>
        <v>124.44444444444446</v>
      </c>
    </row>
    <row r="144" spans="1:19" hidden="1">
      <c r="A144">
        <v>166</v>
      </c>
      <c r="B144" s="42" t="s">
        <v>27</v>
      </c>
      <c r="C144" s="313">
        <f>SUMIF('Employees Supported'!$A$2:$A$29,$B144,'Employees Supported'!$C$2:$C$29)</f>
        <v>400</v>
      </c>
      <c r="D144" s="313"/>
      <c r="E144" s="2">
        <v>9</v>
      </c>
      <c r="F144" t="s">
        <v>84</v>
      </c>
      <c r="G144" t="str">
        <f t="shared" si="9"/>
        <v>SPUPurell (1200 ml stand refill)</v>
      </c>
      <c r="H144" s="2" t="s">
        <v>85</v>
      </c>
      <c r="I144" s="2"/>
      <c r="K144" s="2"/>
      <c r="L144" s="127"/>
      <c r="M144" s="2"/>
      <c r="N144" s="127"/>
      <c r="O144" s="2" t="s">
        <v>2678</v>
      </c>
      <c r="P144" s="3" t="str">
        <f t="shared" si="10"/>
        <v>NR</v>
      </c>
      <c r="R144" s="127">
        <f t="shared" si="8"/>
        <v>0</v>
      </c>
      <c r="S144" s="118">
        <f t="shared" si="11"/>
        <v>0</v>
      </c>
    </row>
    <row r="145" spans="1:19" ht="16" hidden="1">
      <c r="A145">
        <v>167</v>
      </c>
      <c r="B145" s="42" t="s">
        <v>27</v>
      </c>
      <c r="C145" s="313">
        <f>SUMIF('Employees Supported'!$A$2:$A$29,$B145,'Employees Supported'!$C$2:$C$29)</f>
        <v>400</v>
      </c>
      <c r="D145" s="313"/>
      <c r="E145" s="2">
        <v>10</v>
      </c>
      <c r="F145" t="s">
        <v>89</v>
      </c>
      <c r="G145" t="str">
        <f t="shared" si="9"/>
        <v>SPUThermometers</v>
      </c>
      <c r="H145" s="2" t="s">
        <v>67</v>
      </c>
      <c r="I145" s="2"/>
      <c r="K145" s="2"/>
      <c r="L145" s="127"/>
      <c r="M145" s="2"/>
      <c r="N145" s="127"/>
      <c r="O145" s="2" t="s">
        <v>2678</v>
      </c>
      <c r="P145" s="3" t="str">
        <f t="shared" si="10"/>
        <v>NR</v>
      </c>
      <c r="Q145" s="143" t="s">
        <v>2691</v>
      </c>
      <c r="R145" s="127">
        <f t="shared" si="8"/>
        <v>0</v>
      </c>
      <c r="S145" s="118">
        <f t="shared" si="11"/>
        <v>0</v>
      </c>
    </row>
    <row r="146" spans="1:19" ht="16" hidden="1">
      <c r="A146">
        <v>168</v>
      </c>
      <c r="B146" s="42" t="s">
        <v>27</v>
      </c>
      <c r="C146" s="313">
        <f>SUMIF('Employees Supported'!$A$2:$A$29,$B146,'Employees Supported'!$C$2:$C$29)</f>
        <v>400</v>
      </c>
      <c r="D146" s="313"/>
      <c r="E146" s="2">
        <v>11</v>
      </c>
      <c r="F146" t="s">
        <v>86</v>
      </c>
      <c r="G146" t="str">
        <f t="shared" si="9"/>
        <v>SPUIsopropyl Alcohol (16oz or equiv)</v>
      </c>
      <c r="H146" s="2" t="s">
        <v>83</v>
      </c>
      <c r="I146" s="2"/>
      <c r="K146" s="2"/>
      <c r="L146" s="127"/>
      <c r="M146" s="2"/>
      <c r="N146" s="127"/>
      <c r="O146" s="2" t="s">
        <v>2678</v>
      </c>
      <c r="P146" s="3" t="str">
        <f t="shared" si="10"/>
        <v>NR</v>
      </c>
      <c r="Q146" s="143" t="s">
        <v>2703</v>
      </c>
      <c r="R146" s="127">
        <f t="shared" si="8"/>
        <v>0</v>
      </c>
      <c r="S146" s="118">
        <f t="shared" si="11"/>
        <v>0</v>
      </c>
    </row>
    <row r="147" spans="1:19" hidden="1">
      <c r="A147">
        <v>169</v>
      </c>
      <c r="B147" s="42" t="s">
        <v>27</v>
      </c>
      <c r="C147" s="313">
        <f>SUMIF('Employees Supported'!$A$2:$A$29,$B147,'Employees Supported'!$C$2:$C$29)</f>
        <v>400</v>
      </c>
      <c r="D147" s="313"/>
      <c r="E147" s="2">
        <v>12</v>
      </c>
      <c r="F147" t="s">
        <v>93</v>
      </c>
      <c r="G147" t="str">
        <f t="shared" si="9"/>
        <v>SPUHand Soap</v>
      </c>
      <c r="H147" s="2" t="s">
        <v>83</v>
      </c>
      <c r="I147" s="2"/>
      <c r="K147" s="2"/>
      <c r="L147" s="127"/>
      <c r="M147" s="2">
        <v>4</v>
      </c>
      <c r="N147" s="127"/>
      <c r="O147" s="2"/>
      <c r="P147" s="3">
        <f t="shared" si="10"/>
        <v>1600</v>
      </c>
      <c r="R147" s="127">
        <f t="shared" si="8"/>
        <v>17.777777777777779</v>
      </c>
      <c r="S147" s="118">
        <f t="shared" si="11"/>
        <v>124.44444444444446</v>
      </c>
    </row>
    <row r="148" spans="1:19" ht="16" hidden="1">
      <c r="A148">
        <v>170</v>
      </c>
      <c r="B148" s="42" t="s">
        <v>27</v>
      </c>
      <c r="C148" s="313">
        <f>SUMIF('Employees Supported'!$A$2:$A$29,$B148,'Employees Supported'!$C$2:$C$29)</f>
        <v>400</v>
      </c>
      <c r="D148" s="313"/>
      <c r="E148" s="2">
        <v>13</v>
      </c>
      <c r="F148" t="s">
        <v>75</v>
      </c>
      <c r="G148" t="str">
        <f t="shared" si="9"/>
        <v>SPUTyvek Suits w/hoods</v>
      </c>
      <c r="H148" s="2" t="s">
        <v>67</v>
      </c>
      <c r="I148" s="2"/>
      <c r="K148" s="2"/>
      <c r="L148" s="127"/>
      <c r="M148" s="2"/>
      <c r="N148" s="127"/>
      <c r="O148" s="2" t="s">
        <v>2678</v>
      </c>
      <c r="P148" s="3" t="str">
        <f t="shared" si="10"/>
        <v>NR</v>
      </c>
      <c r="Q148" s="143" t="s">
        <v>2691</v>
      </c>
      <c r="R148" s="127">
        <f t="shared" ref="R148:R211" si="12">SUM(P148)/90</f>
        <v>0</v>
      </c>
      <c r="S148" s="118">
        <f t="shared" si="11"/>
        <v>0</v>
      </c>
    </row>
    <row r="149" spans="1:19" ht="16" hidden="1">
      <c r="A149">
        <v>171</v>
      </c>
      <c r="B149" s="42" t="s">
        <v>27</v>
      </c>
      <c r="C149" s="313">
        <f>SUMIF('Employees Supported'!$A$2:$A$29,$B149,'Employees Supported'!$C$2:$C$29)</f>
        <v>400</v>
      </c>
      <c r="D149" s="313"/>
      <c r="E149" s="2">
        <v>14</v>
      </c>
      <c r="F149" t="s">
        <v>74</v>
      </c>
      <c r="G149" t="str">
        <f t="shared" si="9"/>
        <v>SPUTyvek Suits</v>
      </c>
      <c r="H149" s="2" t="s">
        <v>67</v>
      </c>
      <c r="I149" s="2"/>
      <c r="K149" s="2"/>
      <c r="L149" s="127"/>
      <c r="M149" s="2"/>
      <c r="N149" s="127"/>
      <c r="O149" s="2" t="s">
        <v>2678</v>
      </c>
      <c r="P149" s="3" t="str">
        <f t="shared" si="10"/>
        <v>NR</v>
      </c>
      <c r="Q149" s="143" t="s">
        <v>2691</v>
      </c>
      <c r="R149" s="127">
        <f t="shared" si="12"/>
        <v>0</v>
      </c>
      <c r="S149" s="118">
        <f t="shared" si="11"/>
        <v>0</v>
      </c>
    </row>
    <row r="150" spans="1:19" hidden="1">
      <c r="A150">
        <v>172</v>
      </c>
      <c r="B150" s="42" t="s">
        <v>27</v>
      </c>
      <c r="C150" s="313">
        <f>SUMIF('Employees Supported'!$A$2:$A$29,$B150,'Employees Supported'!$C$2:$C$29)</f>
        <v>400</v>
      </c>
      <c r="D150" s="313"/>
      <c r="E150" s="2">
        <v>15</v>
      </c>
      <c r="F150" t="s">
        <v>94</v>
      </c>
      <c r="G150" t="str">
        <f t="shared" si="9"/>
        <v>SPUFacial Tissue</v>
      </c>
      <c r="H150" s="2" t="s">
        <v>85</v>
      </c>
      <c r="I150" s="2"/>
      <c r="K150" s="2"/>
      <c r="L150" s="127"/>
      <c r="M150" s="2">
        <v>3</v>
      </c>
      <c r="N150" s="127"/>
      <c r="O150" s="2"/>
      <c r="P150" s="3">
        <f t="shared" si="10"/>
        <v>1200</v>
      </c>
      <c r="R150" s="127">
        <f t="shared" si="12"/>
        <v>13.333333333333334</v>
      </c>
      <c r="S150" s="118">
        <f t="shared" si="11"/>
        <v>93.333333333333343</v>
      </c>
    </row>
    <row r="151" spans="1:19" ht="32" hidden="1">
      <c r="A151">
        <v>173</v>
      </c>
      <c r="B151" s="42" t="s">
        <v>27</v>
      </c>
      <c r="C151" s="313">
        <f>SUMIF('Employees Supported'!$A$2:$A$29,$B151,'Employees Supported'!$C$2:$C$29)</f>
        <v>400</v>
      </c>
      <c r="D151" s="313"/>
      <c r="E151" s="2">
        <v>16</v>
      </c>
      <c r="F151" t="s">
        <v>69</v>
      </c>
      <c r="G151" t="str">
        <f t="shared" si="9"/>
        <v>SPUMasks (Cloth)</v>
      </c>
      <c r="H151" s="2" t="s">
        <v>67</v>
      </c>
      <c r="I151" s="2"/>
      <c r="K151" s="2"/>
      <c r="L151" s="127"/>
      <c r="M151" s="2"/>
      <c r="N151" s="127"/>
      <c r="O151" s="2" t="s">
        <v>2678</v>
      </c>
      <c r="P151" s="3" t="str">
        <f t="shared" si="10"/>
        <v>NR</v>
      </c>
      <c r="Q151" s="143" t="s">
        <v>2704</v>
      </c>
      <c r="R151" s="127">
        <f t="shared" si="12"/>
        <v>0</v>
      </c>
      <c r="S151" s="118">
        <f t="shared" si="11"/>
        <v>0</v>
      </c>
    </row>
    <row r="152" spans="1:19" ht="16" hidden="1">
      <c r="A152">
        <v>174</v>
      </c>
      <c r="B152" s="42" t="s">
        <v>27</v>
      </c>
      <c r="C152" s="313">
        <f>SUMIF('Employees Supported'!$A$2:$A$29,$B152,'Employees Supported'!$C$2:$C$29)</f>
        <v>400</v>
      </c>
      <c r="D152" s="313"/>
      <c r="E152" s="2">
        <v>17</v>
      </c>
      <c r="F152" t="s">
        <v>77</v>
      </c>
      <c r="G152" t="str">
        <f t="shared" si="9"/>
        <v>SPUGoggles</v>
      </c>
      <c r="H152" s="2" t="s">
        <v>67</v>
      </c>
      <c r="I152" s="2"/>
      <c r="K152" s="2"/>
      <c r="L152" s="127"/>
      <c r="M152" s="2"/>
      <c r="N152" s="127"/>
      <c r="O152" s="2" t="s">
        <v>2678</v>
      </c>
      <c r="P152" s="3" t="str">
        <f t="shared" si="10"/>
        <v>NR</v>
      </c>
      <c r="Q152" s="143" t="s">
        <v>2680</v>
      </c>
      <c r="R152" s="127">
        <f t="shared" si="12"/>
        <v>0</v>
      </c>
      <c r="S152" s="118">
        <f t="shared" si="11"/>
        <v>0</v>
      </c>
    </row>
    <row r="153" spans="1:19" ht="16" hidden="1">
      <c r="A153">
        <v>175</v>
      </c>
      <c r="B153" s="42" t="s">
        <v>27</v>
      </c>
      <c r="C153" s="313">
        <f>SUMIF('Employees Supported'!$A$2:$A$29,$B153,'Employees Supported'!$C$2:$C$29)</f>
        <v>400</v>
      </c>
      <c r="D153" s="313"/>
      <c r="E153" s="2">
        <v>18</v>
      </c>
      <c r="F153" t="s">
        <v>76</v>
      </c>
      <c r="G153" t="str">
        <f t="shared" si="9"/>
        <v>SPUFace Shields</v>
      </c>
      <c r="H153" s="2" t="s">
        <v>67</v>
      </c>
      <c r="I153" s="2"/>
      <c r="K153" s="2"/>
      <c r="L153" s="127"/>
      <c r="M153" s="2"/>
      <c r="N153" s="127"/>
      <c r="O153" s="2" t="s">
        <v>2678</v>
      </c>
      <c r="P153" s="3" t="str">
        <f t="shared" si="10"/>
        <v>NR</v>
      </c>
      <c r="Q153" s="143" t="s">
        <v>2680</v>
      </c>
      <c r="R153" s="127">
        <f t="shared" si="12"/>
        <v>0</v>
      </c>
      <c r="S153" s="118">
        <f t="shared" si="11"/>
        <v>0</v>
      </c>
    </row>
    <row r="154" spans="1:19" hidden="1">
      <c r="A154">
        <v>176</v>
      </c>
      <c r="B154" s="42" t="s">
        <v>27</v>
      </c>
      <c r="C154" s="313">
        <f>SUMIF('Employees Supported'!$A$2:$A$29,$B154,'Employees Supported'!$C$2:$C$29)</f>
        <v>400</v>
      </c>
      <c r="D154" s="313"/>
      <c r="E154" s="2">
        <v>19</v>
      </c>
      <c r="F154" t="s">
        <v>97</v>
      </c>
      <c r="G154" t="str">
        <f t="shared" si="9"/>
        <v>SPUToilet Paper</v>
      </c>
      <c r="H154" s="2" t="s">
        <v>98</v>
      </c>
      <c r="I154" s="2"/>
      <c r="K154" s="2">
        <v>2</v>
      </c>
      <c r="L154" s="127"/>
      <c r="M154" s="2"/>
      <c r="N154" s="127"/>
      <c r="O154" s="2"/>
      <c r="P154" s="3">
        <f t="shared" si="10"/>
        <v>2400</v>
      </c>
      <c r="R154" s="127">
        <f t="shared" si="12"/>
        <v>26.666666666666668</v>
      </c>
      <c r="S154" s="118">
        <f t="shared" si="11"/>
        <v>186.66666666666669</v>
      </c>
    </row>
    <row r="155" spans="1:19" hidden="1">
      <c r="A155">
        <v>180</v>
      </c>
      <c r="B155" s="42" t="s">
        <v>30</v>
      </c>
      <c r="C155" s="313">
        <f>SUMIF('Employees Supported'!$A$2:$A$29,$B155,'Employees Supported'!$C$2:$C$29)</f>
        <v>300</v>
      </c>
      <c r="D155" s="313"/>
      <c r="E155" s="2">
        <v>1</v>
      </c>
      <c r="F155" t="s">
        <v>66</v>
      </c>
      <c r="G155" t="str">
        <f t="shared" si="9"/>
        <v>LibrariesMasks (N95)</v>
      </c>
      <c r="H155" s="2" t="s">
        <v>67</v>
      </c>
      <c r="I155" s="2">
        <v>1</v>
      </c>
      <c r="K155" s="2"/>
      <c r="L155" s="127"/>
      <c r="M155" s="2"/>
      <c r="N155" s="127"/>
      <c r="O155" s="2"/>
      <c r="P155" s="3">
        <f t="shared" si="10"/>
        <v>27000</v>
      </c>
      <c r="R155" s="127">
        <f t="shared" si="12"/>
        <v>300</v>
      </c>
      <c r="S155" s="118">
        <f t="shared" si="11"/>
        <v>2100</v>
      </c>
    </row>
    <row r="156" spans="1:19" hidden="1">
      <c r="A156">
        <v>181</v>
      </c>
      <c r="B156" s="42" t="s">
        <v>30</v>
      </c>
      <c r="C156" s="313">
        <f>SUMIF('Employees Supported'!$A$2:$A$29,$B156,'Employees Supported'!$C$2:$C$29)</f>
        <v>300</v>
      </c>
      <c r="D156" s="313"/>
      <c r="E156" s="2">
        <v>2</v>
      </c>
      <c r="F156" t="s">
        <v>68</v>
      </c>
      <c r="G156" t="str">
        <f t="shared" si="9"/>
        <v>LibrariesMasks (Surgical)</v>
      </c>
      <c r="H156" s="2" t="s">
        <v>67</v>
      </c>
      <c r="I156" s="2">
        <v>3</v>
      </c>
      <c r="K156" s="2"/>
      <c r="L156" s="127"/>
      <c r="M156" s="2"/>
      <c r="N156" s="127"/>
      <c r="O156" s="2"/>
      <c r="P156" s="3">
        <f t="shared" si="10"/>
        <v>81000</v>
      </c>
      <c r="R156" s="127">
        <f t="shared" si="12"/>
        <v>900</v>
      </c>
      <c r="S156" s="118">
        <f t="shared" si="11"/>
        <v>6300</v>
      </c>
    </row>
    <row r="157" spans="1:19" ht="16" hidden="1">
      <c r="A157">
        <v>182</v>
      </c>
      <c r="B157" s="42" t="s">
        <v>30</v>
      </c>
      <c r="C157" s="313">
        <f>SUMIF('Employees Supported'!$A$2:$A$29,$B157,'Employees Supported'!$C$2:$C$29)</f>
        <v>300</v>
      </c>
      <c r="D157" s="313"/>
      <c r="E157" s="2">
        <v>3</v>
      </c>
      <c r="F157" t="s">
        <v>70</v>
      </c>
      <c r="G157" t="str">
        <f t="shared" si="9"/>
        <v>LibrariesNitrile Gloves (Public Safety)</v>
      </c>
      <c r="H157" s="2" t="s">
        <v>71</v>
      </c>
      <c r="I157" s="2"/>
      <c r="K157" s="2"/>
      <c r="L157" s="127"/>
      <c r="M157" s="2"/>
      <c r="N157" s="127"/>
      <c r="O157" s="2" t="s">
        <v>2678</v>
      </c>
      <c r="P157" s="3" t="str">
        <f t="shared" si="10"/>
        <v>NR</v>
      </c>
      <c r="Q157" s="143" t="s">
        <v>2703</v>
      </c>
      <c r="R157" s="127">
        <f t="shared" si="12"/>
        <v>0</v>
      </c>
      <c r="S157" s="118">
        <f t="shared" si="11"/>
        <v>0</v>
      </c>
    </row>
    <row r="158" spans="1:19" hidden="1">
      <c r="A158">
        <v>183</v>
      </c>
      <c r="B158" s="42" t="s">
        <v>30</v>
      </c>
      <c r="C158" s="313">
        <f>SUMIF('Employees Supported'!$A$2:$A$29,$B158,'Employees Supported'!$C$2:$C$29)</f>
        <v>300</v>
      </c>
      <c r="D158" s="313"/>
      <c r="E158" s="2">
        <v>4</v>
      </c>
      <c r="F158" t="s">
        <v>72</v>
      </c>
      <c r="G158" t="str">
        <f t="shared" si="9"/>
        <v>LibrariesNitrile Gloves (General Use)</v>
      </c>
      <c r="H158" s="2" t="s">
        <v>71</v>
      </c>
      <c r="I158" s="2">
        <v>3</v>
      </c>
      <c r="K158" s="2"/>
      <c r="L158" s="127"/>
      <c r="M158" s="2"/>
      <c r="N158" s="127"/>
      <c r="O158" s="2"/>
      <c r="P158" s="3">
        <f t="shared" si="10"/>
        <v>81000</v>
      </c>
      <c r="R158" s="127">
        <f t="shared" si="12"/>
        <v>900</v>
      </c>
      <c r="S158" s="118">
        <f t="shared" si="11"/>
        <v>6300</v>
      </c>
    </row>
    <row r="159" spans="1:19" hidden="1">
      <c r="A159">
        <v>184</v>
      </c>
      <c r="B159" s="42" t="s">
        <v>30</v>
      </c>
      <c r="C159" s="313">
        <f>SUMIF('Employees Supported'!$A$2:$A$29,$B159,'Employees Supported'!$C$2:$C$29)</f>
        <v>300</v>
      </c>
      <c r="D159" s="313"/>
      <c r="E159" s="2">
        <v>5</v>
      </c>
      <c r="F159" t="s">
        <v>2669</v>
      </c>
      <c r="G159" t="str">
        <f t="shared" si="9"/>
        <v>LibrariesSurgical gowns</v>
      </c>
      <c r="H159" s="2" t="s">
        <v>67</v>
      </c>
      <c r="I159" s="2"/>
      <c r="K159" s="2"/>
      <c r="L159" s="127"/>
      <c r="M159" s="2"/>
      <c r="N159" s="127"/>
      <c r="O159" s="2" t="s">
        <v>2678</v>
      </c>
      <c r="P159" s="3" t="str">
        <f t="shared" si="10"/>
        <v>NR</v>
      </c>
      <c r="R159" s="127">
        <f t="shared" si="12"/>
        <v>0</v>
      </c>
      <c r="S159" s="118">
        <f t="shared" si="11"/>
        <v>0</v>
      </c>
    </row>
    <row r="160" spans="1:19" hidden="1">
      <c r="A160">
        <v>185</v>
      </c>
      <c r="B160" s="42" t="s">
        <v>30</v>
      </c>
      <c r="C160" s="313">
        <f>SUMIF('Employees Supported'!$A$2:$A$29,$B160,'Employees Supported'!$C$2:$C$29)</f>
        <v>300</v>
      </c>
      <c r="D160" s="313"/>
      <c r="E160" s="2">
        <v>6</v>
      </c>
      <c r="F160" t="s">
        <v>78</v>
      </c>
      <c r="G160" t="str">
        <f t="shared" si="9"/>
        <v>LibrariesDisinfectant Wipes</v>
      </c>
      <c r="H160" s="2" t="s">
        <v>79</v>
      </c>
      <c r="I160" s="2"/>
      <c r="K160" s="2"/>
      <c r="L160" s="127"/>
      <c r="M160" s="2">
        <v>3</v>
      </c>
      <c r="N160" s="127"/>
      <c r="O160" s="2"/>
      <c r="P160" s="3">
        <f t="shared" si="10"/>
        <v>900</v>
      </c>
      <c r="R160" s="127">
        <f t="shared" si="12"/>
        <v>10</v>
      </c>
      <c r="S160" s="118">
        <f t="shared" si="11"/>
        <v>70</v>
      </c>
    </row>
    <row r="161" spans="1:19" ht="16" hidden="1">
      <c r="A161">
        <v>186</v>
      </c>
      <c r="B161" s="42" t="s">
        <v>30</v>
      </c>
      <c r="C161" s="313">
        <f>SUMIF('Employees Supported'!$A$2:$A$29,$B161,'Employees Supported'!$C$2:$C$29)</f>
        <v>300</v>
      </c>
      <c r="D161" s="313"/>
      <c r="E161" s="2">
        <v>7</v>
      </c>
      <c r="F161" t="s">
        <v>80</v>
      </c>
      <c r="G161" t="str">
        <f t="shared" si="9"/>
        <v>LibrariesAntimicrobial (PAWS) Wipes</v>
      </c>
      <c r="H161" s="2" t="s">
        <v>81</v>
      </c>
      <c r="I161" s="2"/>
      <c r="K161" s="2"/>
      <c r="L161" s="127"/>
      <c r="M161" s="2"/>
      <c r="N161" s="127"/>
      <c r="O161" s="2" t="s">
        <v>2678</v>
      </c>
      <c r="P161" s="3" t="str">
        <f t="shared" si="10"/>
        <v>NR</v>
      </c>
      <c r="Q161" s="143" t="s">
        <v>2703</v>
      </c>
      <c r="R161" s="127">
        <f t="shared" si="12"/>
        <v>0</v>
      </c>
      <c r="S161" s="118">
        <f t="shared" si="11"/>
        <v>0</v>
      </c>
    </row>
    <row r="162" spans="1:19" hidden="1">
      <c r="A162">
        <v>187</v>
      </c>
      <c r="B162" s="42" t="s">
        <v>30</v>
      </c>
      <c r="C162" s="313">
        <f>SUMIF('Employees Supported'!$A$2:$A$29,$B162,'Employees Supported'!$C$2:$C$29)</f>
        <v>300</v>
      </c>
      <c r="D162" s="313"/>
      <c r="E162" s="2">
        <v>8</v>
      </c>
      <c r="F162" t="s">
        <v>82</v>
      </c>
      <c r="G162" t="str">
        <f t="shared" si="9"/>
        <v>LibrariesHand Sanitizer (12oz or equiv)</v>
      </c>
      <c r="H162" s="2" t="s">
        <v>83</v>
      </c>
      <c r="I162" s="2"/>
      <c r="K162" s="2"/>
      <c r="L162" s="127"/>
      <c r="M162" s="2">
        <v>4</v>
      </c>
      <c r="N162" s="127"/>
      <c r="O162" s="2"/>
      <c r="P162" s="3">
        <f t="shared" si="10"/>
        <v>1200</v>
      </c>
      <c r="R162" s="127">
        <f t="shared" si="12"/>
        <v>13.333333333333334</v>
      </c>
      <c r="S162" s="118">
        <f t="shared" si="11"/>
        <v>93.333333333333343</v>
      </c>
    </row>
    <row r="163" spans="1:19" hidden="1">
      <c r="A163">
        <v>188</v>
      </c>
      <c r="B163" s="42" t="s">
        <v>30</v>
      </c>
      <c r="C163" s="313">
        <f>SUMIF('Employees Supported'!$A$2:$A$29,$B163,'Employees Supported'!$C$2:$C$29)</f>
        <v>300</v>
      </c>
      <c r="D163" s="313"/>
      <c r="E163" s="2">
        <v>9</v>
      </c>
      <c r="F163" t="s">
        <v>84</v>
      </c>
      <c r="G163" t="str">
        <f t="shared" si="9"/>
        <v>LibrariesPurell (1200 ml stand refill)</v>
      </c>
      <c r="H163" s="2" t="s">
        <v>85</v>
      </c>
      <c r="I163" s="2"/>
      <c r="K163" s="2"/>
      <c r="L163" s="127">
        <v>50</v>
      </c>
      <c r="M163" s="2"/>
      <c r="N163" s="127"/>
      <c r="O163" s="2"/>
      <c r="P163" s="3">
        <f t="shared" si="10"/>
        <v>150</v>
      </c>
      <c r="R163" s="127">
        <f t="shared" si="12"/>
        <v>1.6666666666666667</v>
      </c>
      <c r="S163" s="118">
        <f t="shared" si="11"/>
        <v>11.666666666666668</v>
      </c>
    </row>
    <row r="164" spans="1:19" ht="16" hidden="1">
      <c r="A164">
        <v>189</v>
      </c>
      <c r="B164" s="42" t="s">
        <v>30</v>
      </c>
      <c r="C164" s="313">
        <f>SUMIF('Employees Supported'!$A$2:$A$29,$B164,'Employees Supported'!$C$2:$C$29)</f>
        <v>300</v>
      </c>
      <c r="D164" s="313"/>
      <c r="E164" s="2">
        <v>10</v>
      </c>
      <c r="F164" t="s">
        <v>89</v>
      </c>
      <c r="G164" t="str">
        <f t="shared" si="9"/>
        <v>LibrariesThermometers</v>
      </c>
      <c r="H164" s="2" t="s">
        <v>67</v>
      </c>
      <c r="I164" s="2"/>
      <c r="K164" s="2"/>
      <c r="L164" s="127"/>
      <c r="M164" s="2"/>
      <c r="N164" s="127"/>
      <c r="O164" s="2" t="s">
        <v>2678</v>
      </c>
      <c r="P164" s="3" t="str">
        <f t="shared" si="10"/>
        <v>NR</v>
      </c>
      <c r="Q164" s="143" t="s">
        <v>2691</v>
      </c>
      <c r="R164" s="127">
        <f t="shared" si="12"/>
        <v>0</v>
      </c>
      <c r="S164" s="118">
        <f t="shared" si="11"/>
        <v>0</v>
      </c>
    </row>
    <row r="165" spans="1:19" ht="16" hidden="1">
      <c r="A165">
        <v>190</v>
      </c>
      <c r="B165" s="42" t="s">
        <v>30</v>
      </c>
      <c r="C165" s="313">
        <f>SUMIF('Employees Supported'!$A$2:$A$29,$B165,'Employees Supported'!$C$2:$C$29)</f>
        <v>300</v>
      </c>
      <c r="D165" s="313"/>
      <c r="E165" s="2">
        <v>11</v>
      </c>
      <c r="F165" t="s">
        <v>86</v>
      </c>
      <c r="G165" t="str">
        <f t="shared" si="9"/>
        <v>LibrariesIsopropyl Alcohol (16oz or equiv)</v>
      </c>
      <c r="H165" s="2" t="s">
        <v>83</v>
      </c>
      <c r="I165" s="2"/>
      <c r="K165" s="2"/>
      <c r="L165" s="127"/>
      <c r="M165" s="2"/>
      <c r="N165" s="127"/>
      <c r="O165" s="2" t="s">
        <v>2678</v>
      </c>
      <c r="P165" s="3" t="str">
        <f t="shared" si="10"/>
        <v>NR</v>
      </c>
      <c r="Q165" s="143" t="s">
        <v>2703</v>
      </c>
      <c r="R165" s="127">
        <f t="shared" si="12"/>
        <v>0</v>
      </c>
      <c r="S165" s="118">
        <f t="shared" si="11"/>
        <v>0</v>
      </c>
    </row>
    <row r="166" spans="1:19" hidden="1">
      <c r="A166">
        <v>191</v>
      </c>
      <c r="B166" s="42" t="s">
        <v>30</v>
      </c>
      <c r="C166" s="313">
        <f>SUMIF('Employees Supported'!$A$2:$A$29,$B166,'Employees Supported'!$C$2:$C$29)</f>
        <v>300</v>
      </c>
      <c r="D166" s="313"/>
      <c r="E166" s="2">
        <v>12</v>
      </c>
      <c r="F166" t="s">
        <v>93</v>
      </c>
      <c r="G166" t="str">
        <f t="shared" si="9"/>
        <v>LibrariesHand Soap</v>
      </c>
      <c r="H166" s="2" t="s">
        <v>83</v>
      </c>
      <c r="I166" s="2"/>
      <c r="K166" s="2"/>
      <c r="L166" s="127"/>
      <c r="M166" s="2">
        <v>4</v>
      </c>
      <c r="N166" s="127"/>
      <c r="O166" s="2"/>
      <c r="P166" s="3">
        <f t="shared" si="10"/>
        <v>1200</v>
      </c>
      <c r="R166" s="127">
        <f t="shared" si="12"/>
        <v>13.333333333333334</v>
      </c>
      <c r="S166" s="118">
        <f t="shared" si="11"/>
        <v>93.333333333333343</v>
      </c>
    </row>
    <row r="167" spans="1:19" ht="16" hidden="1">
      <c r="A167">
        <v>192</v>
      </c>
      <c r="B167" s="42" t="s">
        <v>30</v>
      </c>
      <c r="C167" s="313">
        <f>SUMIF('Employees Supported'!$A$2:$A$29,$B167,'Employees Supported'!$C$2:$C$29)</f>
        <v>300</v>
      </c>
      <c r="D167" s="313"/>
      <c r="E167" s="2">
        <v>13</v>
      </c>
      <c r="F167" t="s">
        <v>75</v>
      </c>
      <c r="G167" t="str">
        <f t="shared" si="9"/>
        <v>LibrariesTyvek Suits w/hoods</v>
      </c>
      <c r="H167" s="2" t="s">
        <v>67</v>
      </c>
      <c r="I167" s="2"/>
      <c r="K167" s="2"/>
      <c r="L167" s="127"/>
      <c r="M167" s="2"/>
      <c r="N167" s="127"/>
      <c r="O167" s="2" t="s">
        <v>2678</v>
      </c>
      <c r="P167" s="3" t="str">
        <f t="shared" si="10"/>
        <v>NR</v>
      </c>
      <c r="Q167" s="143" t="s">
        <v>2691</v>
      </c>
      <c r="R167" s="127">
        <f t="shared" si="12"/>
        <v>0</v>
      </c>
      <c r="S167" s="118">
        <f t="shared" si="11"/>
        <v>0</v>
      </c>
    </row>
    <row r="168" spans="1:19" ht="16" hidden="1">
      <c r="A168">
        <v>193</v>
      </c>
      <c r="B168" s="42" t="s">
        <v>30</v>
      </c>
      <c r="C168" s="313">
        <f>SUMIF('Employees Supported'!$A$2:$A$29,$B168,'Employees Supported'!$C$2:$C$29)</f>
        <v>300</v>
      </c>
      <c r="D168" s="313"/>
      <c r="E168" s="2">
        <v>14</v>
      </c>
      <c r="F168" t="s">
        <v>74</v>
      </c>
      <c r="G168" t="str">
        <f t="shared" si="9"/>
        <v>LibrariesTyvek Suits</v>
      </c>
      <c r="H168" s="2" t="s">
        <v>67</v>
      </c>
      <c r="I168" s="2"/>
      <c r="K168" s="2"/>
      <c r="L168" s="127"/>
      <c r="M168" s="2"/>
      <c r="N168" s="127"/>
      <c r="O168" s="2" t="s">
        <v>2678</v>
      </c>
      <c r="P168" s="3" t="str">
        <f t="shared" si="10"/>
        <v>NR</v>
      </c>
      <c r="Q168" s="143" t="s">
        <v>2691</v>
      </c>
      <c r="R168" s="127">
        <f t="shared" si="12"/>
        <v>0</v>
      </c>
      <c r="S168" s="118">
        <f t="shared" si="11"/>
        <v>0</v>
      </c>
    </row>
    <row r="169" spans="1:19" hidden="1">
      <c r="A169">
        <v>194</v>
      </c>
      <c r="B169" s="42" t="s">
        <v>30</v>
      </c>
      <c r="C169" s="313">
        <f>SUMIF('Employees Supported'!$A$2:$A$29,$B169,'Employees Supported'!$C$2:$C$29)</f>
        <v>300</v>
      </c>
      <c r="D169" s="313"/>
      <c r="E169" s="2">
        <v>15</v>
      </c>
      <c r="F169" t="s">
        <v>94</v>
      </c>
      <c r="G169" t="str">
        <f t="shared" si="9"/>
        <v>LibrariesFacial Tissue</v>
      </c>
      <c r="H169" s="2" t="s">
        <v>85</v>
      </c>
      <c r="I169" s="2"/>
      <c r="K169" s="2"/>
      <c r="L169" s="127"/>
      <c r="M169" s="2">
        <v>3</v>
      </c>
      <c r="N169" s="127"/>
      <c r="O169" s="2"/>
      <c r="P169" s="3">
        <f t="shared" si="10"/>
        <v>900</v>
      </c>
      <c r="R169" s="127">
        <f t="shared" si="12"/>
        <v>10</v>
      </c>
      <c r="S169" s="118">
        <f t="shared" si="11"/>
        <v>70</v>
      </c>
    </row>
    <row r="170" spans="1:19" ht="32" hidden="1">
      <c r="A170">
        <v>195</v>
      </c>
      <c r="B170" s="42" t="s">
        <v>30</v>
      </c>
      <c r="C170" s="313">
        <f>SUMIF('Employees Supported'!$A$2:$A$29,$B170,'Employees Supported'!$C$2:$C$29)</f>
        <v>300</v>
      </c>
      <c r="D170" s="313"/>
      <c r="E170" s="2">
        <v>16</v>
      </c>
      <c r="F170" t="s">
        <v>69</v>
      </c>
      <c r="G170" t="str">
        <f t="shared" si="9"/>
        <v>LibrariesMasks (Cloth)</v>
      </c>
      <c r="H170" s="2" t="s">
        <v>67</v>
      </c>
      <c r="I170" s="2"/>
      <c r="K170" s="2"/>
      <c r="L170" s="127"/>
      <c r="M170" s="2"/>
      <c r="N170" s="127"/>
      <c r="O170" s="2" t="s">
        <v>2678</v>
      </c>
      <c r="P170" s="3" t="str">
        <f t="shared" si="10"/>
        <v>NR</v>
      </c>
      <c r="Q170" s="143" t="s">
        <v>2704</v>
      </c>
      <c r="R170" s="127">
        <f t="shared" si="12"/>
        <v>0</v>
      </c>
      <c r="S170" s="118">
        <f t="shared" si="11"/>
        <v>0</v>
      </c>
    </row>
    <row r="171" spans="1:19" ht="16" hidden="1">
      <c r="A171">
        <v>196</v>
      </c>
      <c r="B171" s="42" t="s">
        <v>30</v>
      </c>
      <c r="C171" s="313">
        <f>SUMIF('Employees Supported'!$A$2:$A$29,$B171,'Employees Supported'!$C$2:$C$29)</f>
        <v>300</v>
      </c>
      <c r="D171" s="313"/>
      <c r="E171" s="2">
        <v>17</v>
      </c>
      <c r="F171" t="s">
        <v>77</v>
      </c>
      <c r="G171" t="str">
        <f t="shared" si="9"/>
        <v>LibrariesGoggles</v>
      </c>
      <c r="H171" s="2" t="s">
        <v>67</v>
      </c>
      <c r="I171" s="2"/>
      <c r="K171" s="2"/>
      <c r="L171" s="127"/>
      <c r="M171" s="2"/>
      <c r="N171" s="127"/>
      <c r="O171" s="2" t="s">
        <v>2678</v>
      </c>
      <c r="P171" s="3" t="str">
        <f t="shared" si="10"/>
        <v>NR</v>
      </c>
      <c r="Q171" s="143" t="s">
        <v>2680</v>
      </c>
      <c r="R171" s="127">
        <f t="shared" si="12"/>
        <v>0</v>
      </c>
      <c r="S171" s="118">
        <f t="shared" si="11"/>
        <v>0</v>
      </c>
    </row>
    <row r="172" spans="1:19" ht="16" hidden="1">
      <c r="A172">
        <v>197</v>
      </c>
      <c r="B172" s="42" t="s">
        <v>30</v>
      </c>
      <c r="C172" s="313">
        <f>SUMIF('Employees Supported'!$A$2:$A$29,$B172,'Employees Supported'!$C$2:$C$29)</f>
        <v>300</v>
      </c>
      <c r="D172" s="313"/>
      <c r="E172" s="2">
        <v>18</v>
      </c>
      <c r="F172" t="s">
        <v>76</v>
      </c>
      <c r="G172" t="str">
        <f t="shared" si="9"/>
        <v>LibrariesFace Shields</v>
      </c>
      <c r="H172" s="2" t="s">
        <v>67</v>
      </c>
      <c r="I172" s="2"/>
      <c r="K172" s="2"/>
      <c r="L172" s="127"/>
      <c r="M172" s="2"/>
      <c r="N172" s="127"/>
      <c r="O172" s="2" t="s">
        <v>2678</v>
      </c>
      <c r="P172" s="3" t="str">
        <f t="shared" si="10"/>
        <v>NR</v>
      </c>
      <c r="Q172" s="143" t="s">
        <v>2680</v>
      </c>
      <c r="R172" s="127">
        <f t="shared" si="12"/>
        <v>0</v>
      </c>
      <c r="S172" s="118">
        <f t="shared" si="11"/>
        <v>0</v>
      </c>
    </row>
    <row r="173" spans="1:19" hidden="1">
      <c r="A173">
        <v>198</v>
      </c>
      <c r="B173" s="42" t="s">
        <v>30</v>
      </c>
      <c r="C173" s="313">
        <f>SUMIF('Employees Supported'!$A$2:$A$29,$B173,'Employees Supported'!$C$2:$C$29)</f>
        <v>300</v>
      </c>
      <c r="D173" s="313"/>
      <c r="E173" s="2">
        <v>19</v>
      </c>
      <c r="F173" t="s">
        <v>97</v>
      </c>
      <c r="G173" t="str">
        <f t="shared" si="9"/>
        <v>LibrariesToilet Paper</v>
      </c>
      <c r="H173" s="2" t="s">
        <v>98</v>
      </c>
      <c r="I173" s="2"/>
      <c r="K173" s="2">
        <v>2</v>
      </c>
      <c r="L173" s="127"/>
      <c r="M173" s="2"/>
      <c r="N173" s="127"/>
      <c r="O173" s="2"/>
      <c r="P173" s="3">
        <f t="shared" si="10"/>
        <v>1800</v>
      </c>
      <c r="R173" s="127">
        <f t="shared" si="12"/>
        <v>20</v>
      </c>
      <c r="S173" s="118">
        <f t="shared" si="11"/>
        <v>140</v>
      </c>
    </row>
    <row r="174" spans="1:19" hidden="1">
      <c r="A174">
        <v>202</v>
      </c>
      <c r="B174" s="42" t="s">
        <v>26</v>
      </c>
      <c r="C174" s="313">
        <f>SUMIF('Employees Supported'!$A$2:$A$29,$B174,'Employees Supported'!$C$2:$C$29)</f>
        <v>400</v>
      </c>
      <c r="D174" s="313"/>
      <c r="E174" s="2">
        <v>1</v>
      </c>
      <c r="F174" t="s">
        <v>66</v>
      </c>
      <c r="G174" t="str">
        <f t="shared" si="9"/>
        <v>ParksMasks (N95)</v>
      </c>
      <c r="H174" s="2" t="s">
        <v>67</v>
      </c>
      <c r="I174" s="2">
        <v>1</v>
      </c>
      <c r="K174" s="2"/>
      <c r="L174" s="127"/>
      <c r="M174" s="2"/>
      <c r="N174" s="127"/>
      <c r="O174" s="2"/>
      <c r="P174" s="3">
        <f t="shared" si="10"/>
        <v>36000</v>
      </c>
      <c r="R174" s="127">
        <f t="shared" si="12"/>
        <v>400</v>
      </c>
      <c r="S174" s="118">
        <f t="shared" si="11"/>
        <v>2800</v>
      </c>
    </row>
    <row r="175" spans="1:19" hidden="1">
      <c r="A175">
        <v>203</v>
      </c>
      <c r="B175" s="42" t="s">
        <v>26</v>
      </c>
      <c r="C175" s="313">
        <f>SUMIF('Employees Supported'!$A$2:$A$29,$B175,'Employees Supported'!$C$2:$C$29)</f>
        <v>400</v>
      </c>
      <c r="D175" s="313"/>
      <c r="E175" s="2">
        <v>2</v>
      </c>
      <c r="F175" t="s">
        <v>68</v>
      </c>
      <c r="G175" t="str">
        <f t="shared" si="9"/>
        <v>ParksMasks (Surgical)</v>
      </c>
      <c r="H175" s="2" t="s">
        <v>67</v>
      </c>
      <c r="I175" s="2">
        <v>3</v>
      </c>
      <c r="K175" s="2"/>
      <c r="L175" s="127"/>
      <c r="M175" s="2"/>
      <c r="N175" s="127"/>
      <c r="O175" s="2"/>
      <c r="P175" s="3">
        <f t="shared" si="10"/>
        <v>108000</v>
      </c>
      <c r="R175" s="127">
        <f t="shared" si="12"/>
        <v>1200</v>
      </c>
      <c r="S175" s="118">
        <f t="shared" si="11"/>
        <v>8400</v>
      </c>
    </row>
    <row r="176" spans="1:19" ht="16" hidden="1">
      <c r="A176">
        <v>204</v>
      </c>
      <c r="B176" s="42" t="s">
        <v>26</v>
      </c>
      <c r="C176" s="313">
        <f>SUMIF('Employees Supported'!$A$2:$A$29,$B176,'Employees Supported'!$C$2:$C$29)</f>
        <v>400</v>
      </c>
      <c r="D176" s="313"/>
      <c r="E176" s="2">
        <v>3</v>
      </c>
      <c r="F176" t="s">
        <v>70</v>
      </c>
      <c r="G176" t="str">
        <f t="shared" si="9"/>
        <v>ParksNitrile Gloves (Public Safety)</v>
      </c>
      <c r="H176" s="2" t="s">
        <v>71</v>
      </c>
      <c r="I176" s="2"/>
      <c r="K176" s="2"/>
      <c r="L176" s="127"/>
      <c r="M176" s="2"/>
      <c r="N176" s="127"/>
      <c r="O176" s="2" t="s">
        <v>2678</v>
      </c>
      <c r="P176" s="3" t="str">
        <f t="shared" si="10"/>
        <v>NR</v>
      </c>
      <c r="Q176" s="143" t="s">
        <v>2703</v>
      </c>
      <c r="R176" s="127">
        <f t="shared" si="12"/>
        <v>0</v>
      </c>
      <c r="S176" s="118">
        <f t="shared" si="11"/>
        <v>0</v>
      </c>
    </row>
    <row r="177" spans="1:19" hidden="1">
      <c r="A177">
        <v>205</v>
      </c>
      <c r="B177" s="42" t="s">
        <v>26</v>
      </c>
      <c r="C177" s="313">
        <f>SUMIF('Employees Supported'!$A$2:$A$29,$B177,'Employees Supported'!$C$2:$C$29)</f>
        <v>400</v>
      </c>
      <c r="D177" s="313"/>
      <c r="E177" s="2">
        <v>4</v>
      </c>
      <c r="F177" t="s">
        <v>72</v>
      </c>
      <c r="G177" t="str">
        <f t="shared" si="9"/>
        <v>ParksNitrile Gloves (General Use)</v>
      </c>
      <c r="H177" s="2" t="s">
        <v>71</v>
      </c>
      <c r="I177" s="2"/>
      <c r="K177" s="2"/>
      <c r="L177" s="127"/>
      <c r="M177" s="2"/>
      <c r="N177" s="127">
        <v>7200</v>
      </c>
      <c r="O177" s="2"/>
      <c r="P177" s="3">
        <f t="shared" si="10"/>
        <v>7200</v>
      </c>
      <c r="R177" s="127">
        <f t="shared" si="12"/>
        <v>80</v>
      </c>
      <c r="S177" s="118">
        <f t="shared" si="11"/>
        <v>560</v>
      </c>
    </row>
    <row r="178" spans="1:19" hidden="1">
      <c r="A178">
        <v>206</v>
      </c>
      <c r="B178" s="42" t="s">
        <v>26</v>
      </c>
      <c r="C178" s="313">
        <f>SUMIF('Employees Supported'!$A$2:$A$29,$B178,'Employees Supported'!$C$2:$C$29)</f>
        <v>400</v>
      </c>
      <c r="D178" s="313"/>
      <c r="E178" s="2">
        <v>5</v>
      </c>
      <c r="F178" t="s">
        <v>2669</v>
      </c>
      <c r="G178" t="str">
        <f t="shared" si="9"/>
        <v>ParksSurgical gowns</v>
      </c>
      <c r="H178" s="2" t="s">
        <v>67</v>
      </c>
      <c r="I178" s="2"/>
      <c r="K178" s="2"/>
      <c r="L178" s="127"/>
      <c r="M178" s="2"/>
      <c r="N178" s="127"/>
      <c r="O178" s="2" t="s">
        <v>2678</v>
      </c>
      <c r="P178" s="3" t="str">
        <f t="shared" si="10"/>
        <v>NR</v>
      </c>
      <c r="R178" s="127">
        <f t="shared" si="12"/>
        <v>0</v>
      </c>
      <c r="S178" s="118">
        <f t="shared" si="11"/>
        <v>0</v>
      </c>
    </row>
    <row r="179" spans="1:19" hidden="1">
      <c r="A179">
        <v>207</v>
      </c>
      <c r="B179" s="42" t="s">
        <v>26</v>
      </c>
      <c r="C179" s="313">
        <f>SUMIF('Employees Supported'!$A$2:$A$29,$B179,'Employees Supported'!$C$2:$C$29)</f>
        <v>400</v>
      </c>
      <c r="D179" s="313"/>
      <c r="E179" s="2">
        <v>6</v>
      </c>
      <c r="F179" t="s">
        <v>78</v>
      </c>
      <c r="G179" t="str">
        <f t="shared" si="9"/>
        <v>ParksDisinfectant Wipes</v>
      </c>
      <c r="H179" s="2" t="s">
        <v>79</v>
      </c>
      <c r="I179" s="2"/>
      <c r="K179" s="2"/>
      <c r="L179" s="127"/>
      <c r="M179" s="2">
        <v>3</v>
      </c>
      <c r="N179" s="127"/>
      <c r="O179" s="2"/>
      <c r="P179" s="3">
        <f t="shared" si="10"/>
        <v>1200</v>
      </c>
      <c r="R179" s="127">
        <f t="shared" si="12"/>
        <v>13.333333333333334</v>
      </c>
      <c r="S179" s="118">
        <f t="shared" si="11"/>
        <v>93.333333333333343</v>
      </c>
    </row>
    <row r="180" spans="1:19" ht="16" hidden="1">
      <c r="A180">
        <v>208</v>
      </c>
      <c r="B180" s="42" t="s">
        <v>26</v>
      </c>
      <c r="C180" s="313">
        <f>SUMIF('Employees Supported'!$A$2:$A$29,$B180,'Employees Supported'!$C$2:$C$29)</f>
        <v>400</v>
      </c>
      <c r="D180" s="313"/>
      <c r="E180" s="2">
        <v>7</v>
      </c>
      <c r="F180" t="s">
        <v>80</v>
      </c>
      <c r="G180" t="str">
        <f t="shared" si="9"/>
        <v>ParksAntimicrobial (PAWS) Wipes</v>
      </c>
      <c r="H180" s="2" t="s">
        <v>81</v>
      </c>
      <c r="I180" s="2"/>
      <c r="K180" s="2"/>
      <c r="L180" s="127"/>
      <c r="M180" s="2"/>
      <c r="N180" s="127"/>
      <c r="O180" s="2" t="s">
        <v>2678</v>
      </c>
      <c r="P180" s="3" t="str">
        <f t="shared" si="10"/>
        <v>NR</v>
      </c>
      <c r="Q180" s="143" t="s">
        <v>2703</v>
      </c>
      <c r="R180" s="127">
        <f t="shared" si="12"/>
        <v>0</v>
      </c>
      <c r="S180" s="118">
        <f t="shared" si="11"/>
        <v>0</v>
      </c>
    </row>
    <row r="181" spans="1:19" hidden="1">
      <c r="A181">
        <v>209</v>
      </c>
      <c r="B181" s="42" t="s">
        <v>26</v>
      </c>
      <c r="C181" s="313">
        <f>SUMIF('Employees Supported'!$A$2:$A$29,$B181,'Employees Supported'!$C$2:$C$29)</f>
        <v>400</v>
      </c>
      <c r="D181" s="313"/>
      <c r="E181" s="2">
        <v>8</v>
      </c>
      <c r="F181" t="s">
        <v>82</v>
      </c>
      <c r="G181" t="str">
        <f t="shared" si="9"/>
        <v>ParksHand Sanitizer (12oz or equiv)</v>
      </c>
      <c r="H181" s="2" t="s">
        <v>83</v>
      </c>
      <c r="I181" s="2"/>
      <c r="K181" s="2"/>
      <c r="L181" s="127"/>
      <c r="M181" s="2"/>
      <c r="N181" s="127"/>
      <c r="O181" s="2" t="s">
        <v>2678</v>
      </c>
      <c r="P181" s="3" t="str">
        <f t="shared" si="10"/>
        <v>NR</v>
      </c>
      <c r="R181" s="127">
        <f t="shared" si="12"/>
        <v>0</v>
      </c>
      <c r="S181" s="118">
        <f t="shared" si="11"/>
        <v>0</v>
      </c>
    </row>
    <row r="182" spans="1:19" hidden="1">
      <c r="A182">
        <v>210</v>
      </c>
      <c r="B182" s="42" t="s">
        <v>26</v>
      </c>
      <c r="C182" s="313">
        <f>SUMIF('Employees Supported'!$A$2:$A$29,$B182,'Employees Supported'!$C$2:$C$29)</f>
        <v>400</v>
      </c>
      <c r="D182" s="313"/>
      <c r="E182" s="2">
        <v>9</v>
      </c>
      <c r="F182" t="s">
        <v>84</v>
      </c>
      <c r="G182" t="str">
        <f t="shared" si="9"/>
        <v>ParksPurell (1200 ml stand refill)</v>
      </c>
      <c r="H182" s="2" t="s">
        <v>85</v>
      </c>
      <c r="I182" s="2"/>
      <c r="K182" s="2"/>
      <c r="L182" s="127"/>
      <c r="M182" s="2"/>
      <c r="N182" s="127">
        <v>234</v>
      </c>
      <c r="O182" s="2"/>
      <c r="P182" s="3">
        <f t="shared" si="10"/>
        <v>234</v>
      </c>
      <c r="R182" s="127">
        <f t="shared" si="12"/>
        <v>2.6</v>
      </c>
      <c r="S182" s="118">
        <f t="shared" si="11"/>
        <v>18.2</v>
      </c>
    </row>
    <row r="183" spans="1:19" ht="16" hidden="1">
      <c r="A183">
        <v>211</v>
      </c>
      <c r="B183" s="42" t="s">
        <v>26</v>
      </c>
      <c r="C183" s="313">
        <f>SUMIF('Employees Supported'!$A$2:$A$29,$B183,'Employees Supported'!$C$2:$C$29)</f>
        <v>400</v>
      </c>
      <c r="D183" s="313"/>
      <c r="E183" s="2">
        <v>10</v>
      </c>
      <c r="F183" t="s">
        <v>89</v>
      </c>
      <c r="G183" t="str">
        <f t="shared" si="9"/>
        <v>ParksThermometers</v>
      </c>
      <c r="H183" s="2" t="s">
        <v>67</v>
      </c>
      <c r="I183" s="2"/>
      <c r="K183" s="2"/>
      <c r="L183" s="127"/>
      <c r="M183" s="2"/>
      <c r="N183" s="127"/>
      <c r="O183" s="2" t="s">
        <v>2678</v>
      </c>
      <c r="P183" s="3" t="str">
        <f t="shared" si="10"/>
        <v>NR</v>
      </c>
      <c r="Q183" s="143" t="s">
        <v>2691</v>
      </c>
      <c r="R183" s="127">
        <f t="shared" si="12"/>
        <v>0</v>
      </c>
      <c r="S183" s="118">
        <f t="shared" si="11"/>
        <v>0</v>
      </c>
    </row>
    <row r="184" spans="1:19" ht="16" hidden="1">
      <c r="A184">
        <v>212</v>
      </c>
      <c r="B184" s="42" t="s">
        <v>26</v>
      </c>
      <c r="C184" s="313">
        <f>SUMIF('Employees Supported'!$A$2:$A$29,$B184,'Employees Supported'!$C$2:$C$29)</f>
        <v>400</v>
      </c>
      <c r="D184" s="313"/>
      <c r="E184" s="2">
        <v>11</v>
      </c>
      <c r="F184" t="s">
        <v>86</v>
      </c>
      <c r="G184" t="str">
        <f t="shared" si="9"/>
        <v>ParksIsopropyl Alcohol (16oz or equiv)</v>
      </c>
      <c r="H184" s="2" t="s">
        <v>83</v>
      </c>
      <c r="I184" s="2"/>
      <c r="K184" s="2"/>
      <c r="L184" s="127"/>
      <c r="M184" s="2"/>
      <c r="N184" s="127"/>
      <c r="O184" s="2" t="s">
        <v>2678</v>
      </c>
      <c r="P184" s="3" t="str">
        <f t="shared" si="10"/>
        <v>NR</v>
      </c>
      <c r="Q184" s="143" t="s">
        <v>2703</v>
      </c>
      <c r="R184" s="127">
        <f t="shared" si="12"/>
        <v>0</v>
      </c>
      <c r="S184" s="118">
        <f t="shared" si="11"/>
        <v>0</v>
      </c>
    </row>
    <row r="185" spans="1:19" hidden="1">
      <c r="A185">
        <v>213</v>
      </c>
      <c r="B185" s="42" t="s">
        <v>26</v>
      </c>
      <c r="C185" s="313">
        <f>SUMIF('Employees Supported'!$A$2:$A$29,$B185,'Employees Supported'!$C$2:$C$29)</f>
        <v>400</v>
      </c>
      <c r="D185" s="313"/>
      <c r="E185" s="2">
        <v>12</v>
      </c>
      <c r="F185" t="s">
        <v>93</v>
      </c>
      <c r="G185" t="str">
        <f t="shared" si="9"/>
        <v>ParksHand Soap</v>
      </c>
      <c r="H185" s="2" t="s">
        <v>83</v>
      </c>
      <c r="I185" s="2"/>
      <c r="K185" s="2"/>
      <c r="L185" s="127"/>
      <c r="M185" s="2">
        <v>4</v>
      </c>
      <c r="N185" s="127"/>
      <c r="O185" s="2"/>
      <c r="P185" s="3">
        <f t="shared" si="10"/>
        <v>1600</v>
      </c>
      <c r="R185" s="127">
        <f t="shared" si="12"/>
        <v>17.777777777777779</v>
      </c>
      <c r="S185" s="118">
        <f t="shared" si="11"/>
        <v>124.44444444444446</v>
      </c>
    </row>
    <row r="186" spans="1:19" ht="16" hidden="1">
      <c r="A186">
        <v>214</v>
      </c>
      <c r="B186" s="42" t="s">
        <v>26</v>
      </c>
      <c r="C186" s="313">
        <f>SUMIF('Employees Supported'!$A$2:$A$29,$B186,'Employees Supported'!$C$2:$C$29)</f>
        <v>400</v>
      </c>
      <c r="D186" s="313"/>
      <c r="E186" s="2">
        <v>13</v>
      </c>
      <c r="F186" t="s">
        <v>75</v>
      </c>
      <c r="G186" t="str">
        <f t="shared" si="9"/>
        <v>ParksTyvek Suits w/hoods</v>
      </c>
      <c r="H186" s="2" t="s">
        <v>67</v>
      </c>
      <c r="I186" s="2"/>
      <c r="K186" s="2"/>
      <c r="L186" s="127"/>
      <c r="M186" s="2"/>
      <c r="N186" s="127"/>
      <c r="O186" s="2" t="s">
        <v>2678</v>
      </c>
      <c r="P186" s="3" t="str">
        <f t="shared" si="10"/>
        <v>NR</v>
      </c>
      <c r="Q186" s="143" t="s">
        <v>2691</v>
      </c>
      <c r="R186" s="127">
        <f t="shared" si="12"/>
        <v>0</v>
      </c>
      <c r="S186" s="118">
        <f t="shared" si="11"/>
        <v>0</v>
      </c>
    </row>
    <row r="187" spans="1:19" ht="16" hidden="1">
      <c r="A187">
        <v>215</v>
      </c>
      <c r="B187" s="42" t="s">
        <v>26</v>
      </c>
      <c r="C187" s="313">
        <f>SUMIF('Employees Supported'!$A$2:$A$29,$B187,'Employees Supported'!$C$2:$C$29)</f>
        <v>400</v>
      </c>
      <c r="D187" s="313"/>
      <c r="E187" s="2">
        <v>14</v>
      </c>
      <c r="F187" t="s">
        <v>74</v>
      </c>
      <c r="G187" t="str">
        <f t="shared" si="9"/>
        <v>ParksTyvek Suits</v>
      </c>
      <c r="H187" s="2" t="s">
        <v>67</v>
      </c>
      <c r="I187" s="2"/>
      <c r="K187" s="2"/>
      <c r="L187" s="127"/>
      <c r="M187" s="2"/>
      <c r="N187" s="127"/>
      <c r="O187" s="2" t="s">
        <v>2678</v>
      </c>
      <c r="P187" s="3" t="str">
        <f t="shared" si="10"/>
        <v>NR</v>
      </c>
      <c r="Q187" s="143" t="s">
        <v>2691</v>
      </c>
      <c r="R187" s="127">
        <f t="shared" si="12"/>
        <v>0</v>
      </c>
      <c r="S187" s="118">
        <f t="shared" si="11"/>
        <v>0</v>
      </c>
    </row>
    <row r="188" spans="1:19" hidden="1">
      <c r="A188">
        <v>216</v>
      </c>
      <c r="B188" s="42" t="s">
        <v>26</v>
      </c>
      <c r="C188" s="313">
        <f>SUMIF('Employees Supported'!$A$2:$A$29,$B188,'Employees Supported'!$C$2:$C$29)</f>
        <v>400</v>
      </c>
      <c r="D188" s="313"/>
      <c r="E188" s="2">
        <v>15</v>
      </c>
      <c r="F188" t="s">
        <v>94</v>
      </c>
      <c r="G188" t="str">
        <f t="shared" si="9"/>
        <v>ParksFacial Tissue</v>
      </c>
      <c r="H188" s="2" t="s">
        <v>85</v>
      </c>
      <c r="I188" s="2"/>
      <c r="K188" s="2"/>
      <c r="L188" s="127"/>
      <c r="M188" s="2"/>
      <c r="N188" s="127"/>
      <c r="O188" s="2" t="s">
        <v>2678</v>
      </c>
      <c r="P188" s="3" t="str">
        <f t="shared" si="10"/>
        <v>NR</v>
      </c>
      <c r="R188" s="127">
        <f t="shared" si="12"/>
        <v>0</v>
      </c>
      <c r="S188" s="118">
        <f t="shared" si="11"/>
        <v>0</v>
      </c>
    </row>
    <row r="189" spans="1:19" ht="32" hidden="1">
      <c r="A189">
        <v>217</v>
      </c>
      <c r="B189" s="42" t="s">
        <v>26</v>
      </c>
      <c r="C189" s="313">
        <f>SUMIF('Employees Supported'!$A$2:$A$29,$B189,'Employees Supported'!$C$2:$C$29)</f>
        <v>400</v>
      </c>
      <c r="D189" s="313"/>
      <c r="E189" s="2">
        <v>16</v>
      </c>
      <c r="F189" t="s">
        <v>69</v>
      </c>
      <c r="G189" t="str">
        <f t="shared" si="9"/>
        <v>ParksMasks (Cloth)</v>
      </c>
      <c r="H189" s="2" t="s">
        <v>67</v>
      </c>
      <c r="I189" s="2"/>
      <c r="K189" s="2"/>
      <c r="L189" s="127"/>
      <c r="M189" s="2"/>
      <c r="N189" s="127"/>
      <c r="O189" s="2" t="s">
        <v>2678</v>
      </c>
      <c r="P189" s="3" t="str">
        <f t="shared" si="10"/>
        <v>NR</v>
      </c>
      <c r="Q189" s="143" t="s">
        <v>2704</v>
      </c>
      <c r="R189" s="127">
        <f t="shared" si="12"/>
        <v>0</v>
      </c>
      <c r="S189" s="118">
        <f t="shared" si="11"/>
        <v>0</v>
      </c>
    </row>
    <row r="190" spans="1:19" ht="16" hidden="1">
      <c r="A190">
        <v>218</v>
      </c>
      <c r="B190" s="42" t="s">
        <v>26</v>
      </c>
      <c r="C190" s="313">
        <f>SUMIF('Employees Supported'!$A$2:$A$29,$B190,'Employees Supported'!$C$2:$C$29)</f>
        <v>400</v>
      </c>
      <c r="D190" s="313"/>
      <c r="E190" s="2">
        <v>17</v>
      </c>
      <c r="F190" t="s">
        <v>77</v>
      </c>
      <c r="G190" t="str">
        <f t="shared" si="9"/>
        <v>ParksGoggles</v>
      </c>
      <c r="H190" s="2" t="s">
        <v>67</v>
      </c>
      <c r="I190" s="2"/>
      <c r="K190" s="2"/>
      <c r="L190" s="127"/>
      <c r="M190" s="2"/>
      <c r="N190" s="127"/>
      <c r="O190" s="2" t="s">
        <v>2678</v>
      </c>
      <c r="P190" s="3" t="str">
        <f t="shared" si="10"/>
        <v>NR</v>
      </c>
      <c r="Q190" s="143" t="s">
        <v>2680</v>
      </c>
      <c r="R190" s="127">
        <f t="shared" si="12"/>
        <v>0</v>
      </c>
      <c r="S190" s="118">
        <f t="shared" si="11"/>
        <v>0</v>
      </c>
    </row>
    <row r="191" spans="1:19" ht="16" hidden="1">
      <c r="A191">
        <v>219</v>
      </c>
      <c r="B191" s="42" t="s">
        <v>26</v>
      </c>
      <c r="C191" s="313">
        <f>SUMIF('Employees Supported'!$A$2:$A$29,$B191,'Employees Supported'!$C$2:$C$29)</f>
        <v>400</v>
      </c>
      <c r="D191" s="313"/>
      <c r="E191" s="2">
        <v>18</v>
      </c>
      <c r="F191" t="s">
        <v>76</v>
      </c>
      <c r="G191" t="str">
        <f t="shared" si="9"/>
        <v>ParksFace Shields</v>
      </c>
      <c r="H191" s="2" t="s">
        <v>67</v>
      </c>
      <c r="I191" s="2"/>
      <c r="K191" s="2"/>
      <c r="L191" s="127"/>
      <c r="M191" s="2"/>
      <c r="N191" s="127"/>
      <c r="O191" s="2" t="s">
        <v>2678</v>
      </c>
      <c r="P191" s="3" t="str">
        <f t="shared" si="10"/>
        <v>NR</v>
      </c>
      <c r="Q191" s="143" t="s">
        <v>2680</v>
      </c>
      <c r="R191" s="127">
        <f t="shared" si="12"/>
        <v>0</v>
      </c>
      <c r="S191" s="118">
        <f t="shared" si="11"/>
        <v>0</v>
      </c>
    </row>
    <row r="192" spans="1:19" hidden="1">
      <c r="A192">
        <v>220</v>
      </c>
      <c r="B192" s="42" t="s">
        <v>26</v>
      </c>
      <c r="C192" s="313">
        <f>SUMIF('Employees Supported'!$A$2:$A$29,$B192,'Employees Supported'!$C$2:$C$29)</f>
        <v>400</v>
      </c>
      <c r="D192" s="313"/>
      <c r="E192" s="2">
        <v>19</v>
      </c>
      <c r="F192" t="s">
        <v>97</v>
      </c>
      <c r="G192" t="str">
        <f t="shared" si="9"/>
        <v>ParksToilet Paper</v>
      </c>
      <c r="H192" s="2" t="s">
        <v>98</v>
      </c>
      <c r="I192" s="2"/>
      <c r="K192" s="2"/>
      <c r="L192" s="127"/>
      <c r="M192" s="2"/>
      <c r="N192" s="127"/>
      <c r="O192" s="2" t="s">
        <v>2678</v>
      </c>
      <c r="P192" s="3" t="str">
        <f t="shared" si="10"/>
        <v>NR</v>
      </c>
      <c r="R192" s="127">
        <f t="shared" si="12"/>
        <v>0</v>
      </c>
      <c r="S192" s="118">
        <f t="shared" si="11"/>
        <v>0</v>
      </c>
    </row>
    <row r="193" spans="1:19" hidden="1">
      <c r="A193">
        <v>224</v>
      </c>
      <c r="B193" s="42" t="s">
        <v>32</v>
      </c>
      <c r="C193" s="313">
        <f>SUMIF('Employees Supported'!$A$2:$A$29,$B193,'Employees Supported'!$C$2:$C$29)</f>
        <v>400</v>
      </c>
      <c r="D193" s="313"/>
      <c r="E193" s="2">
        <v>1</v>
      </c>
      <c r="F193" t="s">
        <v>66</v>
      </c>
      <c r="G193" t="str">
        <f t="shared" si="9"/>
        <v>Seattle CtrMasks (N95)</v>
      </c>
      <c r="H193" s="2" t="s">
        <v>67</v>
      </c>
      <c r="I193" s="2">
        <v>1</v>
      </c>
      <c r="K193" s="2"/>
      <c r="L193" s="127"/>
      <c r="M193" s="2"/>
      <c r="N193" s="127"/>
      <c r="O193" s="2"/>
      <c r="P193" s="3">
        <f t="shared" si="10"/>
        <v>36000</v>
      </c>
      <c r="R193" s="127">
        <f t="shared" si="12"/>
        <v>400</v>
      </c>
      <c r="S193" s="118">
        <f t="shared" si="11"/>
        <v>2800</v>
      </c>
    </row>
    <row r="194" spans="1:19" hidden="1">
      <c r="A194">
        <v>225</v>
      </c>
      <c r="B194" s="42" t="s">
        <v>32</v>
      </c>
      <c r="C194" s="313">
        <f>SUMIF('Employees Supported'!$A$2:$A$29,$B194,'Employees Supported'!$C$2:$C$29)</f>
        <v>400</v>
      </c>
      <c r="D194" s="313"/>
      <c r="E194" s="2">
        <v>2</v>
      </c>
      <c r="F194" t="s">
        <v>68</v>
      </c>
      <c r="G194" t="str">
        <f t="shared" si="9"/>
        <v>Seattle CtrMasks (Surgical)</v>
      </c>
      <c r="H194" s="2" t="s">
        <v>67</v>
      </c>
      <c r="I194" s="2">
        <v>3</v>
      </c>
      <c r="K194" s="2"/>
      <c r="L194" s="127"/>
      <c r="M194" s="2"/>
      <c r="N194" s="127"/>
      <c r="O194" s="2"/>
      <c r="P194" s="3">
        <f t="shared" si="10"/>
        <v>108000</v>
      </c>
      <c r="R194" s="127">
        <f t="shared" si="12"/>
        <v>1200</v>
      </c>
      <c r="S194" s="118">
        <f t="shared" si="11"/>
        <v>8400</v>
      </c>
    </row>
    <row r="195" spans="1:19" ht="16" hidden="1">
      <c r="A195">
        <v>226</v>
      </c>
      <c r="B195" s="42" t="s">
        <v>32</v>
      </c>
      <c r="C195" s="313">
        <f>SUMIF('Employees Supported'!$A$2:$A$29,$B195,'Employees Supported'!$C$2:$C$29)</f>
        <v>400</v>
      </c>
      <c r="D195" s="313"/>
      <c r="E195" s="2">
        <v>3</v>
      </c>
      <c r="F195" t="s">
        <v>70</v>
      </c>
      <c r="G195" t="str">
        <f t="shared" si="9"/>
        <v>Seattle CtrNitrile Gloves (Public Safety)</v>
      </c>
      <c r="H195" s="2" t="s">
        <v>71</v>
      </c>
      <c r="I195" s="2"/>
      <c r="K195" s="2"/>
      <c r="L195" s="127"/>
      <c r="M195" s="2"/>
      <c r="N195" s="127"/>
      <c r="O195" s="2" t="s">
        <v>2678</v>
      </c>
      <c r="P195" s="3" t="str">
        <f t="shared" si="10"/>
        <v>NR</v>
      </c>
      <c r="Q195" s="143" t="s">
        <v>2703</v>
      </c>
      <c r="R195" s="127">
        <f t="shared" si="12"/>
        <v>0</v>
      </c>
      <c r="S195" s="118">
        <f t="shared" si="11"/>
        <v>0</v>
      </c>
    </row>
    <row r="196" spans="1:19" hidden="1">
      <c r="A196">
        <v>227</v>
      </c>
      <c r="B196" s="42" t="s">
        <v>32</v>
      </c>
      <c r="C196" s="313">
        <f>SUMIF('Employees Supported'!$A$2:$A$29,$B196,'Employees Supported'!$C$2:$C$29)</f>
        <v>400</v>
      </c>
      <c r="D196" s="313"/>
      <c r="E196" s="2">
        <v>4</v>
      </c>
      <c r="F196" t="s">
        <v>72</v>
      </c>
      <c r="G196" t="str">
        <f t="shared" ref="G196:G212" si="13">_xlfn.SINGLE(_xlfn.CONCAT(B196,F196))</f>
        <v>Seattle CtrNitrile Gloves (General Use)</v>
      </c>
      <c r="H196" s="2" t="s">
        <v>71</v>
      </c>
      <c r="I196" s="2"/>
      <c r="K196" s="2"/>
      <c r="L196" s="127"/>
      <c r="M196" s="2"/>
      <c r="N196" s="127">
        <v>7200</v>
      </c>
      <c r="O196" s="2"/>
      <c r="P196" s="3">
        <f t="shared" ref="P196:P222" si="14">IF(O196="NR","NR",((((C196+D196)*I196)*90)+(J196*90)+(((C196+D196)*K196)*3)+(L196*3)+((C196+D196)*M196)+N196))</f>
        <v>7200</v>
      </c>
      <c r="R196" s="127">
        <f t="shared" si="12"/>
        <v>80</v>
      </c>
      <c r="S196" s="118">
        <f t="shared" ref="S196:S259" si="15">R196*7</f>
        <v>560</v>
      </c>
    </row>
    <row r="197" spans="1:19" hidden="1">
      <c r="A197">
        <v>228</v>
      </c>
      <c r="B197" s="42" t="s">
        <v>32</v>
      </c>
      <c r="C197" s="313">
        <f>SUMIF('Employees Supported'!$A$2:$A$29,$B197,'Employees Supported'!$C$2:$C$29)</f>
        <v>400</v>
      </c>
      <c r="D197" s="313"/>
      <c r="E197" s="2">
        <v>5</v>
      </c>
      <c r="F197" t="s">
        <v>2669</v>
      </c>
      <c r="G197" t="str">
        <f t="shared" si="13"/>
        <v>Seattle CtrSurgical gowns</v>
      </c>
      <c r="H197" s="2" t="s">
        <v>67</v>
      </c>
      <c r="I197" s="2"/>
      <c r="K197" s="2"/>
      <c r="L197" s="127"/>
      <c r="M197" s="2"/>
      <c r="N197" s="127"/>
      <c r="O197" s="2" t="s">
        <v>2678</v>
      </c>
      <c r="P197" s="3" t="str">
        <f t="shared" si="14"/>
        <v>NR</v>
      </c>
      <c r="R197" s="127">
        <f t="shared" si="12"/>
        <v>0</v>
      </c>
      <c r="S197" s="118">
        <f t="shared" si="15"/>
        <v>0</v>
      </c>
    </row>
    <row r="198" spans="1:19" hidden="1">
      <c r="A198">
        <v>229</v>
      </c>
      <c r="B198" s="42" t="s">
        <v>32</v>
      </c>
      <c r="C198" s="313">
        <f>SUMIF('Employees Supported'!$A$2:$A$29,$B198,'Employees Supported'!$C$2:$C$29)</f>
        <v>400</v>
      </c>
      <c r="D198" s="313"/>
      <c r="E198" s="2">
        <v>6</v>
      </c>
      <c r="F198" t="s">
        <v>78</v>
      </c>
      <c r="G198" t="str">
        <f t="shared" si="13"/>
        <v>Seattle CtrDisinfectant Wipes</v>
      </c>
      <c r="H198" s="2" t="s">
        <v>79</v>
      </c>
      <c r="I198" s="2"/>
      <c r="K198" s="2"/>
      <c r="L198" s="127"/>
      <c r="M198" s="2">
        <v>3</v>
      </c>
      <c r="N198" s="127"/>
      <c r="O198" s="2"/>
      <c r="P198" s="3">
        <f t="shared" si="14"/>
        <v>1200</v>
      </c>
      <c r="R198" s="127">
        <f t="shared" si="12"/>
        <v>13.333333333333334</v>
      </c>
      <c r="S198" s="118">
        <f t="shared" si="15"/>
        <v>93.333333333333343</v>
      </c>
    </row>
    <row r="199" spans="1:19" ht="16" hidden="1">
      <c r="A199">
        <v>230</v>
      </c>
      <c r="B199" s="42" t="s">
        <v>32</v>
      </c>
      <c r="C199" s="313">
        <f>SUMIF('Employees Supported'!$A$2:$A$29,$B199,'Employees Supported'!$C$2:$C$29)</f>
        <v>400</v>
      </c>
      <c r="D199" s="313"/>
      <c r="E199" s="2">
        <v>7</v>
      </c>
      <c r="F199" t="s">
        <v>80</v>
      </c>
      <c r="G199" t="str">
        <f t="shared" si="13"/>
        <v>Seattle CtrAntimicrobial (PAWS) Wipes</v>
      </c>
      <c r="H199" s="2" t="s">
        <v>81</v>
      </c>
      <c r="I199" s="2"/>
      <c r="K199" s="2"/>
      <c r="L199" s="127"/>
      <c r="M199" s="2"/>
      <c r="N199" s="127"/>
      <c r="O199" s="2" t="s">
        <v>2678</v>
      </c>
      <c r="P199" s="3" t="str">
        <f t="shared" si="14"/>
        <v>NR</v>
      </c>
      <c r="Q199" s="143" t="s">
        <v>2703</v>
      </c>
      <c r="R199" s="127">
        <f t="shared" si="12"/>
        <v>0</v>
      </c>
      <c r="S199" s="118">
        <f t="shared" si="15"/>
        <v>0</v>
      </c>
    </row>
    <row r="200" spans="1:19" hidden="1">
      <c r="A200">
        <v>231</v>
      </c>
      <c r="B200" s="42" t="s">
        <v>32</v>
      </c>
      <c r="C200" s="313">
        <f>SUMIF('Employees Supported'!$A$2:$A$29,$B200,'Employees Supported'!$C$2:$C$29)</f>
        <v>400</v>
      </c>
      <c r="D200" s="313"/>
      <c r="E200" s="2">
        <v>8</v>
      </c>
      <c r="F200" t="s">
        <v>82</v>
      </c>
      <c r="G200" t="str">
        <f t="shared" si="13"/>
        <v>Seattle CtrHand Sanitizer (12oz or equiv)</v>
      </c>
      <c r="H200" s="2" t="s">
        <v>83</v>
      </c>
      <c r="I200" s="2"/>
      <c r="K200" s="2"/>
      <c r="L200" s="127"/>
      <c r="M200" s="2"/>
      <c r="N200" s="127"/>
      <c r="O200" s="2" t="s">
        <v>2678</v>
      </c>
      <c r="P200" s="3" t="str">
        <f t="shared" si="14"/>
        <v>NR</v>
      </c>
      <c r="R200" s="127">
        <f t="shared" si="12"/>
        <v>0</v>
      </c>
      <c r="S200" s="118">
        <f t="shared" si="15"/>
        <v>0</v>
      </c>
    </row>
    <row r="201" spans="1:19" hidden="1">
      <c r="A201">
        <v>232</v>
      </c>
      <c r="B201" s="42" t="s">
        <v>32</v>
      </c>
      <c r="C201" s="313">
        <f>SUMIF('Employees Supported'!$A$2:$A$29,$B201,'Employees Supported'!$C$2:$C$29)</f>
        <v>400</v>
      </c>
      <c r="D201" s="313"/>
      <c r="E201" s="2">
        <v>9</v>
      </c>
      <c r="F201" t="s">
        <v>84</v>
      </c>
      <c r="G201" t="str">
        <f t="shared" si="13"/>
        <v>Seattle CtrPurell (1200 ml stand refill)</v>
      </c>
      <c r="H201" s="2" t="s">
        <v>85</v>
      </c>
      <c r="I201" s="2"/>
      <c r="K201" s="2"/>
      <c r="L201" s="127"/>
      <c r="M201" s="2"/>
      <c r="N201" s="127">
        <v>234</v>
      </c>
      <c r="O201" s="2"/>
      <c r="P201" s="3">
        <f t="shared" si="14"/>
        <v>234</v>
      </c>
      <c r="R201" s="127">
        <f t="shared" si="12"/>
        <v>2.6</v>
      </c>
      <c r="S201" s="118">
        <f t="shared" si="15"/>
        <v>18.2</v>
      </c>
    </row>
    <row r="202" spans="1:19" ht="16" hidden="1">
      <c r="A202">
        <v>233</v>
      </c>
      <c r="B202" s="42" t="s">
        <v>32</v>
      </c>
      <c r="C202" s="313">
        <f>SUMIF('Employees Supported'!$A$2:$A$29,$B202,'Employees Supported'!$C$2:$C$29)</f>
        <v>400</v>
      </c>
      <c r="D202" s="313"/>
      <c r="E202" s="2">
        <v>10</v>
      </c>
      <c r="F202" t="s">
        <v>89</v>
      </c>
      <c r="G202" t="str">
        <f t="shared" si="13"/>
        <v>Seattle CtrThermometers</v>
      </c>
      <c r="H202" s="2" t="s">
        <v>67</v>
      </c>
      <c r="I202" s="2"/>
      <c r="K202" s="2"/>
      <c r="L202" s="127"/>
      <c r="M202" s="2"/>
      <c r="N202" s="127"/>
      <c r="O202" s="2" t="s">
        <v>2678</v>
      </c>
      <c r="P202" s="3" t="str">
        <f t="shared" si="14"/>
        <v>NR</v>
      </c>
      <c r="Q202" s="143" t="s">
        <v>2691</v>
      </c>
      <c r="R202" s="127">
        <f t="shared" si="12"/>
        <v>0</v>
      </c>
      <c r="S202" s="118">
        <f t="shared" si="15"/>
        <v>0</v>
      </c>
    </row>
    <row r="203" spans="1:19" ht="16" hidden="1">
      <c r="A203">
        <v>234</v>
      </c>
      <c r="B203" s="42" t="s">
        <v>32</v>
      </c>
      <c r="C203" s="313">
        <f>SUMIF('Employees Supported'!$A$2:$A$29,$B203,'Employees Supported'!$C$2:$C$29)</f>
        <v>400</v>
      </c>
      <c r="D203" s="313"/>
      <c r="E203" s="2">
        <v>11</v>
      </c>
      <c r="F203" t="s">
        <v>86</v>
      </c>
      <c r="G203" t="str">
        <f t="shared" si="13"/>
        <v>Seattle CtrIsopropyl Alcohol (16oz or equiv)</v>
      </c>
      <c r="H203" s="2" t="s">
        <v>83</v>
      </c>
      <c r="I203" s="2"/>
      <c r="K203" s="2"/>
      <c r="L203" s="127"/>
      <c r="M203" s="2"/>
      <c r="N203" s="127"/>
      <c r="O203" s="2" t="s">
        <v>2678</v>
      </c>
      <c r="P203" s="3" t="str">
        <f t="shared" si="14"/>
        <v>NR</v>
      </c>
      <c r="Q203" s="143" t="s">
        <v>2703</v>
      </c>
      <c r="R203" s="127">
        <f t="shared" si="12"/>
        <v>0</v>
      </c>
      <c r="S203" s="118">
        <f t="shared" si="15"/>
        <v>0</v>
      </c>
    </row>
    <row r="204" spans="1:19" hidden="1">
      <c r="A204">
        <v>235</v>
      </c>
      <c r="B204" s="42" t="s">
        <v>32</v>
      </c>
      <c r="C204" s="313">
        <f>SUMIF('Employees Supported'!$A$2:$A$29,$B204,'Employees Supported'!$C$2:$C$29)</f>
        <v>400</v>
      </c>
      <c r="D204" s="313"/>
      <c r="E204" s="2">
        <v>12</v>
      </c>
      <c r="F204" t="s">
        <v>93</v>
      </c>
      <c r="G204" t="str">
        <f t="shared" si="13"/>
        <v>Seattle CtrHand Soap</v>
      </c>
      <c r="H204" s="2" t="s">
        <v>83</v>
      </c>
      <c r="I204" s="2"/>
      <c r="K204" s="2"/>
      <c r="L204" s="127"/>
      <c r="M204" s="2">
        <v>4</v>
      </c>
      <c r="N204" s="127"/>
      <c r="O204" s="2"/>
      <c r="P204" s="3">
        <f t="shared" si="14"/>
        <v>1600</v>
      </c>
      <c r="R204" s="127">
        <f t="shared" si="12"/>
        <v>17.777777777777779</v>
      </c>
      <c r="S204" s="118">
        <f t="shared" si="15"/>
        <v>124.44444444444446</v>
      </c>
    </row>
    <row r="205" spans="1:19" ht="16" hidden="1">
      <c r="A205">
        <v>236</v>
      </c>
      <c r="B205" s="42" t="s">
        <v>32</v>
      </c>
      <c r="C205" s="313">
        <f>SUMIF('Employees Supported'!$A$2:$A$29,$B205,'Employees Supported'!$C$2:$C$29)</f>
        <v>400</v>
      </c>
      <c r="D205" s="313"/>
      <c r="E205" s="2">
        <v>13</v>
      </c>
      <c r="F205" t="s">
        <v>75</v>
      </c>
      <c r="G205" t="str">
        <f t="shared" si="13"/>
        <v>Seattle CtrTyvek Suits w/hoods</v>
      </c>
      <c r="H205" s="2" t="s">
        <v>67</v>
      </c>
      <c r="I205" s="2"/>
      <c r="K205" s="2"/>
      <c r="L205" s="127"/>
      <c r="M205" s="2"/>
      <c r="N205" s="127"/>
      <c r="O205" s="2" t="s">
        <v>2678</v>
      </c>
      <c r="P205" s="3" t="str">
        <f t="shared" si="14"/>
        <v>NR</v>
      </c>
      <c r="Q205" s="143" t="s">
        <v>2691</v>
      </c>
      <c r="R205" s="127">
        <f t="shared" si="12"/>
        <v>0</v>
      </c>
      <c r="S205" s="118">
        <f t="shared" si="15"/>
        <v>0</v>
      </c>
    </row>
    <row r="206" spans="1:19" ht="16" hidden="1">
      <c r="A206">
        <v>237</v>
      </c>
      <c r="B206" s="42" t="s">
        <v>32</v>
      </c>
      <c r="C206" s="313">
        <f>SUMIF('Employees Supported'!$A$2:$A$29,$B206,'Employees Supported'!$C$2:$C$29)</f>
        <v>400</v>
      </c>
      <c r="D206" s="313"/>
      <c r="E206" s="2">
        <v>14</v>
      </c>
      <c r="F206" t="s">
        <v>74</v>
      </c>
      <c r="G206" t="str">
        <f t="shared" si="13"/>
        <v>Seattle CtrTyvek Suits</v>
      </c>
      <c r="H206" s="2" t="s">
        <v>67</v>
      </c>
      <c r="I206" s="2"/>
      <c r="K206" s="2"/>
      <c r="L206" s="127"/>
      <c r="M206" s="2"/>
      <c r="N206" s="127"/>
      <c r="O206" s="2" t="s">
        <v>2678</v>
      </c>
      <c r="P206" s="3" t="str">
        <f t="shared" si="14"/>
        <v>NR</v>
      </c>
      <c r="Q206" s="143" t="s">
        <v>2691</v>
      </c>
      <c r="R206" s="127">
        <f t="shared" si="12"/>
        <v>0</v>
      </c>
      <c r="S206" s="118">
        <f t="shared" si="15"/>
        <v>0</v>
      </c>
    </row>
    <row r="207" spans="1:19" hidden="1">
      <c r="A207">
        <v>238</v>
      </c>
      <c r="B207" s="42" t="s">
        <v>32</v>
      </c>
      <c r="C207" s="313">
        <f>SUMIF('Employees Supported'!$A$2:$A$29,$B207,'Employees Supported'!$C$2:$C$29)</f>
        <v>400</v>
      </c>
      <c r="D207" s="313"/>
      <c r="E207" s="2">
        <v>15</v>
      </c>
      <c r="F207" t="s">
        <v>94</v>
      </c>
      <c r="G207" t="str">
        <f t="shared" si="13"/>
        <v>Seattle CtrFacial Tissue</v>
      </c>
      <c r="H207" s="2" t="s">
        <v>85</v>
      </c>
      <c r="I207" s="2"/>
      <c r="K207" s="2"/>
      <c r="L207" s="127"/>
      <c r="M207" s="2"/>
      <c r="N207" s="127"/>
      <c r="O207" s="2" t="s">
        <v>2678</v>
      </c>
      <c r="P207" s="3" t="str">
        <f t="shared" si="14"/>
        <v>NR</v>
      </c>
      <c r="R207" s="127">
        <f t="shared" si="12"/>
        <v>0</v>
      </c>
      <c r="S207" s="118">
        <f t="shared" si="15"/>
        <v>0</v>
      </c>
    </row>
    <row r="208" spans="1:19" ht="32" hidden="1">
      <c r="A208">
        <v>239</v>
      </c>
      <c r="B208" s="42" t="s">
        <v>32</v>
      </c>
      <c r="C208" s="313">
        <f>SUMIF('Employees Supported'!$A$2:$A$29,$B208,'Employees Supported'!$C$2:$C$29)</f>
        <v>400</v>
      </c>
      <c r="D208" s="313"/>
      <c r="E208" s="2">
        <v>16</v>
      </c>
      <c r="F208" t="s">
        <v>69</v>
      </c>
      <c r="G208" t="str">
        <f t="shared" si="13"/>
        <v>Seattle CtrMasks (Cloth)</v>
      </c>
      <c r="H208" s="2" t="s">
        <v>67</v>
      </c>
      <c r="I208" s="2"/>
      <c r="K208" s="2"/>
      <c r="L208" s="127"/>
      <c r="M208" s="2"/>
      <c r="N208" s="127"/>
      <c r="O208" s="2" t="s">
        <v>2678</v>
      </c>
      <c r="P208" s="3" t="str">
        <f t="shared" si="14"/>
        <v>NR</v>
      </c>
      <c r="Q208" s="143" t="s">
        <v>2704</v>
      </c>
      <c r="R208" s="127">
        <f t="shared" si="12"/>
        <v>0</v>
      </c>
      <c r="S208" s="118">
        <f t="shared" si="15"/>
        <v>0</v>
      </c>
    </row>
    <row r="209" spans="1:19" ht="16" hidden="1">
      <c r="A209">
        <v>240</v>
      </c>
      <c r="B209" s="42" t="s">
        <v>32</v>
      </c>
      <c r="C209" s="313">
        <f>SUMIF('Employees Supported'!$A$2:$A$29,$B209,'Employees Supported'!$C$2:$C$29)</f>
        <v>400</v>
      </c>
      <c r="D209" s="313"/>
      <c r="E209" s="2">
        <v>17</v>
      </c>
      <c r="F209" t="s">
        <v>77</v>
      </c>
      <c r="G209" t="str">
        <f t="shared" si="13"/>
        <v>Seattle CtrGoggles</v>
      </c>
      <c r="H209" s="2" t="s">
        <v>67</v>
      </c>
      <c r="I209" s="2"/>
      <c r="K209" s="2"/>
      <c r="L209" s="127"/>
      <c r="M209" s="2"/>
      <c r="N209" s="127"/>
      <c r="O209" s="2" t="s">
        <v>2678</v>
      </c>
      <c r="P209" s="3" t="str">
        <f t="shared" si="14"/>
        <v>NR</v>
      </c>
      <c r="Q209" s="143" t="s">
        <v>2680</v>
      </c>
      <c r="R209" s="127">
        <f t="shared" si="12"/>
        <v>0</v>
      </c>
      <c r="S209" s="118">
        <f t="shared" si="15"/>
        <v>0</v>
      </c>
    </row>
    <row r="210" spans="1:19" ht="16" hidden="1">
      <c r="A210">
        <v>241</v>
      </c>
      <c r="B210" s="42" t="s">
        <v>32</v>
      </c>
      <c r="C210" s="313">
        <f>SUMIF('Employees Supported'!$A$2:$A$29,$B210,'Employees Supported'!$C$2:$C$29)</f>
        <v>400</v>
      </c>
      <c r="D210" s="313"/>
      <c r="E210" s="2">
        <v>18</v>
      </c>
      <c r="F210" t="s">
        <v>76</v>
      </c>
      <c r="G210" t="str">
        <f t="shared" si="13"/>
        <v>Seattle CtrFace Shields</v>
      </c>
      <c r="H210" s="2" t="s">
        <v>67</v>
      </c>
      <c r="I210" s="2"/>
      <c r="K210" s="2"/>
      <c r="L210" s="127"/>
      <c r="M210" s="2"/>
      <c r="N210" s="127"/>
      <c r="O210" s="2" t="s">
        <v>2678</v>
      </c>
      <c r="P210" s="3" t="str">
        <f t="shared" si="14"/>
        <v>NR</v>
      </c>
      <c r="Q210" s="143" t="s">
        <v>2680</v>
      </c>
      <c r="R210" s="127">
        <f t="shared" si="12"/>
        <v>0</v>
      </c>
      <c r="S210" s="118">
        <f t="shared" si="15"/>
        <v>0</v>
      </c>
    </row>
    <row r="211" spans="1:19" hidden="1">
      <c r="A211">
        <v>242</v>
      </c>
      <c r="B211" s="42" t="s">
        <v>32</v>
      </c>
      <c r="C211" s="313">
        <f>SUMIF('Employees Supported'!$A$2:$A$29,$B211,'Employees Supported'!$C$2:$C$29)</f>
        <v>400</v>
      </c>
      <c r="D211" s="313"/>
      <c r="E211" s="2">
        <v>19</v>
      </c>
      <c r="F211" t="s">
        <v>97</v>
      </c>
      <c r="G211" t="str">
        <f t="shared" si="13"/>
        <v>Seattle CtrToilet Paper</v>
      </c>
      <c r="H211" s="2" t="s">
        <v>98</v>
      </c>
      <c r="I211" s="2"/>
      <c r="K211" s="2"/>
      <c r="L211" s="127"/>
      <c r="M211" s="2"/>
      <c r="N211" s="127"/>
      <c r="O211" s="2" t="s">
        <v>2678</v>
      </c>
      <c r="P211" s="3" t="str">
        <f t="shared" si="14"/>
        <v>NR</v>
      </c>
      <c r="R211" s="127">
        <f t="shared" si="12"/>
        <v>0</v>
      </c>
      <c r="S211" s="118">
        <f t="shared" si="15"/>
        <v>0</v>
      </c>
    </row>
    <row r="212" spans="1:19">
      <c r="A212">
        <f>+A211+1</f>
        <v>243</v>
      </c>
      <c r="B212" s="42" t="s">
        <v>23</v>
      </c>
      <c r="C212" s="313">
        <v>6500</v>
      </c>
      <c r="E212" s="2">
        <v>20</v>
      </c>
      <c r="F212" t="s">
        <v>95</v>
      </c>
      <c r="G212" t="str">
        <f t="shared" si="13"/>
        <v>FAS-CentralizedPaper Towels</v>
      </c>
      <c r="H212" s="2" t="s">
        <v>67</v>
      </c>
      <c r="O212" s="2" t="s">
        <v>2678</v>
      </c>
      <c r="P212" s="3" t="str">
        <f t="shared" si="14"/>
        <v>NR</v>
      </c>
      <c r="R212" s="127">
        <f t="shared" ref="R212:R267" si="16">SUM(P212)/90</f>
        <v>0</v>
      </c>
      <c r="S212" s="118">
        <f t="shared" si="15"/>
        <v>0</v>
      </c>
    </row>
    <row r="213" spans="1:19" hidden="1">
      <c r="A213">
        <f t="shared" ref="A213:A276" si="17">+A212+1</f>
        <v>244</v>
      </c>
      <c r="B213" s="42" t="s">
        <v>25</v>
      </c>
      <c r="C213" s="313">
        <f>SUMIF('Employees Supported'!$A$2:$A$29,$B213,'Employees Supported'!$C$2:$C$29)</f>
        <v>1500</v>
      </c>
      <c r="E213" s="2">
        <v>20</v>
      </c>
      <c r="F213" t="s">
        <v>95</v>
      </c>
      <c r="G213" t="str">
        <f t="shared" ref="G213:G223" si="18">_xlfn.SINGLE(_xlfn.CONCAT(B213,F213))</f>
        <v>SPDPaper Towels</v>
      </c>
      <c r="H213" s="2" t="s">
        <v>67</v>
      </c>
      <c r="O213" s="2" t="s">
        <v>2678</v>
      </c>
      <c r="P213" s="3" t="str">
        <f t="shared" si="14"/>
        <v>NR</v>
      </c>
      <c r="R213" s="127">
        <f t="shared" si="16"/>
        <v>0</v>
      </c>
      <c r="S213" s="118">
        <f t="shared" si="15"/>
        <v>0</v>
      </c>
    </row>
    <row r="214" spans="1:19" hidden="1">
      <c r="A214">
        <f t="shared" si="17"/>
        <v>245</v>
      </c>
      <c r="B214" s="42" t="s">
        <v>24</v>
      </c>
      <c r="C214" s="313">
        <f>SUMIF('Employees Supported'!$A$2:$A$29,$B214,'Employees Supported'!$C$2:$C$29)</f>
        <v>1100</v>
      </c>
      <c r="E214" s="2">
        <v>20</v>
      </c>
      <c r="F214" t="s">
        <v>95</v>
      </c>
      <c r="G214" t="str">
        <f t="shared" si="18"/>
        <v>SFDPaper Towels</v>
      </c>
      <c r="H214" s="2" t="s">
        <v>67</v>
      </c>
      <c r="O214" s="2" t="s">
        <v>2678</v>
      </c>
      <c r="P214" s="3" t="str">
        <f t="shared" si="14"/>
        <v>NR</v>
      </c>
      <c r="R214" s="127">
        <f t="shared" si="16"/>
        <v>0</v>
      </c>
      <c r="S214" s="118">
        <f t="shared" si="15"/>
        <v>0</v>
      </c>
    </row>
    <row r="215" spans="1:19" hidden="1">
      <c r="A215">
        <f t="shared" si="17"/>
        <v>246</v>
      </c>
      <c r="B215" s="42" t="s">
        <v>28</v>
      </c>
      <c r="C215" s="313">
        <f>SUMIF('Employees Supported'!$A$2:$A$29,$B215,'Employees Supported'!$C$2:$C$29)</f>
        <v>1100</v>
      </c>
      <c r="E215" s="2">
        <v>20</v>
      </c>
      <c r="F215" t="s">
        <v>95</v>
      </c>
      <c r="G215" t="str">
        <f t="shared" si="18"/>
        <v>SDOTPaper Towels</v>
      </c>
      <c r="H215" s="2" t="s">
        <v>67</v>
      </c>
      <c r="O215" s="2" t="s">
        <v>2678</v>
      </c>
      <c r="P215" s="3" t="str">
        <f t="shared" si="14"/>
        <v>NR</v>
      </c>
      <c r="R215" s="127">
        <f t="shared" si="16"/>
        <v>0</v>
      </c>
      <c r="S215" s="118">
        <f t="shared" si="15"/>
        <v>0</v>
      </c>
    </row>
    <row r="216" spans="1:19" hidden="1">
      <c r="A216">
        <f t="shared" si="17"/>
        <v>247</v>
      </c>
      <c r="B216" s="42" t="s">
        <v>33</v>
      </c>
      <c r="C216" s="313">
        <f>SUMIF('Employees Supported'!$A$2:$A$29,$B216,'Employees Supported'!$C$2:$C$29)</f>
        <v>400</v>
      </c>
      <c r="E216" s="2">
        <v>20</v>
      </c>
      <c r="F216" t="s">
        <v>95</v>
      </c>
      <c r="G216" t="str">
        <f t="shared" si="18"/>
        <v>SCLPaper Towels</v>
      </c>
      <c r="H216" s="2" t="s">
        <v>67</v>
      </c>
      <c r="O216" s="2" t="s">
        <v>2678</v>
      </c>
      <c r="P216" s="3" t="str">
        <f t="shared" si="14"/>
        <v>NR</v>
      </c>
      <c r="R216" s="127">
        <f t="shared" si="16"/>
        <v>0</v>
      </c>
      <c r="S216" s="118">
        <f t="shared" si="15"/>
        <v>0</v>
      </c>
    </row>
    <row r="217" spans="1:19" hidden="1">
      <c r="A217">
        <f t="shared" si="17"/>
        <v>248</v>
      </c>
      <c r="B217" s="42" t="s">
        <v>31</v>
      </c>
      <c r="C217" s="313">
        <f>SUMIF('Employees Supported'!$A$2:$A$29,$B217,'Employees Supported'!$C$2:$C$29)</f>
        <v>700</v>
      </c>
      <c r="E217" s="2">
        <v>20</v>
      </c>
      <c r="F217" t="s">
        <v>95</v>
      </c>
      <c r="G217" t="str">
        <f t="shared" si="18"/>
        <v>SeaITPaper Towels</v>
      </c>
      <c r="H217" s="2" t="s">
        <v>67</v>
      </c>
      <c r="O217" s="2" t="s">
        <v>2678</v>
      </c>
      <c r="P217" s="3" t="str">
        <f t="shared" si="14"/>
        <v>NR</v>
      </c>
      <c r="R217" s="127">
        <f t="shared" si="16"/>
        <v>0</v>
      </c>
      <c r="S217" s="118">
        <f t="shared" si="15"/>
        <v>0</v>
      </c>
    </row>
    <row r="218" spans="1:19" hidden="1">
      <c r="A218">
        <f t="shared" si="17"/>
        <v>249</v>
      </c>
      <c r="B218" s="42" t="s">
        <v>29</v>
      </c>
      <c r="C218" s="313">
        <f>SUMIF('Employees Supported'!$A$2:$A$29,$B218,'Employees Supported'!$C$2:$C$29)</f>
        <v>550</v>
      </c>
      <c r="E218" s="2">
        <v>20</v>
      </c>
      <c r="F218" t="s">
        <v>95</v>
      </c>
      <c r="G218" t="str">
        <f t="shared" si="18"/>
        <v>SDCIPaper Towels</v>
      </c>
      <c r="H218" s="2" t="s">
        <v>67</v>
      </c>
      <c r="O218" s="2" t="s">
        <v>2678</v>
      </c>
      <c r="P218" s="3" t="str">
        <f t="shared" si="14"/>
        <v>NR</v>
      </c>
      <c r="R218" s="127">
        <f t="shared" si="16"/>
        <v>0</v>
      </c>
      <c r="S218" s="118">
        <f t="shared" si="15"/>
        <v>0</v>
      </c>
    </row>
    <row r="219" spans="1:19" hidden="1">
      <c r="A219">
        <f t="shared" si="17"/>
        <v>250</v>
      </c>
      <c r="B219" s="42" t="s">
        <v>27</v>
      </c>
      <c r="C219" s="313">
        <f>SUMIF('Employees Supported'!$A$2:$A$29,$B219,'Employees Supported'!$C$2:$C$29)</f>
        <v>400</v>
      </c>
      <c r="E219" s="2">
        <v>20</v>
      </c>
      <c r="F219" t="s">
        <v>95</v>
      </c>
      <c r="G219" t="str">
        <f t="shared" si="18"/>
        <v>SPUPaper Towels</v>
      </c>
      <c r="H219" s="2" t="s">
        <v>67</v>
      </c>
      <c r="O219" s="2" t="s">
        <v>2678</v>
      </c>
      <c r="P219" s="3" t="str">
        <f t="shared" si="14"/>
        <v>NR</v>
      </c>
      <c r="R219" s="127">
        <f t="shared" si="16"/>
        <v>0</v>
      </c>
      <c r="S219" s="118">
        <f t="shared" si="15"/>
        <v>0</v>
      </c>
    </row>
    <row r="220" spans="1:19" hidden="1">
      <c r="A220">
        <f t="shared" si="17"/>
        <v>251</v>
      </c>
      <c r="B220" s="42" t="s">
        <v>30</v>
      </c>
      <c r="C220" s="313">
        <f>SUMIF('Employees Supported'!$A$2:$A$29,$B220,'Employees Supported'!$C$2:$C$29)</f>
        <v>300</v>
      </c>
      <c r="E220" s="2">
        <v>20</v>
      </c>
      <c r="F220" t="s">
        <v>95</v>
      </c>
      <c r="G220" t="str">
        <f t="shared" si="18"/>
        <v>LibrariesPaper Towels</v>
      </c>
      <c r="H220" s="2" t="s">
        <v>67</v>
      </c>
      <c r="O220" s="2" t="s">
        <v>2678</v>
      </c>
      <c r="P220" s="3" t="str">
        <f t="shared" si="14"/>
        <v>NR</v>
      </c>
      <c r="R220" s="127">
        <f t="shared" si="16"/>
        <v>0</v>
      </c>
      <c r="S220" s="118">
        <f t="shared" si="15"/>
        <v>0</v>
      </c>
    </row>
    <row r="221" spans="1:19" hidden="1">
      <c r="A221">
        <f t="shared" si="17"/>
        <v>252</v>
      </c>
      <c r="B221" s="42" t="s">
        <v>26</v>
      </c>
      <c r="C221" s="313">
        <f>SUMIF('Employees Supported'!$A$2:$A$29,$B221,'Employees Supported'!$C$2:$C$29)</f>
        <v>400</v>
      </c>
      <c r="E221" s="2">
        <v>20</v>
      </c>
      <c r="F221" t="s">
        <v>95</v>
      </c>
      <c r="G221" t="str">
        <f t="shared" si="18"/>
        <v>ParksPaper Towels</v>
      </c>
      <c r="H221" s="2" t="s">
        <v>67</v>
      </c>
      <c r="O221" s="2" t="s">
        <v>2678</v>
      </c>
      <c r="P221" s="3" t="str">
        <f t="shared" si="14"/>
        <v>NR</v>
      </c>
      <c r="R221" s="127">
        <f t="shared" si="16"/>
        <v>0</v>
      </c>
      <c r="S221" s="118">
        <f t="shared" si="15"/>
        <v>0</v>
      </c>
    </row>
    <row r="222" spans="1:19" hidden="1">
      <c r="A222">
        <f t="shared" si="17"/>
        <v>253</v>
      </c>
      <c r="B222" s="42" t="s">
        <v>32</v>
      </c>
      <c r="C222" s="313">
        <f>SUMIF('Employees Supported'!$A$2:$A$29,$B222,'Employees Supported'!$C$2:$C$29)</f>
        <v>400</v>
      </c>
      <c r="E222" s="2">
        <v>20</v>
      </c>
      <c r="F222" t="s">
        <v>95</v>
      </c>
      <c r="G222" t="str">
        <f t="shared" si="18"/>
        <v>Seattle CtrPaper Towels</v>
      </c>
      <c r="H222" s="2" t="s">
        <v>67</v>
      </c>
      <c r="O222" s="2" t="s">
        <v>2678</v>
      </c>
      <c r="P222" s="3" t="str">
        <f t="shared" si="14"/>
        <v>NR</v>
      </c>
      <c r="R222" s="127">
        <f t="shared" si="16"/>
        <v>0</v>
      </c>
      <c r="S222" s="118">
        <f t="shared" si="15"/>
        <v>0</v>
      </c>
    </row>
    <row r="223" spans="1:19">
      <c r="A223">
        <f t="shared" si="17"/>
        <v>254</v>
      </c>
      <c r="B223" s="42" t="s">
        <v>23</v>
      </c>
      <c r="C223" s="313">
        <v>6500</v>
      </c>
      <c r="E223" s="2">
        <v>21</v>
      </c>
      <c r="F223" t="s">
        <v>90</v>
      </c>
      <c r="G223" t="str">
        <f t="shared" si="18"/>
        <v>FAS-CentralizedPurell Stands/Dispensers</v>
      </c>
      <c r="H223" s="2" t="s">
        <v>67</v>
      </c>
      <c r="O223" s="2" t="s">
        <v>2678</v>
      </c>
      <c r="P223" s="3" t="str">
        <f t="shared" ref="P223:P233" si="19">IF(O223="NR","NR",((((C223+D223)*I223)*90)+(J223*90)+(((C223+D223)*K223)*3)+(L223*3)+((C223+D223)*M223)+N223))</f>
        <v>NR</v>
      </c>
      <c r="R223" s="127">
        <f t="shared" si="16"/>
        <v>0</v>
      </c>
      <c r="S223" s="118">
        <f t="shared" si="15"/>
        <v>0</v>
      </c>
    </row>
    <row r="224" spans="1:19" hidden="1">
      <c r="A224">
        <f t="shared" si="17"/>
        <v>255</v>
      </c>
      <c r="B224" s="42" t="s">
        <v>25</v>
      </c>
      <c r="C224" s="313">
        <f>SUMIF('Employees Supported'!$A$2:$A$29,$B224,'Employees Supported'!$C$2:$C$29)</f>
        <v>1500</v>
      </c>
      <c r="E224" s="2">
        <v>21</v>
      </c>
      <c r="F224" t="s">
        <v>90</v>
      </c>
      <c r="G224" t="str">
        <f t="shared" ref="G224:G234" si="20">_xlfn.SINGLE(_xlfn.CONCAT(B224,F224))</f>
        <v>SPDPurell Stands/Dispensers</v>
      </c>
      <c r="H224" s="2" t="s">
        <v>67</v>
      </c>
      <c r="O224" s="2" t="s">
        <v>2678</v>
      </c>
      <c r="P224" s="3" t="str">
        <f t="shared" si="19"/>
        <v>NR</v>
      </c>
      <c r="R224" s="127">
        <f t="shared" si="16"/>
        <v>0</v>
      </c>
      <c r="S224" s="118">
        <f t="shared" si="15"/>
        <v>0</v>
      </c>
    </row>
    <row r="225" spans="1:19" hidden="1">
      <c r="A225">
        <f t="shared" si="17"/>
        <v>256</v>
      </c>
      <c r="B225" s="42" t="s">
        <v>24</v>
      </c>
      <c r="C225" s="313">
        <f>SUMIF('Employees Supported'!$A$2:$A$29,$B225,'Employees Supported'!$C$2:$C$29)</f>
        <v>1100</v>
      </c>
      <c r="E225" s="2">
        <v>21</v>
      </c>
      <c r="F225" t="s">
        <v>90</v>
      </c>
      <c r="G225" t="str">
        <f t="shared" si="20"/>
        <v>SFDPurell Stands/Dispensers</v>
      </c>
      <c r="H225" s="2" t="s">
        <v>67</v>
      </c>
      <c r="O225" s="2" t="s">
        <v>2678</v>
      </c>
      <c r="P225" s="3" t="str">
        <f t="shared" si="19"/>
        <v>NR</v>
      </c>
      <c r="R225" s="127">
        <f t="shared" si="16"/>
        <v>0</v>
      </c>
      <c r="S225" s="118">
        <f t="shared" si="15"/>
        <v>0</v>
      </c>
    </row>
    <row r="226" spans="1:19" hidden="1">
      <c r="A226">
        <f t="shared" si="17"/>
        <v>257</v>
      </c>
      <c r="B226" s="42" t="s">
        <v>28</v>
      </c>
      <c r="C226" s="313">
        <f>SUMIF('Employees Supported'!$A$2:$A$29,$B226,'Employees Supported'!$C$2:$C$29)</f>
        <v>1100</v>
      </c>
      <c r="E226" s="2">
        <v>21</v>
      </c>
      <c r="F226" t="s">
        <v>90</v>
      </c>
      <c r="G226" t="str">
        <f t="shared" si="20"/>
        <v>SDOTPurell Stands/Dispensers</v>
      </c>
      <c r="H226" s="2" t="s">
        <v>67</v>
      </c>
      <c r="O226" s="2" t="s">
        <v>2678</v>
      </c>
      <c r="P226" s="3" t="str">
        <f t="shared" si="19"/>
        <v>NR</v>
      </c>
      <c r="R226" s="127">
        <f t="shared" si="16"/>
        <v>0</v>
      </c>
      <c r="S226" s="118">
        <f t="shared" si="15"/>
        <v>0</v>
      </c>
    </row>
    <row r="227" spans="1:19" hidden="1">
      <c r="A227">
        <f t="shared" si="17"/>
        <v>258</v>
      </c>
      <c r="B227" s="42" t="s">
        <v>33</v>
      </c>
      <c r="C227" s="313">
        <f>SUMIF('Employees Supported'!$A$2:$A$29,$B227,'Employees Supported'!$C$2:$C$29)</f>
        <v>400</v>
      </c>
      <c r="E227" s="2">
        <v>21</v>
      </c>
      <c r="F227" t="s">
        <v>90</v>
      </c>
      <c r="G227" t="str">
        <f t="shared" si="20"/>
        <v>SCLPurell Stands/Dispensers</v>
      </c>
      <c r="H227" s="2" t="s">
        <v>67</v>
      </c>
      <c r="O227" s="2" t="s">
        <v>2678</v>
      </c>
      <c r="P227" s="3" t="str">
        <f t="shared" si="19"/>
        <v>NR</v>
      </c>
      <c r="R227" s="127">
        <f t="shared" si="16"/>
        <v>0</v>
      </c>
      <c r="S227" s="118">
        <f t="shared" si="15"/>
        <v>0</v>
      </c>
    </row>
    <row r="228" spans="1:19" hidden="1">
      <c r="A228">
        <f t="shared" si="17"/>
        <v>259</v>
      </c>
      <c r="B228" s="42" t="s">
        <v>31</v>
      </c>
      <c r="C228" s="313">
        <f>SUMIF('Employees Supported'!$A$2:$A$29,$B228,'Employees Supported'!$C$2:$C$29)</f>
        <v>700</v>
      </c>
      <c r="E228" s="2">
        <v>21</v>
      </c>
      <c r="F228" t="s">
        <v>90</v>
      </c>
      <c r="G228" t="str">
        <f t="shared" si="20"/>
        <v>SeaITPurell Stands/Dispensers</v>
      </c>
      <c r="H228" s="2" t="s">
        <v>67</v>
      </c>
      <c r="O228" s="2" t="s">
        <v>2678</v>
      </c>
      <c r="P228" s="3" t="str">
        <f t="shared" si="19"/>
        <v>NR</v>
      </c>
      <c r="R228" s="127">
        <f t="shared" si="16"/>
        <v>0</v>
      </c>
      <c r="S228" s="118">
        <f t="shared" si="15"/>
        <v>0</v>
      </c>
    </row>
    <row r="229" spans="1:19" hidden="1">
      <c r="A229">
        <f t="shared" si="17"/>
        <v>260</v>
      </c>
      <c r="B229" s="42" t="s">
        <v>29</v>
      </c>
      <c r="C229" s="313">
        <f>SUMIF('Employees Supported'!$A$2:$A$29,$B229,'Employees Supported'!$C$2:$C$29)</f>
        <v>550</v>
      </c>
      <c r="E229" s="2">
        <v>21</v>
      </c>
      <c r="F229" t="s">
        <v>90</v>
      </c>
      <c r="G229" t="str">
        <f t="shared" si="20"/>
        <v>SDCIPurell Stands/Dispensers</v>
      </c>
      <c r="H229" s="2" t="s">
        <v>67</v>
      </c>
      <c r="O229" s="2" t="s">
        <v>2678</v>
      </c>
      <c r="P229" s="3" t="str">
        <f t="shared" si="19"/>
        <v>NR</v>
      </c>
      <c r="R229" s="127">
        <f t="shared" si="16"/>
        <v>0</v>
      </c>
      <c r="S229" s="118">
        <f t="shared" si="15"/>
        <v>0</v>
      </c>
    </row>
    <row r="230" spans="1:19" hidden="1">
      <c r="A230">
        <f t="shared" si="17"/>
        <v>261</v>
      </c>
      <c r="B230" s="42" t="s">
        <v>27</v>
      </c>
      <c r="C230" s="313">
        <f>SUMIF('Employees Supported'!$A$2:$A$29,$B230,'Employees Supported'!$C$2:$C$29)</f>
        <v>400</v>
      </c>
      <c r="E230" s="2">
        <v>21</v>
      </c>
      <c r="F230" t="s">
        <v>90</v>
      </c>
      <c r="G230" t="str">
        <f t="shared" si="20"/>
        <v>SPUPurell Stands/Dispensers</v>
      </c>
      <c r="H230" s="2" t="s">
        <v>67</v>
      </c>
      <c r="O230" s="2" t="s">
        <v>2678</v>
      </c>
      <c r="P230" s="3" t="str">
        <f t="shared" si="19"/>
        <v>NR</v>
      </c>
      <c r="R230" s="127">
        <f t="shared" si="16"/>
        <v>0</v>
      </c>
      <c r="S230" s="118">
        <f t="shared" si="15"/>
        <v>0</v>
      </c>
    </row>
    <row r="231" spans="1:19" hidden="1">
      <c r="A231">
        <f t="shared" si="17"/>
        <v>262</v>
      </c>
      <c r="B231" s="42" t="s">
        <v>30</v>
      </c>
      <c r="C231" s="313">
        <f>SUMIF('Employees Supported'!$A$2:$A$29,$B231,'Employees Supported'!$C$2:$C$29)</f>
        <v>300</v>
      </c>
      <c r="E231" s="2">
        <v>21</v>
      </c>
      <c r="F231" t="s">
        <v>90</v>
      </c>
      <c r="G231" t="str">
        <f t="shared" si="20"/>
        <v>LibrariesPurell Stands/Dispensers</v>
      </c>
      <c r="H231" s="2" t="s">
        <v>67</v>
      </c>
      <c r="O231" s="2" t="s">
        <v>2678</v>
      </c>
      <c r="P231" s="3" t="str">
        <f t="shared" si="19"/>
        <v>NR</v>
      </c>
      <c r="R231" s="127">
        <f t="shared" si="16"/>
        <v>0</v>
      </c>
      <c r="S231" s="118">
        <f t="shared" si="15"/>
        <v>0</v>
      </c>
    </row>
    <row r="232" spans="1:19" hidden="1">
      <c r="A232">
        <f t="shared" si="17"/>
        <v>263</v>
      </c>
      <c r="B232" s="42" t="s">
        <v>26</v>
      </c>
      <c r="C232" s="313">
        <f>SUMIF('Employees Supported'!$A$2:$A$29,$B232,'Employees Supported'!$C$2:$C$29)</f>
        <v>400</v>
      </c>
      <c r="E232" s="2">
        <v>21</v>
      </c>
      <c r="F232" t="s">
        <v>90</v>
      </c>
      <c r="G232" t="str">
        <f t="shared" si="20"/>
        <v>ParksPurell Stands/Dispensers</v>
      </c>
      <c r="H232" s="2" t="s">
        <v>67</v>
      </c>
      <c r="O232" s="2" t="s">
        <v>2678</v>
      </c>
      <c r="P232" s="3" t="str">
        <f t="shared" si="19"/>
        <v>NR</v>
      </c>
      <c r="R232" s="127">
        <f t="shared" si="16"/>
        <v>0</v>
      </c>
      <c r="S232" s="118">
        <f t="shared" si="15"/>
        <v>0</v>
      </c>
    </row>
    <row r="233" spans="1:19" hidden="1">
      <c r="A233">
        <f t="shared" si="17"/>
        <v>264</v>
      </c>
      <c r="B233" s="42" t="s">
        <v>32</v>
      </c>
      <c r="C233" s="313">
        <f>SUMIF('Employees Supported'!$A$2:$A$29,$B233,'Employees Supported'!$C$2:$C$29)</f>
        <v>400</v>
      </c>
      <c r="E233" s="2">
        <v>21</v>
      </c>
      <c r="F233" t="s">
        <v>90</v>
      </c>
      <c r="G233" t="str">
        <f t="shared" si="20"/>
        <v>Seattle CtrPurell Stands/Dispensers</v>
      </c>
      <c r="H233" s="2" t="s">
        <v>67</v>
      </c>
      <c r="O233" s="2" t="s">
        <v>2678</v>
      </c>
      <c r="P233" s="3" t="str">
        <f t="shared" si="19"/>
        <v>NR</v>
      </c>
      <c r="R233" s="127">
        <f t="shared" si="16"/>
        <v>0</v>
      </c>
      <c r="S233" s="118">
        <f t="shared" si="15"/>
        <v>0</v>
      </c>
    </row>
    <row r="234" spans="1:19">
      <c r="A234">
        <f t="shared" ref="A234:A244" si="21">+A233+1</f>
        <v>265</v>
      </c>
      <c r="B234" s="42" t="s">
        <v>23</v>
      </c>
      <c r="C234" s="313">
        <v>6500</v>
      </c>
      <c r="E234" s="2">
        <v>22</v>
      </c>
      <c r="F234" t="s">
        <v>91</v>
      </c>
      <c r="G234" t="str">
        <f t="shared" si="20"/>
        <v>FAS-CentralizedMask Holders for Dispensers</v>
      </c>
      <c r="H234" s="2" t="s">
        <v>67</v>
      </c>
      <c r="O234" s="2" t="s">
        <v>2678</v>
      </c>
      <c r="P234" s="3" t="str">
        <f t="shared" ref="P234:P244" si="22">IF(O234="NR","NR",((((C234+D234)*I234)*90)+(J234*90)+(((C234+D234)*K234)*3)+(L234*3)+((C234+D234)*M234)+N234))</f>
        <v>NR</v>
      </c>
      <c r="R234" s="127">
        <f t="shared" si="16"/>
        <v>0</v>
      </c>
      <c r="S234" s="118">
        <f t="shared" si="15"/>
        <v>0</v>
      </c>
    </row>
    <row r="235" spans="1:19" hidden="1">
      <c r="A235">
        <f t="shared" si="21"/>
        <v>266</v>
      </c>
      <c r="B235" s="42" t="s">
        <v>25</v>
      </c>
      <c r="C235" s="313">
        <f>SUMIF('Employees Supported'!$A$2:$A$29,$B235,'Employees Supported'!$C$2:$C$29)</f>
        <v>1500</v>
      </c>
      <c r="E235" s="2">
        <v>22</v>
      </c>
      <c r="F235" t="s">
        <v>91</v>
      </c>
      <c r="G235" t="str">
        <f t="shared" ref="G235:G245" si="23">_xlfn.SINGLE(_xlfn.CONCAT(B235,F235))</f>
        <v>SPDMask Holders for Dispensers</v>
      </c>
      <c r="H235" s="2" t="s">
        <v>67</v>
      </c>
      <c r="O235" s="2" t="s">
        <v>2678</v>
      </c>
      <c r="P235" s="3" t="str">
        <f t="shared" si="22"/>
        <v>NR</v>
      </c>
      <c r="R235" s="127">
        <f t="shared" si="16"/>
        <v>0</v>
      </c>
      <c r="S235" s="118">
        <f t="shared" si="15"/>
        <v>0</v>
      </c>
    </row>
    <row r="236" spans="1:19" hidden="1">
      <c r="A236">
        <f t="shared" si="21"/>
        <v>267</v>
      </c>
      <c r="B236" s="42" t="s">
        <v>24</v>
      </c>
      <c r="C236" s="313">
        <f>SUMIF('Employees Supported'!$A$2:$A$29,$B236,'Employees Supported'!$C$2:$C$29)</f>
        <v>1100</v>
      </c>
      <c r="E236" s="2">
        <v>22</v>
      </c>
      <c r="F236" t="s">
        <v>91</v>
      </c>
      <c r="G236" t="str">
        <f t="shared" si="23"/>
        <v>SFDMask Holders for Dispensers</v>
      </c>
      <c r="H236" s="2" t="s">
        <v>67</v>
      </c>
      <c r="O236" s="2" t="s">
        <v>2678</v>
      </c>
      <c r="P236" s="3" t="str">
        <f t="shared" si="22"/>
        <v>NR</v>
      </c>
      <c r="R236" s="127">
        <f t="shared" si="16"/>
        <v>0</v>
      </c>
      <c r="S236" s="118">
        <f t="shared" si="15"/>
        <v>0</v>
      </c>
    </row>
    <row r="237" spans="1:19" hidden="1">
      <c r="A237">
        <f t="shared" si="21"/>
        <v>268</v>
      </c>
      <c r="B237" s="42" t="s">
        <v>28</v>
      </c>
      <c r="C237" s="313">
        <f>SUMIF('Employees Supported'!$A$2:$A$29,$B237,'Employees Supported'!$C$2:$C$29)</f>
        <v>1100</v>
      </c>
      <c r="E237" s="2">
        <v>22</v>
      </c>
      <c r="F237" t="s">
        <v>91</v>
      </c>
      <c r="G237" t="str">
        <f t="shared" si="23"/>
        <v>SDOTMask Holders for Dispensers</v>
      </c>
      <c r="H237" s="2" t="s">
        <v>67</v>
      </c>
      <c r="O237" s="2" t="s">
        <v>2678</v>
      </c>
      <c r="P237" s="3" t="str">
        <f t="shared" si="22"/>
        <v>NR</v>
      </c>
      <c r="R237" s="127">
        <f t="shared" si="16"/>
        <v>0</v>
      </c>
      <c r="S237" s="118">
        <f t="shared" si="15"/>
        <v>0</v>
      </c>
    </row>
    <row r="238" spans="1:19" hidden="1">
      <c r="A238">
        <f t="shared" si="21"/>
        <v>269</v>
      </c>
      <c r="B238" s="42" t="s">
        <v>33</v>
      </c>
      <c r="C238" s="313">
        <f>SUMIF('Employees Supported'!$A$2:$A$29,$B238,'Employees Supported'!$C$2:$C$29)</f>
        <v>400</v>
      </c>
      <c r="E238" s="2">
        <v>22</v>
      </c>
      <c r="F238" t="s">
        <v>91</v>
      </c>
      <c r="G238" t="str">
        <f t="shared" si="23"/>
        <v>SCLMask Holders for Dispensers</v>
      </c>
      <c r="H238" s="2" t="s">
        <v>67</v>
      </c>
      <c r="O238" s="2" t="s">
        <v>2678</v>
      </c>
      <c r="P238" s="3" t="str">
        <f t="shared" si="22"/>
        <v>NR</v>
      </c>
      <c r="R238" s="127">
        <f t="shared" si="16"/>
        <v>0</v>
      </c>
      <c r="S238" s="118">
        <f t="shared" si="15"/>
        <v>0</v>
      </c>
    </row>
    <row r="239" spans="1:19" hidden="1">
      <c r="A239">
        <f t="shared" si="21"/>
        <v>270</v>
      </c>
      <c r="B239" s="42" t="s">
        <v>31</v>
      </c>
      <c r="C239" s="313">
        <f>SUMIF('Employees Supported'!$A$2:$A$29,$B239,'Employees Supported'!$C$2:$C$29)</f>
        <v>700</v>
      </c>
      <c r="E239" s="2">
        <v>22</v>
      </c>
      <c r="F239" t="s">
        <v>91</v>
      </c>
      <c r="G239" t="str">
        <f t="shared" si="23"/>
        <v>SeaITMask Holders for Dispensers</v>
      </c>
      <c r="H239" s="2" t="s">
        <v>67</v>
      </c>
      <c r="O239" s="2" t="s">
        <v>2678</v>
      </c>
      <c r="P239" s="3" t="str">
        <f t="shared" si="22"/>
        <v>NR</v>
      </c>
      <c r="R239" s="127">
        <f t="shared" si="16"/>
        <v>0</v>
      </c>
      <c r="S239" s="118">
        <f t="shared" si="15"/>
        <v>0</v>
      </c>
    </row>
    <row r="240" spans="1:19" hidden="1">
      <c r="A240">
        <f t="shared" si="21"/>
        <v>271</v>
      </c>
      <c r="B240" s="42" t="s">
        <v>29</v>
      </c>
      <c r="C240" s="313">
        <f>SUMIF('Employees Supported'!$A$2:$A$29,$B240,'Employees Supported'!$C$2:$C$29)</f>
        <v>550</v>
      </c>
      <c r="E240" s="2">
        <v>22</v>
      </c>
      <c r="F240" t="s">
        <v>91</v>
      </c>
      <c r="G240" t="str">
        <f t="shared" si="23"/>
        <v>SDCIMask Holders for Dispensers</v>
      </c>
      <c r="H240" s="2" t="s">
        <v>67</v>
      </c>
      <c r="O240" s="2" t="s">
        <v>2678</v>
      </c>
      <c r="P240" s="3" t="str">
        <f t="shared" si="22"/>
        <v>NR</v>
      </c>
      <c r="R240" s="127">
        <f t="shared" si="16"/>
        <v>0</v>
      </c>
      <c r="S240" s="118">
        <f t="shared" si="15"/>
        <v>0</v>
      </c>
    </row>
    <row r="241" spans="1:19" hidden="1">
      <c r="A241">
        <f t="shared" si="21"/>
        <v>272</v>
      </c>
      <c r="B241" s="42" t="s">
        <v>27</v>
      </c>
      <c r="C241" s="313">
        <f>SUMIF('Employees Supported'!$A$2:$A$29,$B241,'Employees Supported'!$C$2:$C$29)</f>
        <v>400</v>
      </c>
      <c r="E241" s="2">
        <v>22</v>
      </c>
      <c r="F241" t="s">
        <v>91</v>
      </c>
      <c r="G241" t="str">
        <f t="shared" si="23"/>
        <v>SPUMask Holders for Dispensers</v>
      </c>
      <c r="H241" s="2" t="s">
        <v>67</v>
      </c>
      <c r="O241" s="2" t="s">
        <v>2678</v>
      </c>
      <c r="P241" s="3" t="str">
        <f t="shared" si="22"/>
        <v>NR</v>
      </c>
      <c r="R241" s="127">
        <f t="shared" si="16"/>
        <v>0</v>
      </c>
      <c r="S241" s="118">
        <f t="shared" si="15"/>
        <v>0</v>
      </c>
    </row>
    <row r="242" spans="1:19" hidden="1">
      <c r="A242">
        <f t="shared" si="21"/>
        <v>273</v>
      </c>
      <c r="B242" s="42" t="s">
        <v>30</v>
      </c>
      <c r="C242" s="313">
        <f>SUMIF('Employees Supported'!$A$2:$A$29,$B242,'Employees Supported'!$C$2:$C$29)</f>
        <v>300</v>
      </c>
      <c r="E242" s="2">
        <v>22</v>
      </c>
      <c r="F242" t="s">
        <v>91</v>
      </c>
      <c r="G242" t="str">
        <f t="shared" si="23"/>
        <v>LibrariesMask Holders for Dispensers</v>
      </c>
      <c r="H242" s="2" t="s">
        <v>67</v>
      </c>
      <c r="O242" s="2" t="s">
        <v>2678</v>
      </c>
      <c r="P242" s="3" t="str">
        <f t="shared" si="22"/>
        <v>NR</v>
      </c>
      <c r="R242" s="127">
        <f t="shared" si="16"/>
        <v>0</v>
      </c>
      <c r="S242" s="118">
        <f t="shared" si="15"/>
        <v>0</v>
      </c>
    </row>
    <row r="243" spans="1:19" hidden="1">
      <c r="A243">
        <f t="shared" si="21"/>
        <v>274</v>
      </c>
      <c r="B243" s="42" t="s">
        <v>26</v>
      </c>
      <c r="C243" s="313">
        <f>SUMIF('Employees Supported'!$A$2:$A$29,$B243,'Employees Supported'!$C$2:$C$29)</f>
        <v>400</v>
      </c>
      <c r="E243" s="2">
        <v>22</v>
      </c>
      <c r="F243" t="s">
        <v>91</v>
      </c>
      <c r="G243" t="str">
        <f t="shared" si="23"/>
        <v>ParksMask Holders for Dispensers</v>
      </c>
      <c r="H243" s="2" t="s">
        <v>67</v>
      </c>
      <c r="O243" s="2" t="s">
        <v>2678</v>
      </c>
      <c r="P243" s="3" t="str">
        <f t="shared" si="22"/>
        <v>NR</v>
      </c>
      <c r="R243" s="127">
        <f t="shared" si="16"/>
        <v>0</v>
      </c>
      <c r="S243" s="118">
        <f t="shared" si="15"/>
        <v>0</v>
      </c>
    </row>
    <row r="244" spans="1:19" hidden="1">
      <c r="A244">
        <f t="shared" si="21"/>
        <v>275</v>
      </c>
      <c r="B244" s="42" t="s">
        <v>32</v>
      </c>
      <c r="C244" s="313">
        <f>SUMIF('Employees Supported'!$A$2:$A$29,$B244,'Employees Supported'!$C$2:$C$29)</f>
        <v>400</v>
      </c>
      <c r="E244" s="2">
        <v>22</v>
      </c>
      <c r="F244" t="s">
        <v>91</v>
      </c>
      <c r="G244" t="str">
        <f t="shared" si="23"/>
        <v>Seattle CtrMask Holders for Dispensers</v>
      </c>
      <c r="H244" s="2" t="s">
        <v>67</v>
      </c>
      <c r="O244" s="2" t="s">
        <v>2678</v>
      </c>
      <c r="P244" s="3" t="str">
        <f t="shared" si="22"/>
        <v>NR</v>
      </c>
      <c r="R244" s="127">
        <f t="shared" si="16"/>
        <v>0</v>
      </c>
      <c r="S244" s="118">
        <f t="shared" si="15"/>
        <v>0</v>
      </c>
    </row>
    <row r="245" spans="1:19">
      <c r="A245">
        <f t="shared" ref="A245:A255" si="24">+A244+1</f>
        <v>276</v>
      </c>
      <c r="B245" s="42" t="s">
        <v>23</v>
      </c>
      <c r="C245" s="313">
        <v>6500</v>
      </c>
      <c r="E245" s="2">
        <v>23</v>
      </c>
      <c r="F245" t="s">
        <v>92</v>
      </c>
      <c r="G245" t="str">
        <f t="shared" si="23"/>
        <v>FAS-CentralizedDisinfecting Sprayers</v>
      </c>
      <c r="H245" s="2" t="s">
        <v>67</v>
      </c>
      <c r="N245" s="122">
        <v>4</v>
      </c>
      <c r="O245" s="2"/>
      <c r="P245" s="3">
        <f t="shared" ref="P245:P255" si="25">IF(O245="NR","NR",((((C245+D245)*I245)*90)+(J245*90)+(((C245+D245)*K245)*3)+(L245*3)+((C245+D245)*M245)+N245))</f>
        <v>4</v>
      </c>
      <c r="R245" s="127">
        <f t="shared" si="16"/>
        <v>4.4444444444444446E-2</v>
      </c>
      <c r="S245" s="118">
        <f t="shared" si="15"/>
        <v>0.31111111111111112</v>
      </c>
    </row>
    <row r="246" spans="1:19" hidden="1">
      <c r="A246">
        <f t="shared" si="24"/>
        <v>277</v>
      </c>
      <c r="B246" s="42" t="s">
        <v>25</v>
      </c>
      <c r="C246" s="313">
        <f>SUMIF('Employees Supported'!$A$2:$A$29,$B246,'Employees Supported'!$C$2:$C$29)</f>
        <v>1500</v>
      </c>
      <c r="E246" s="2">
        <v>23</v>
      </c>
      <c r="F246" t="s">
        <v>92</v>
      </c>
      <c r="G246" t="str">
        <f t="shared" ref="G246:G256" si="26">_xlfn.SINGLE(_xlfn.CONCAT(B246,F246))</f>
        <v>SPDDisinfecting Sprayers</v>
      </c>
      <c r="H246" s="2" t="s">
        <v>67</v>
      </c>
      <c r="O246" s="2" t="s">
        <v>2678</v>
      </c>
      <c r="P246" s="3" t="str">
        <f t="shared" si="25"/>
        <v>NR</v>
      </c>
      <c r="R246" s="127">
        <f t="shared" si="16"/>
        <v>0</v>
      </c>
      <c r="S246" s="118">
        <f t="shared" si="15"/>
        <v>0</v>
      </c>
    </row>
    <row r="247" spans="1:19" hidden="1">
      <c r="A247">
        <f t="shared" si="24"/>
        <v>278</v>
      </c>
      <c r="B247" s="42" t="s">
        <v>24</v>
      </c>
      <c r="C247" s="313">
        <f>SUMIF('Employees Supported'!$A$2:$A$29,$B247,'Employees Supported'!$C$2:$C$29)</f>
        <v>1100</v>
      </c>
      <c r="E247" s="2">
        <v>23</v>
      </c>
      <c r="F247" t="s">
        <v>92</v>
      </c>
      <c r="G247" t="str">
        <f t="shared" si="26"/>
        <v>SFDDisinfecting Sprayers</v>
      </c>
      <c r="H247" s="2" t="s">
        <v>67</v>
      </c>
      <c r="O247" s="2" t="s">
        <v>2678</v>
      </c>
      <c r="P247" s="3" t="str">
        <f t="shared" si="25"/>
        <v>NR</v>
      </c>
      <c r="R247" s="127">
        <f t="shared" si="16"/>
        <v>0</v>
      </c>
      <c r="S247" s="118">
        <f t="shared" si="15"/>
        <v>0</v>
      </c>
    </row>
    <row r="248" spans="1:19" hidden="1">
      <c r="A248">
        <f t="shared" si="24"/>
        <v>279</v>
      </c>
      <c r="B248" s="42" t="s">
        <v>28</v>
      </c>
      <c r="C248" s="313">
        <f>SUMIF('Employees Supported'!$A$2:$A$29,$B248,'Employees Supported'!$C$2:$C$29)</f>
        <v>1100</v>
      </c>
      <c r="E248" s="2">
        <v>23</v>
      </c>
      <c r="F248" t="s">
        <v>92</v>
      </c>
      <c r="G248" t="str">
        <f t="shared" si="26"/>
        <v>SDOTDisinfecting Sprayers</v>
      </c>
      <c r="H248" s="2" t="s">
        <v>67</v>
      </c>
      <c r="O248" s="2" t="s">
        <v>2678</v>
      </c>
      <c r="P248" s="3" t="str">
        <f t="shared" si="25"/>
        <v>NR</v>
      </c>
      <c r="R248" s="127">
        <f t="shared" si="16"/>
        <v>0</v>
      </c>
      <c r="S248" s="118">
        <f t="shared" si="15"/>
        <v>0</v>
      </c>
    </row>
    <row r="249" spans="1:19" hidden="1">
      <c r="A249">
        <f t="shared" si="24"/>
        <v>280</v>
      </c>
      <c r="B249" s="42" t="s">
        <v>33</v>
      </c>
      <c r="C249" s="313">
        <f>SUMIF('Employees Supported'!$A$2:$A$29,$B249,'Employees Supported'!$C$2:$C$29)</f>
        <v>400</v>
      </c>
      <c r="E249" s="2">
        <v>23</v>
      </c>
      <c r="F249" t="s">
        <v>92</v>
      </c>
      <c r="G249" t="str">
        <f t="shared" si="26"/>
        <v>SCLDisinfecting Sprayers</v>
      </c>
      <c r="H249" s="2" t="s">
        <v>67</v>
      </c>
      <c r="O249" s="2" t="s">
        <v>2678</v>
      </c>
      <c r="P249" s="3" t="str">
        <f t="shared" si="25"/>
        <v>NR</v>
      </c>
      <c r="R249" s="127">
        <f t="shared" si="16"/>
        <v>0</v>
      </c>
      <c r="S249" s="118">
        <f t="shared" si="15"/>
        <v>0</v>
      </c>
    </row>
    <row r="250" spans="1:19" hidden="1">
      <c r="A250">
        <f t="shared" si="24"/>
        <v>281</v>
      </c>
      <c r="B250" s="42" t="s">
        <v>31</v>
      </c>
      <c r="C250" s="313">
        <f>SUMIF('Employees Supported'!$A$2:$A$29,$B250,'Employees Supported'!$C$2:$C$29)</f>
        <v>700</v>
      </c>
      <c r="E250" s="2">
        <v>23</v>
      </c>
      <c r="F250" t="s">
        <v>92</v>
      </c>
      <c r="G250" t="str">
        <f t="shared" si="26"/>
        <v>SeaITDisinfecting Sprayers</v>
      </c>
      <c r="H250" s="2" t="s">
        <v>67</v>
      </c>
      <c r="O250" s="2" t="s">
        <v>2678</v>
      </c>
      <c r="P250" s="3" t="str">
        <f t="shared" si="25"/>
        <v>NR</v>
      </c>
      <c r="R250" s="127">
        <f t="shared" si="16"/>
        <v>0</v>
      </c>
      <c r="S250" s="118">
        <f t="shared" si="15"/>
        <v>0</v>
      </c>
    </row>
    <row r="251" spans="1:19" hidden="1">
      <c r="A251">
        <f t="shared" si="24"/>
        <v>282</v>
      </c>
      <c r="B251" s="42" t="s">
        <v>29</v>
      </c>
      <c r="C251" s="313">
        <f>SUMIF('Employees Supported'!$A$2:$A$29,$B251,'Employees Supported'!$C$2:$C$29)</f>
        <v>550</v>
      </c>
      <c r="E251" s="2">
        <v>23</v>
      </c>
      <c r="F251" t="s">
        <v>92</v>
      </c>
      <c r="G251" t="str">
        <f t="shared" si="26"/>
        <v>SDCIDisinfecting Sprayers</v>
      </c>
      <c r="H251" s="2" t="s">
        <v>67</v>
      </c>
      <c r="O251" s="2" t="s">
        <v>2678</v>
      </c>
      <c r="P251" s="3" t="str">
        <f t="shared" si="25"/>
        <v>NR</v>
      </c>
      <c r="R251" s="127">
        <f t="shared" si="16"/>
        <v>0</v>
      </c>
      <c r="S251" s="118">
        <f t="shared" si="15"/>
        <v>0</v>
      </c>
    </row>
    <row r="252" spans="1:19" hidden="1">
      <c r="A252">
        <f t="shared" si="24"/>
        <v>283</v>
      </c>
      <c r="B252" s="42" t="s">
        <v>27</v>
      </c>
      <c r="C252" s="313">
        <f>SUMIF('Employees Supported'!$A$2:$A$29,$B252,'Employees Supported'!$C$2:$C$29)</f>
        <v>400</v>
      </c>
      <c r="E252" s="2">
        <v>23</v>
      </c>
      <c r="F252" t="s">
        <v>92</v>
      </c>
      <c r="G252" t="str">
        <f t="shared" si="26"/>
        <v>SPUDisinfecting Sprayers</v>
      </c>
      <c r="H252" s="2" t="s">
        <v>67</v>
      </c>
      <c r="O252" s="2" t="s">
        <v>2678</v>
      </c>
      <c r="P252" s="3" t="str">
        <f t="shared" si="25"/>
        <v>NR</v>
      </c>
      <c r="R252" s="127">
        <f t="shared" si="16"/>
        <v>0</v>
      </c>
      <c r="S252" s="118">
        <f t="shared" si="15"/>
        <v>0</v>
      </c>
    </row>
    <row r="253" spans="1:19" hidden="1">
      <c r="A253">
        <f t="shared" si="24"/>
        <v>284</v>
      </c>
      <c r="B253" s="42" t="s">
        <v>30</v>
      </c>
      <c r="C253" s="313">
        <f>SUMIF('Employees Supported'!$A$2:$A$29,$B253,'Employees Supported'!$C$2:$C$29)</f>
        <v>300</v>
      </c>
      <c r="E253" s="2">
        <v>23</v>
      </c>
      <c r="F253" t="s">
        <v>92</v>
      </c>
      <c r="G253" t="str">
        <f t="shared" si="26"/>
        <v>LibrariesDisinfecting Sprayers</v>
      </c>
      <c r="H253" s="2" t="s">
        <v>67</v>
      </c>
      <c r="O253" s="2" t="s">
        <v>2678</v>
      </c>
      <c r="P253" s="3" t="str">
        <f t="shared" si="25"/>
        <v>NR</v>
      </c>
      <c r="R253" s="127">
        <f t="shared" si="16"/>
        <v>0</v>
      </c>
      <c r="S253" s="118">
        <f t="shared" si="15"/>
        <v>0</v>
      </c>
    </row>
    <row r="254" spans="1:19" hidden="1">
      <c r="A254">
        <f t="shared" si="24"/>
        <v>285</v>
      </c>
      <c r="B254" s="42" t="s">
        <v>26</v>
      </c>
      <c r="C254" s="313">
        <f>SUMIF('Employees Supported'!$A$2:$A$29,$B254,'Employees Supported'!$C$2:$C$29)</f>
        <v>400</v>
      </c>
      <c r="E254" s="2">
        <v>23</v>
      </c>
      <c r="F254" t="s">
        <v>92</v>
      </c>
      <c r="G254" t="str">
        <f t="shared" si="26"/>
        <v>ParksDisinfecting Sprayers</v>
      </c>
      <c r="H254" s="2" t="s">
        <v>67</v>
      </c>
      <c r="O254" s="2" t="s">
        <v>2678</v>
      </c>
      <c r="P254" s="3" t="str">
        <f t="shared" si="25"/>
        <v>NR</v>
      </c>
      <c r="R254" s="127">
        <f t="shared" si="16"/>
        <v>0</v>
      </c>
      <c r="S254" s="118">
        <f t="shared" si="15"/>
        <v>0</v>
      </c>
    </row>
    <row r="255" spans="1:19" hidden="1">
      <c r="A255">
        <f t="shared" si="24"/>
        <v>286</v>
      </c>
      <c r="B255" s="42" t="s">
        <v>32</v>
      </c>
      <c r="C255" s="313">
        <f>SUMIF('Employees Supported'!$A$2:$A$29,$B255,'Employees Supported'!$C$2:$C$29)</f>
        <v>400</v>
      </c>
      <c r="E255" s="2">
        <v>23</v>
      </c>
      <c r="F255" t="s">
        <v>92</v>
      </c>
      <c r="G255" t="str">
        <f t="shared" si="26"/>
        <v>Seattle CtrDisinfecting Sprayers</v>
      </c>
      <c r="H255" s="2" t="s">
        <v>67</v>
      </c>
      <c r="O255" s="2" t="s">
        <v>2678</v>
      </c>
      <c r="P255" s="3" t="str">
        <f t="shared" si="25"/>
        <v>NR</v>
      </c>
      <c r="R255" s="127">
        <f t="shared" si="16"/>
        <v>0</v>
      </c>
      <c r="S255" s="118">
        <f t="shared" si="15"/>
        <v>0</v>
      </c>
    </row>
    <row r="256" spans="1:19">
      <c r="A256">
        <f t="shared" ref="A256:A266" si="27">+A255+1</f>
        <v>287</v>
      </c>
      <c r="B256" s="42" t="s">
        <v>23</v>
      </c>
      <c r="C256" s="313">
        <v>6500</v>
      </c>
      <c r="E256" s="2">
        <v>24</v>
      </c>
      <c r="F256" t="s">
        <v>87</v>
      </c>
      <c r="G256" t="str">
        <f t="shared" si="26"/>
        <v>FAS-CentralizedDisinfecting Solution for Sprayers</v>
      </c>
      <c r="H256" s="2" t="s">
        <v>88</v>
      </c>
      <c r="J256" s="127">
        <v>12</v>
      </c>
      <c r="O256" s="2"/>
      <c r="P256" s="3">
        <f t="shared" ref="P256:P266" si="28">IF(O256="NR","NR",((((C256+D256)*I256)*90)+(J256*90)+(((C256+D256)*K256)*3)+(L256*3)+((C256+D256)*M256)+N256))</f>
        <v>1080</v>
      </c>
      <c r="R256" s="127">
        <f t="shared" si="16"/>
        <v>12</v>
      </c>
      <c r="S256" s="118">
        <f t="shared" si="15"/>
        <v>84</v>
      </c>
    </row>
    <row r="257" spans="1:19" hidden="1">
      <c r="A257">
        <f t="shared" si="27"/>
        <v>288</v>
      </c>
      <c r="B257" s="42" t="s">
        <v>25</v>
      </c>
      <c r="C257" s="313">
        <f>SUMIF('Employees Supported'!$A$2:$A$29,$B257,'Employees Supported'!$C$2:$C$29)</f>
        <v>1500</v>
      </c>
      <c r="E257" s="2">
        <v>24</v>
      </c>
      <c r="F257" t="s">
        <v>87</v>
      </c>
      <c r="G257" t="str">
        <f t="shared" ref="G257:G267" si="29">_xlfn.SINGLE(_xlfn.CONCAT(B257,F257))</f>
        <v>SPDDisinfecting Solution for Sprayers</v>
      </c>
      <c r="H257" s="2" t="s">
        <v>67</v>
      </c>
      <c r="O257" s="2" t="s">
        <v>2678</v>
      </c>
      <c r="P257" s="3" t="str">
        <f t="shared" si="28"/>
        <v>NR</v>
      </c>
      <c r="R257" s="127">
        <f t="shared" si="16"/>
        <v>0</v>
      </c>
      <c r="S257" s="118">
        <f t="shared" si="15"/>
        <v>0</v>
      </c>
    </row>
    <row r="258" spans="1:19" hidden="1">
      <c r="A258">
        <f t="shared" si="27"/>
        <v>289</v>
      </c>
      <c r="B258" s="42" t="s">
        <v>24</v>
      </c>
      <c r="C258" s="313">
        <f>SUMIF('Employees Supported'!$A$2:$A$29,$B258,'Employees Supported'!$C$2:$C$29)</f>
        <v>1100</v>
      </c>
      <c r="E258" s="2">
        <v>24</v>
      </c>
      <c r="F258" t="s">
        <v>87</v>
      </c>
      <c r="G258" t="str">
        <f t="shared" si="29"/>
        <v>SFDDisinfecting Solution for Sprayers</v>
      </c>
      <c r="H258" s="2" t="s">
        <v>67</v>
      </c>
      <c r="O258" s="2" t="s">
        <v>2678</v>
      </c>
      <c r="P258" s="3" t="str">
        <f t="shared" si="28"/>
        <v>NR</v>
      </c>
      <c r="R258" s="127">
        <f t="shared" si="16"/>
        <v>0</v>
      </c>
      <c r="S258" s="118">
        <f t="shared" si="15"/>
        <v>0</v>
      </c>
    </row>
    <row r="259" spans="1:19" hidden="1">
      <c r="A259">
        <f t="shared" si="27"/>
        <v>290</v>
      </c>
      <c r="B259" s="42" t="s">
        <v>28</v>
      </c>
      <c r="C259" s="313">
        <f>SUMIF('Employees Supported'!$A$2:$A$29,$B259,'Employees Supported'!$C$2:$C$29)</f>
        <v>1100</v>
      </c>
      <c r="E259" s="2">
        <v>24</v>
      </c>
      <c r="F259" t="s">
        <v>87</v>
      </c>
      <c r="G259" t="str">
        <f t="shared" si="29"/>
        <v>SDOTDisinfecting Solution for Sprayers</v>
      </c>
      <c r="H259" s="2" t="s">
        <v>67</v>
      </c>
      <c r="O259" s="2" t="s">
        <v>2678</v>
      </c>
      <c r="P259" s="3" t="str">
        <f t="shared" si="28"/>
        <v>NR</v>
      </c>
      <c r="R259" s="127">
        <f t="shared" si="16"/>
        <v>0</v>
      </c>
      <c r="S259" s="118">
        <f t="shared" si="15"/>
        <v>0</v>
      </c>
    </row>
    <row r="260" spans="1:19" hidden="1">
      <c r="A260">
        <f t="shared" si="27"/>
        <v>291</v>
      </c>
      <c r="B260" s="42" t="s">
        <v>33</v>
      </c>
      <c r="C260" s="313">
        <f>SUMIF('Employees Supported'!$A$2:$A$29,$B260,'Employees Supported'!$C$2:$C$29)</f>
        <v>400</v>
      </c>
      <c r="E260" s="2">
        <v>24</v>
      </c>
      <c r="F260" t="s">
        <v>87</v>
      </c>
      <c r="G260" t="str">
        <f t="shared" si="29"/>
        <v>SCLDisinfecting Solution for Sprayers</v>
      </c>
      <c r="H260" s="2" t="s">
        <v>67</v>
      </c>
      <c r="O260" s="2" t="s">
        <v>2678</v>
      </c>
      <c r="P260" s="3" t="str">
        <f t="shared" si="28"/>
        <v>NR</v>
      </c>
      <c r="R260" s="127">
        <f t="shared" si="16"/>
        <v>0</v>
      </c>
      <c r="S260" s="118">
        <f t="shared" ref="S260:S323" si="30">R260*7</f>
        <v>0</v>
      </c>
    </row>
    <row r="261" spans="1:19" hidden="1">
      <c r="A261">
        <f t="shared" si="27"/>
        <v>292</v>
      </c>
      <c r="B261" s="42" t="s">
        <v>31</v>
      </c>
      <c r="C261" s="313">
        <f>SUMIF('Employees Supported'!$A$2:$A$29,$B261,'Employees Supported'!$C$2:$C$29)</f>
        <v>700</v>
      </c>
      <c r="E261" s="2">
        <v>24</v>
      </c>
      <c r="F261" t="s">
        <v>87</v>
      </c>
      <c r="G261" t="str">
        <f t="shared" si="29"/>
        <v>SeaITDisinfecting Solution for Sprayers</v>
      </c>
      <c r="H261" s="2" t="s">
        <v>67</v>
      </c>
      <c r="O261" s="2" t="s">
        <v>2678</v>
      </c>
      <c r="P261" s="3" t="str">
        <f t="shared" si="28"/>
        <v>NR</v>
      </c>
      <c r="R261" s="127">
        <f t="shared" si="16"/>
        <v>0</v>
      </c>
      <c r="S261" s="118">
        <f t="shared" si="30"/>
        <v>0</v>
      </c>
    </row>
    <row r="262" spans="1:19" hidden="1">
      <c r="A262">
        <f t="shared" si="27"/>
        <v>293</v>
      </c>
      <c r="B262" s="42" t="s">
        <v>29</v>
      </c>
      <c r="C262" s="313">
        <f>SUMIF('Employees Supported'!$A$2:$A$29,$B262,'Employees Supported'!$C$2:$C$29)</f>
        <v>550</v>
      </c>
      <c r="E262" s="2">
        <v>24</v>
      </c>
      <c r="F262" t="s">
        <v>87</v>
      </c>
      <c r="G262" t="str">
        <f t="shared" si="29"/>
        <v>SDCIDisinfecting Solution for Sprayers</v>
      </c>
      <c r="H262" s="2" t="s">
        <v>67</v>
      </c>
      <c r="O262" s="2" t="s">
        <v>2678</v>
      </c>
      <c r="P262" s="3" t="str">
        <f t="shared" si="28"/>
        <v>NR</v>
      </c>
      <c r="R262" s="127">
        <f t="shared" si="16"/>
        <v>0</v>
      </c>
      <c r="S262" s="118">
        <f t="shared" si="30"/>
        <v>0</v>
      </c>
    </row>
    <row r="263" spans="1:19" hidden="1">
      <c r="A263">
        <f t="shared" si="27"/>
        <v>294</v>
      </c>
      <c r="B263" s="42" t="s">
        <v>27</v>
      </c>
      <c r="C263" s="313">
        <f>SUMIF('Employees Supported'!$A$2:$A$29,$B263,'Employees Supported'!$C$2:$C$29)</f>
        <v>400</v>
      </c>
      <c r="E263" s="2">
        <v>24</v>
      </c>
      <c r="F263" t="s">
        <v>87</v>
      </c>
      <c r="G263" t="str">
        <f t="shared" si="29"/>
        <v>SPUDisinfecting Solution for Sprayers</v>
      </c>
      <c r="H263" s="2" t="s">
        <v>67</v>
      </c>
      <c r="O263" s="2" t="s">
        <v>2678</v>
      </c>
      <c r="P263" s="3" t="str">
        <f t="shared" si="28"/>
        <v>NR</v>
      </c>
      <c r="R263" s="127">
        <f t="shared" si="16"/>
        <v>0</v>
      </c>
      <c r="S263" s="118">
        <f t="shared" si="30"/>
        <v>0</v>
      </c>
    </row>
    <row r="264" spans="1:19" hidden="1">
      <c r="A264">
        <f t="shared" si="27"/>
        <v>295</v>
      </c>
      <c r="B264" s="42" t="s">
        <v>30</v>
      </c>
      <c r="C264" s="313">
        <f>SUMIF('Employees Supported'!$A$2:$A$29,$B264,'Employees Supported'!$C$2:$C$29)</f>
        <v>300</v>
      </c>
      <c r="E264" s="2">
        <v>24</v>
      </c>
      <c r="F264" t="s">
        <v>87</v>
      </c>
      <c r="G264" t="str">
        <f t="shared" si="29"/>
        <v>LibrariesDisinfecting Solution for Sprayers</v>
      </c>
      <c r="H264" s="2" t="s">
        <v>67</v>
      </c>
      <c r="O264" s="2" t="s">
        <v>2678</v>
      </c>
      <c r="P264" s="3" t="str">
        <f t="shared" si="28"/>
        <v>NR</v>
      </c>
      <c r="R264" s="127">
        <f t="shared" si="16"/>
        <v>0</v>
      </c>
      <c r="S264" s="118">
        <f t="shared" si="30"/>
        <v>0</v>
      </c>
    </row>
    <row r="265" spans="1:19" hidden="1">
      <c r="A265">
        <f t="shared" si="27"/>
        <v>296</v>
      </c>
      <c r="B265" s="42" t="s">
        <v>26</v>
      </c>
      <c r="C265" s="313">
        <f>SUMIF('Employees Supported'!$A$2:$A$29,$B265,'Employees Supported'!$C$2:$C$29)</f>
        <v>400</v>
      </c>
      <c r="E265" s="2">
        <v>24</v>
      </c>
      <c r="F265" t="s">
        <v>87</v>
      </c>
      <c r="G265" t="str">
        <f t="shared" si="29"/>
        <v>ParksDisinfecting Solution for Sprayers</v>
      </c>
      <c r="H265" s="2" t="s">
        <v>67</v>
      </c>
      <c r="O265" s="2" t="s">
        <v>2678</v>
      </c>
      <c r="P265" s="3" t="str">
        <f t="shared" si="28"/>
        <v>NR</v>
      </c>
      <c r="R265" s="127">
        <f t="shared" si="16"/>
        <v>0</v>
      </c>
      <c r="S265" s="118">
        <f t="shared" si="30"/>
        <v>0</v>
      </c>
    </row>
    <row r="266" spans="1:19" hidden="1">
      <c r="A266">
        <f t="shared" si="27"/>
        <v>297</v>
      </c>
      <c r="B266" s="42" t="s">
        <v>32</v>
      </c>
      <c r="C266" s="313">
        <f>SUMIF('Employees Supported'!$A$2:$A$29,$B266,'Employees Supported'!$C$2:$C$29)</f>
        <v>400</v>
      </c>
      <c r="E266" s="2">
        <v>24</v>
      </c>
      <c r="F266" t="s">
        <v>87</v>
      </c>
      <c r="G266" t="str">
        <f t="shared" si="29"/>
        <v>Seattle CtrDisinfecting Solution for Sprayers</v>
      </c>
      <c r="H266" s="2" t="s">
        <v>67</v>
      </c>
      <c r="O266" s="2" t="s">
        <v>2678</v>
      </c>
      <c r="P266" s="3" t="str">
        <f t="shared" si="28"/>
        <v>NR</v>
      </c>
      <c r="R266" s="127">
        <f t="shared" si="16"/>
        <v>0</v>
      </c>
      <c r="S266" s="118">
        <f t="shared" si="30"/>
        <v>0</v>
      </c>
    </row>
    <row r="267" spans="1:19">
      <c r="A267">
        <f t="shared" si="17"/>
        <v>298</v>
      </c>
      <c r="B267" s="42" t="s">
        <v>23</v>
      </c>
      <c r="C267" s="313">
        <v>6500</v>
      </c>
      <c r="E267" s="2">
        <v>25</v>
      </c>
      <c r="F267" t="str">
        <f t="shared" ref="F267:F330" si="31">_xlfn.SINGLE(_xlfn.CONCAT("Reserved-",E267))</f>
        <v>Reserved-25</v>
      </c>
      <c r="G267" t="str">
        <f t="shared" si="29"/>
        <v>FAS-CentralizedReserved-25</v>
      </c>
      <c r="H267" s="2" t="s">
        <v>67</v>
      </c>
      <c r="O267" s="2" t="s">
        <v>2678</v>
      </c>
      <c r="P267" s="3" t="str">
        <f t="shared" ref="P267" si="32">IF(O267="NR","NR",((((C267+D267)*I267)*90)+(J267*90)+(((C267+D267)*K267)*3)+(L267*3)+((C267+D267)*M267)+N267))</f>
        <v>NR</v>
      </c>
      <c r="R267" s="127">
        <f t="shared" si="16"/>
        <v>0</v>
      </c>
      <c r="S267" s="118">
        <f t="shared" si="30"/>
        <v>0</v>
      </c>
    </row>
    <row r="268" spans="1:19" hidden="1">
      <c r="A268">
        <f t="shared" si="17"/>
        <v>299</v>
      </c>
      <c r="B268" s="42" t="s">
        <v>25</v>
      </c>
      <c r="C268" s="313">
        <f>SUMIF('Employees Supported'!$A$2:$A$29,$B268,'Employees Supported'!$C$2:$C$29)</f>
        <v>1500</v>
      </c>
      <c r="E268" s="2">
        <v>25</v>
      </c>
      <c r="F268" t="str">
        <f t="shared" si="31"/>
        <v>Reserved-25</v>
      </c>
      <c r="G268" t="str">
        <f t="shared" ref="G268:G278" si="33">_xlfn.SINGLE(_xlfn.CONCAT(B268,F268))</f>
        <v>SPDReserved-25</v>
      </c>
      <c r="H268" s="2" t="s">
        <v>67</v>
      </c>
      <c r="O268" s="2" t="s">
        <v>2678</v>
      </c>
      <c r="P268" s="3" t="str">
        <f t="shared" ref="P268:P278" si="34">IF(O268="NR","NR",((((C268+D268)*I268)*90)+(J268*90)+(((C268+D268)*K268)*3)+(L268*3)+((C268+D268)*M268)+N268))</f>
        <v>NR</v>
      </c>
      <c r="R268" s="127">
        <f t="shared" ref="R268:R278" si="35">SUM(P268)/90</f>
        <v>0</v>
      </c>
      <c r="S268" s="118">
        <f t="shared" si="30"/>
        <v>0</v>
      </c>
    </row>
    <row r="269" spans="1:19" hidden="1">
      <c r="A269">
        <f t="shared" si="17"/>
        <v>300</v>
      </c>
      <c r="B269" s="42" t="s">
        <v>24</v>
      </c>
      <c r="C269" s="313">
        <f>SUMIF('Employees Supported'!$A$2:$A$29,$B269,'Employees Supported'!$C$2:$C$29)</f>
        <v>1100</v>
      </c>
      <c r="E269" s="2">
        <v>25</v>
      </c>
      <c r="F269" t="str">
        <f t="shared" si="31"/>
        <v>Reserved-25</v>
      </c>
      <c r="G269" t="str">
        <f t="shared" si="33"/>
        <v>SFDReserved-25</v>
      </c>
      <c r="H269" s="2" t="s">
        <v>67</v>
      </c>
      <c r="O269" s="2" t="s">
        <v>2678</v>
      </c>
      <c r="P269" s="3" t="str">
        <f t="shared" si="34"/>
        <v>NR</v>
      </c>
      <c r="R269" s="127">
        <f t="shared" si="35"/>
        <v>0</v>
      </c>
      <c r="S269" s="118">
        <f t="shared" si="30"/>
        <v>0</v>
      </c>
    </row>
    <row r="270" spans="1:19" hidden="1">
      <c r="A270">
        <f t="shared" si="17"/>
        <v>301</v>
      </c>
      <c r="B270" s="42" t="s">
        <v>28</v>
      </c>
      <c r="C270" s="313">
        <f>SUMIF('Employees Supported'!$A$2:$A$29,$B270,'Employees Supported'!$C$2:$C$29)</f>
        <v>1100</v>
      </c>
      <c r="E270" s="2">
        <v>25</v>
      </c>
      <c r="F270" t="str">
        <f t="shared" si="31"/>
        <v>Reserved-25</v>
      </c>
      <c r="G270" t="str">
        <f t="shared" si="33"/>
        <v>SDOTReserved-25</v>
      </c>
      <c r="H270" s="2" t="s">
        <v>67</v>
      </c>
      <c r="O270" s="2" t="s">
        <v>2678</v>
      </c>
      <c r="P270" s="3" t="str">
        <f t="shared" si="34"/>
        <v>NR</v>
      </c>
      <c r="R270" s="127">
        <f t="shared" si="35"/>
        <v>0</v>
      </c>
      <c r="S270" s="118">
        <f t="shared" si="30"/>
        <v>0</v>
      </c>
    </row>
    <row r="271" spans="1:19" hidden="1">
      <c r="A271">
        <f t="shared" si="17"/>
        <v>302</v>
      </c>
      <c r="B271" s="42" t="s">
        <v>33</v>
      </c>
      <c r="C271" s="313">
        <f>SUMIF('Employees Supported'!$A$2:$A$29,$B271,'Employees Supported'!$C$2:$C$29)</f>
        <v>400</v>
      </c>
      <c r="E271" s="2">
        <v>25</v>
      </c>
      <c r="F271" t="str">
        <f t="shared" si="31"/>
        <v>Reserved-25</v>
      </c>
      <c r="G271" t="str">
        <f t="shared" si="33"/>
        <v>SCLReserved-25</v>
      </c>
      <c r="H271" s="2" t="s">
        <v>67</v>
      </c>
      <c r="O271" s="2" t="s">
        <v>2678</v>
      </c>
      <c r="P271" s="3" t="str">
        <f t="shared" si="34"/>
        <v>NR</v>
      </c>
      <c r="R271" s="127">
        <f t="shared" si="35"/>
        <v>0</v>
      </c>
      <c r="S271" s="118">
        <f t="shared" si="30"/>
        <v>0</v>
      </c>
    </row>
    <row r="272" spans="1:19" hidden="1">
      <c r="A272">
        <f t="shared" si="17"/>
        <v>303</v>
      </c>
      <c r="B272" s="42" t="s">
        <v>31</v>
      </c>
      <c r="C272" s="313">
        <f>SUMIF('Employees Supported'!$A$2:$A$29,$B272,'Employees Supported'!$C$2:$C$29)</f>
        <v>700</v>
      </c>
      <c r="E272" s="2">
        <v>25</v>
      </c>
      <c r="F272" t="str">
        <f t="shared" si="31"/>
        <v>Reserved-25</v>
      </c>
      <c r="G272" t="str">
        <f t="shared" si="33"/>
        <v>SeaITReserved-25</v>
      </c>
      <c r="H272" s="2" t="s">
        <v>67</v>
      </c>
      <c r="O272" s="2" t="s">
        <v>2678</v>
      </c>
      <c r="P272" s="3" t="str">
        <f t="shared" si="34"/>
        <v>NR</v>
      </c>
      <c r="R272" s="127">
        <f t="shared" si="35"/>
        <v>0</v>
      </c>
      <c r="S272" s="118">
        <f t="shared" si="30"/>
        <v>0</v>
      </c>
    </row>
    <row r="273" spans="1:19" hidden="1">
      <c r="A273">
        <f t="shared" si="17"/>
        <v>304</v>
      </c>
      <c r="B273" s="42" t="s">
        <v>29</v>
      </c>
      <c r="C273" s="313">
        <f>SUMIF('Employees Supported'!$A$2:$A$29,$B273,'Employees Supported'!$C$2:$C$29)</f>
        <v>550</v>
      </c>
      <c r="E273" s="2">
        <v>25</v>
      </c>
      <c r="F273" t="str">
        <f t="shared" si="31"/>
        <v>Reserved-25</v>
      </c>
      <c r="G273" t="str">
        <f t="shared" si="33"/>
        <v>SDCIReserved-25</v>
      </c>
      <c r="H273" s="2" t="s">
        <v>67</v>
      </c>
      <c r="O273" s="2" t="s">
        <v>2678</v>
      </c>
      <c r="P273" s="3" t="str">
        <f t="shared" si="34"/>
        <v>NR</v>
      </c>
      <c r="R273" s="127">
        <f t="shared" si="35"/>
        <v>0</v>
      </c>
      <c r="S273" s="118">
        <f t="shared" si="30"/>
        <v>0</v>
      </c>
    </row>
    <row r="274" spans="1:19" hidden="1">
      <c r="A274">
        <f t="shared" si="17"/>
        <v>305</v>
      </c>
      <c r="B274" s="42" t="s">
        <v>27</v>
      </c>
      <c r="C274" s="313">
        <f>SUMIF('Employees Supported'!$A$2:$A$29,$B274,'Employees Supported'!$C$2:$C$29)</f>
        <v>400</v>
      </c>
      <c r="E274" s="2">
        <v>25</v>
      </c>
      <c r="F274" t="str">
        <f t="shared" si="31"/>
        <v>Reserved-25</v>
      </c>
      <c r="G274" t="str">
        <f t="shared" si="33"/>
        <v>SPUReserved-25</v>
      </c>
      <c r="H274" s="2" t="s">
        <v>67</v>
      </c>
      <c r="O274" s="2" t="s">
        <v>2678</v>
      </c>
      <c r="P274" s="3" t="str">
        <f t="shared" si="34"/>
        <v>NR</v>
      </c>
      <c r="R274" s="127">
        <f t="shared" si="35"/>
        <v>0</v>
      </c>
      <c r="S274" s="118">
        <f t="shared" si="30"/>
        <v>0</v>
      </c>
    </row>
    <row r="275" spans="1:19" hidden="1">
      <c r="A275">
        <f t="shared" si="17"/>
        <v>306</v>
      </c>
      <c r="B275" s="42" t="s">
        <v>30</v>
      </c>
      <c r="C275" s="313">
        <f>SUMIF('Employees Supported'!$A$2:$A$29,$B275,'Employees Supported'!$C$2:$C$29)</f>
        <v>300</v>
      </c>
      <c r="E275" s="2">
        <v>25</v>
      </c>
      <c r="F275" t="str">
        <f t="shared" si="31"/>
        <v>Reserved-25</v>
      </c>
      <c r="G275" t="str">
        <f t="shared" si="33"/>
        <v>LibrariesReserved-25</v>
      </c>
      <c r="H275" s="2" t="s">
        <v>67</v>
      </c>
      <c r="O275" s="2" t="s">
        <v>2678</v>
      </c>
      <c r="P275" s="3" t="str">
        <f t="shared" si="34"/>
        <v>NR</v>
      </c>
      <c r="R275" s="127">
        <f t="shared" si="35"/>
        <v>0</v>
      </c>
      <c r="S275" s="118">
        <f t="shared" si="30"/>
        <v>0</v>
      </c>
    </row>
    <row r="276" spans="1:19" hidden="1">
      <c r="A276">
        <f t="shared" si="17"/>
        <v>307</v>
      </c>
      <c r="B276" s="42" t="s">
        <v>26</v>
      </c>
      <c r="C276" s="313">
        <f>SUMIF('Employees Supported'!$A$2:$A$29,$B276,'Employees Supported'!$C$2:$C$29)</f>
        <v>400</v>
      </c>
      <c r="E276" s="2">
        <v>25</v>
      </c>
      <c r="F276" t="str">
        <f t="shared" si="31"/>
        <v>Reserved-25</v>
      </c>
      <c r="G276" t="str">
        <f t="shared" si="33"/>
        <v>ParksReserved-25</v>
      </c>
      <c r="H276" s="2" t="s">
        <v>67</v>
      </c>
      <c r="O276" s="2" t="s">
        <v>2678</v>
      </c>
      <c r="P276" s="3" t="str">
        <f t="shared" si="34"/>
        <v>NR</v>
      </c>
      <c r="R276" s="127">
        <f t="shared" si="35"/>
        <v>0</v>
      </c>
      <c r="S276" s="118">
        <f t="shared" si="30"/>
        <v>0</v>
      </c>
    </row>
    <row r="277" spans="1:19" hidden="1">
      <c r="A277">
        <f t="shared" ref="A277:A288" si="36">+A276+1</f>
        <v>308</v>
      </c>
      <c r="B277" s="42" t="s">
        <v>32</v>
      </c>
      <c r="C277" s="313">
        <f>SUMIF('Employees Supported'!$A$2:$A$29,$B277,'Employees Supported'!$C$2:$C$29)</f>
        <v>400</v>
      </c>
      <c r="E277" s="2">
        <v>25</v>
      </c>
      <c r="F277" t="str">
        <f t="shared" si="31"/>
        <v>Reserved-25</v>
      </c>
      <c r="G277" t="str">
        <f t="shared" si="33"/>
        <v>Seattle CtrReserved-25</v>
      </c>
      <c r="H277" s="2" t="s">
        <v>67</v>
      </c>
      <c r="O277" s="2" t="s">
        <v>2678</v>
      </c>
      <c r="P277" s="3" t="str">
        <f t="shared" si="34"/>
        <v>NR</v>
      </c>
      <c r="R277" s="127">
        <f t="shared" si="35"/>
        <v>0</v>
      </c>
      <c r="S277" s="118">
        <f t="shared" si="30"/>
        <v>0</v>
      </c>
    </row>
    <row r="278" spans="1:19">
      <c r="A278">
        <f t="shared" si="36"/>
        <v>309</v>
      </c>
      <c r="B278" s="42" t="s">
        <v>23</v>
      </c>
      <c r="C278" s="313">
        <v>6500</v>
      </c>
      <c r="E278" s="2">
        <f>+E267+1</f>
        <v>26</v>
      </c>
      <c r="F278" t="str">
        <f t="shared" si="31"/>
        <v>Reserved-26</v>
      </c>
      <c r="G278" t="str">
        <f t="shared" si="33"/>
        <v>FAS-CentralizedReserved-26</v>
      </c>
      <c r="H278" s="2" t="s">
        <v>67</v>
      </c>
      <c r="O278" s="2" t="s">
        <v>2678</v>
      </c>
      <c r="P278" s="3" t="str">
        <f t="shared" si="34"/>
        <v>NR</v>
      </c>
      <c r="R278" s="127">
        <f t="shared" si="35"/>
        <v>0</v>
      </c>
      <c r="S278" s="118">
        <f t="shared" si="30"/>
        <v>0</v>
      </c>
    </row>
    <row r="279" spans="1:19" hidden="1">
      <c r="A279">
        <f t="shared" si="36"/>
        <v>310</v>
      </c>
      <c r="B279" s="42" t="s">
        <v>25</v>
      </c>
      <c r="C279" s="313">
        <f>SUMIF('Employees Supported'!$A$2:$A$29,$B279,'Employees Supported'!$C$2:$C$29)</f>
        <v>1500</v>
      </c>
      <c r="E279" s="2">
        <f t="shared" ref="E279:E342" si="37">+E268+1</f>
        <v>26</v>
      </c>
      <c r="F279" t="str">
        <f t="shared" si="31"/>
        <v>Reserved-26</v>
      </c>
      <c r="G279" t="str">
        <f t="shared" ref="G279:G289" si="38">_xlfn.SINGLE(_xlfn.CONCAT(B279,F279))</f>
        <v>SPDReserved-26</v>
      </c>
      <c r="H279" s="2" t="s">
        <v>67</v>
      </c>
      <c r="O279" s="2" t="s">
        <v>2678</v>
      </c>
      <c r="P279" s="3" t="str">
        <f t="shared" ref="P279:P289" si="39">IF(O279="NR","NR",((((C279+D279)*I279)*90)+(J279*90)+(((C279+D279)*K279)*3)+(L279*3)+((C279+D279)*M279)+N279))</f>
        <v>NR</v>
      </c>
      <c r="R279" s="127">
        <f t="shared" ref="R279:R289" si="40">SUM(P279)/90</f>
        <v>0</v>
      </c>
      <c r="S279" s="118">
        <f t="shared" si="30"/>
        <v>0</v>
      </c>
    </row>
    <row r="280" spans="1:19" hidden="1">
      <c r="A280">
        <f t="shared" si="36"/>
        <v>311</v>
      </c>
      <c r="B280" s="42" t="s">
        <v>24</v>
      </c>
      <c r="C280" s="313">
        <f>SUMIF('Employees Supported'!$A$2:$A$29,$B280,'Employees Supported'!$C$2:$C$29)</f>
        <v>1100</v>
      </c>
      <c r="E280" s="2">
        <f t="shared" si="37"/>
        <v>26</v>
      </c>
      <c r="F280" t="str">
        <f t="shared" si="31"/>
        <v>Reserved-26</v>
      </c>
      <c r="G280" t="str">
        <f t="shared" si="38"/>
        <v>SFDReserved-26</v>
      </c>
      <c r="H280" s="2" t="s">
        <v>67</v>
      </c>
      <c r="O280" s="2" t="s">
        <v>2678</v>
      </c>
      <c r="P280" s="3" t="str">
        <f t="shared" si="39"/>
        <v>NR</v>
      </c>
      <c r="R280" s="127">
        <f t="shared" si="40"/>
        <v>0</v>
      </c>
      <c r="S280" s="118">
        <f t="shared" si="30"/>
        <v>0</v>
      </c>
    </row>
    <row r="281" spans="1:19" hidden="1">
      <c r="A281">
        <f t="shared" si="36"/>
        <v>312</v>
      </c>
      <c r="B281" s="42" t="s">
        <v>28</v>
      </c>
      <c r="C281" s="313">
        <f>SUMIF('Employees Supported'!$A$2:$A$29,$B281,'Employees Supported'!$C$2:$C$29)</f>
        <v>1100</v>
      </c>
      <c r="E281" s="2">
        <f t="shared" si="37"/>
        <v>26</v>
      </c>
      <c r="F281" t="str">
        <f t="shared" si="31"/>
        <v>Reserved-26</v>
      </c>
      <c r="G281" t="str">
        <f t="shared" si="38"/>
        <v>SDOTReserved-26</v>
      </c>
      <c r="H281" s="2" t="s">
        <v>67</v>
      </c>
      <c r="O281" s="2" t="s">
        <v>2678</v>
      </c>
      <c r="P281" s="3" t="str">
        <f t="shared" si="39"/>
        <v>NR</v>
      </c>
      <c r="R281" s="127">
        <f t="shared" si="40"/>
        <v>0</v>
      </c>
      <c r="S281" s="118">
        <f t="shared" si="30"/>
        <v>0</v>
      </c>
    </row>
    <row r="282" spans="1:19" hidden="1">
      <c r="A282">
        <f t="shared" si="36"/>
        <v>313</v>
      </c>
      <c r="B282" s="42" t="s">
        <v>33</v>
      </c>
      <c r="C282" s="313">
        <f>SUMIF('Employees Supported'!$A$2:$A$29,$B282,'Employees Supported'!$C$2:$C$29)</f>
        <v>400</v>
      </c>
      <c r="E282" s="2">
        <f t="shared" si="37"/>
        <v>26</v>
      </c>
      <c r="F282" t="str">
        <f t="shared" si="31"/>
        <v>Reserved-26</v>
      </c>
      <c r="G282" t="str">
        <f t="shared" si="38"/>
        <v>SCLReserved-26</v>
      </c>
      <c r="H282" s="2" t="s">
        <v>67</v>
      </c>
      <c r="O282" s="2" t="s">
        <v>2678</v>
      </c>
      <c r="P282" s="3" t="str">
        <f t="shared" si="39"/>
        <v>NR</v>
      </c>
      <c r="R282" s="127">
        <f t="shared" si="40"/>
        <v>0</v>
      </c>
      <c r="S282" s="118">
        <f t="shared" si="30"/>
        <v>0</v>
      </c>
    </row>
    <row r="283" spans="1:19" hidden="1">
      <c r="A283">
        <f t="shared" si="36"/>
        <v>314</v>
      </c>
      <c r="B283" s="42" t="s">
        <v>31</v>
      </c>
      <c r="C283" s="313">
        <f>SUMIF('Employees Supported'!$A$2:$A$29,$B283,'Employees Supported'!$C$2:$C$29)</f>
        <v>700</v>
      </c>
      <c r="E283" s="2">
        <f t="shared" si="37"/>
        <v>26</v>
      </c>
      <c r="F283" t="str">
        <f t="shared" si="31"/>
        <v>Reserved-26</v>
      </c>
      <c r="G283" t="str">
        <f t="shared" si="38"/>
        <v>SeaITReserved-26</v>
      </c>
      <c r="H283" s="2" t="s">
        <v>67</v>
      </c>
      <c r="O283" s="2" t="s">
        <v>2678</v>
      </c>
      <c r="P283" s="3" t="str">
        <f t="shared" si="39"/>
        <v>NR</v>
      </c>
      <c r="R283" s="127">
        <f t="shared" si="40"/>
        <v>0</v>
      </c>
      <c r="S283" s="118">
        <f t="shared" si="30"/>
        <v>0</v>
      </c>
    </row>
    <row r="284" spans="1:19" hidden="1">
      <c r="A284">
        <f t="shared" si="36"/>
        <v>315</v>
      </c>
      <c r="B284" s="42" t="s">
        <v>29</v>
      </c>
      <c r="C284" s="313">
        <f>SUMIF('Employees Supported'!$A$2:$A$29,$B284,'Employees Supported'!$C$2:$C$29)</f>
        <v>550</v>
      </c>
      <c r="E284" s="2">
        <f t="shared" si="37"/>
        <v>26</v>
      </c>
      <c r="F284" t="str">
        <f t="shared" si="31"/>
        <v>Reserved-26</v>
      </c>
      <c r="G284" t="str">
        <f t="shared" si="38"/>
        <v>SDCIReserved-26</v>
      </c>
      <c r="H284" s="2" t="s">
        <v>67</v>
      </c>
      <c r="O284" s="2" t="s">
        <v>2678</v>
      </c>
      <c r="P284" s="3" t="str">
        <f t="shared" si="39"/>
        <v>NR</v>
      </c>
      <c r="R284" s="127">
        <f t="shared" si="40"/>
        <v>0</v>
      </c>
      <c r="S284" s="118">
        <f t="shared" si="30"/>
        <v>0</v>
      </c>
    </row>
    <row r="285" spans="1:19" hidden="1">
      <c r="A285">
        <f t="shared" si="36"/>
        <v>316</v>
      </c>
      <c r="B285" s="42" t="s">
        <v>27</v>
      </c>
      <c r="C285" s="313">
        <f>SUMIF('Employees Supported'!$A$2:$A$29,$B285,'Employees Supported'!$C$2:$C$29)</f>
        <v>400</v>
      </c>
      <c r="E285" s="2">
        <f t="shared" si="37"/>
        <v>26</v>
      </c>
      <c r="F285" t="str">
        <f t="shared" si="31"/>
        <v>Reserved-26</v>
      </c>
      <c r="G285" t="str">
        <f t="shared" si="38"/>
        <v>SPUReserved-26</v>
      </c>
      <c r="H285" s="2" t="s">
        <v>67</v>
      </c>
      <c r="O285" s="2" t="s">
        <v>2678</v>
      </c>
      <c r="P285" s="3" t="str">
        <f t="shared" si="39"/>
        <v>NR</v>
      </c>
      <c r="R285" s="127">
        <f t="shared" si="40"/>
        <v>0</v>
      </c>
      <c r="S285" s="118">
        <f t="shared" si="30"/>
        <v>0</v>
      </c>
    </row>
    <row r="286" spans="1:19" hidden="1">
      <c r="A286">
        <f t="shared" si="36"/>
        <v>317</v>
      </c>
      <c r="B286" s="42" t="s">
        <v>30</v>
      </c>
      <c r="C286" s="313">
        <f>SUMIF('Employees Supported'!$A$2:$A$29,$B286,'Employees Supported'!$C$2:$C$29)</f>
        <v>300</v>
      </c>
      <c r="E286" s="2">
        <f t="shared" si="37"/>
        <v>26</v>
      </c>
      <c r="F286" t="str">
        <f t="shared" si="31"/>
        <v>Reserved-26</v>
      </c>
      <c r="G286" t="str">
        <f t="shared" si="38"/>
        <v>LibrariesReserved-26</v>
      </c>
      <c r="H286" s="2" t="s">
        <v>67</v>
      </c>
      <c r="O286" s="2" t="s">
        <v>2678</v>
      </c>
      <c r="P286" s="3" t="str">
        <f t="shared" si="39"/>
        <v>NR</v>
      </c>
      <c r="R286" s="127">
        <f t="shared" si="40"/>
        <v>0</v>
      </c>
      <c r="S286" s="118">
        <f t="shared" si="30"/>
        <v>0</v>
      </c>
    </row>
    <row r="287" spans="1:19" hidden="1">
      <c r="A287">
        <f t="shared" si="36"/>
        <v>318</v>
      </c>
      <c r="B287" s="42" t="s">
        <v>26</v>
      </c>
      <c r="C287" s="313">
        <f>SUMIF('Employees Supported'!$A$2:$A$29,$B287,'Employees Supported'!$C$2:$C$29)</f>
        <v>400</v>
      </c>
      <c r="E287" s="2">
        <f t="shared" si="37"/>
        <v>26</v>
      </c>
      <c r="F287" t="str">
        <f t="shared" si="31"/>
        <v>Reserved-26</v>
      </c>
      <c r="G287" t="str">
        <f t="shared" si="38"/>
        <v>ParksReserved-26</v>
      </c>
      <c r="H287" s="2" t="s">
        <v>67</v>
      </c>
      <c r="O287" s="2" t="s">
        <v>2678</v>
      </c>
      <c r="P287" s="3" t="str">
        <f t="shared" si="39"/>
        <v>NR</v>
      </c>
      <c r="R287" s="127">
        <f t="shared" si="40"/>
        <v>0</v>
      </c>
      <c r="S287" s="118">
        <f t="shared" si="30"/>
        <v>0</v>
      </c>
    </row>
    <row r="288" spans="1:19" hidden="1">
      <c r="A288">
        <f t="shared" si="36"/>
        <v>319</v>
      </c>
      <c r="B288" s="42" t="s">
        <v>32</v>
      </c>
      <c r="C288" s="313">
        <f>SUMIF('Employees Supported'!$A$2:$A$29,$B288,'Employees Supported'!$C$2:$C$29)</f>
        <v>400</v>
      </c>
      <c r="E288" s="2">
        <f t="shared" si="37"/>
        <v>26</v>
      </c>
      <c r="F288" t="str">
        <f t="shared" si="31"/>
        <v>Reserved-26</v>
      </c>
      <c r="G288" t="str">
        <f t="shared" si="38"/>
        <v>Seattle CtrReserved-26</v>
      </c>
      <c r="H288" s="2" t="s">
        <v>67</v>
      </c>
      <c r="O288" s="2" t="s">
        <v>2678</v>
      </c>
      <c r="P288" s="3" t="str">
        <f t="shared" si="39"/>
        <v>NR</v>
      </c>
      <c r="R288" s="127">
        <f t="shared" si="40"/>
        <v>0</v>
      </c>
      <c r="S288" s="118">
        <f t="shared" si="30"/>
        <v>0</v>
      </c>
    </row>
    <row r="289" spans="1:19">
      <c r="A289">
        <f t="shared" ref="A289:A310" si="41">+A288+1</f>
        <v>320</v>
      </c>
      <c r="B289" s="42" t="s">
        <v>23</v>
      </c>
      <c r="C289" s="313">
        <v>6500</v>
      </c>
      <c r="E289" s="2">
        <f>+E278+1</f>
        <v>27</v>
      </c>
      <c r="F289" t="str">
        <f t="shared" si="31"/>
        <v>Reserved-27</v>
      </c>
      <c r="G289" t="str">
        <f t="shared" si="38"/>
        <v>FAS-CentralizedReserved-27</v>
      </c>
      <c r="H289" s="2" t="s">
        <v>67</v>
      </c>
      <c r="O289" s="2" t="s">
        <v>2678</v>
      </c>
      <c r="P289" s="3" t="str">
        <f t="shared" si="39"/>
        <v>NR</v>
      </c>
      <c r="R289" s="127">
        <f t="shared" si="40"/>
        <v>0</v>
      </c>
      <c r="S289" s="118">
        <f t="shared" si="30"/>
        <v>0</v>
      </c>
    </row>
    <row r="290" spans="1:19" hidden="1">
      <c r="A290">
        <f t="shared" si="41"/>
        <v>321</v>
      </c>
      <c r="B290" s="42" t="s">
        <v>25</v>
      </c>
      <c r="C290" s="313">
        <f>SUMIF('Employees Supported'!$A$2:$A$29,$B290,'Employees Supported'!$C$2:$C$29)</f>
        <v>1500</v>
      </c>
      <c r="E290" s="2">
        <f t="shared" si="37"/>
        <v>27</v>
      </c>
      <c r="F290" t="str">
        <f t="shared" si="31"/>
        <v>Reserved-27</v>
      </c>
      <c r="G290" t="str">
        <f t="shared" ref="G290:G311" si="42">_xlfn.SINGLE(_xlfn.CONCAT(B290,F290))</f>
        <v>SPDReserved-27</v>
      </c>
      <c r="H290" s="2" t="s">
        <v>67</v>
      </c>
      <c r="O290" s="2" t="s">
        <v>2678</v>
      </c>
      <c r="P290" s="3" t="str">
        <f t="shared" ref="P290:P311" si="43">IF(O290="NR","NR",((((C290+D290)*I290)*90)+(J290*90)+(((C290+D290)*K290)*3)+(L290*3)+((C290+D290)*M290)+N290))</f>
        <v>NR</v>
      </c>
      <c r="R290" s="127">
        <f t="shared" ref="R290:R311" si="44">SUM(P290)/90</f>
        <v>0</v>
      </c>
      <c r="S290" s="118">
        <f t="shared" si="30"/>
        <v>0</v>
      </c>
    </row>
    <row r="291" spans="1:19" hidden="1">
      <c r="A291">
        <f t="shared" si="41"/>
        <v>322</v>
      </c>
      <c r="B291" s="42" t="s">
        <v>24</v>
      </c>
      <c r="C291" s="313">
        <f>SUMIF('Employees Supported'!$A$2:$A$29,$B291,'Employees Supported'!$C$2:$C$29)</f>
        <v>1100</v>
      </c>
      <c r="E291" s="2">
        <f t="shared" si="37"/>
        <v>27</v>
      </c>
      <c r="F291" t="str">
        <f t="shared" si="31"/>
        <v>Reserved-27</v>
      </c>
      <c r="G291" t="str">
        <f t="shared" si="42"/>
        <v>SFDReserved-27</v>
      </c>
      <c r="H291" s="2" t="s">
        <v>67</v>
      </c>
      <c r="O291" s="2" t="s">
        <v>2678</v>
      </c>
      <c r="P291" s="3" t="str">
        <f t="shared" si="43"/>
        <v>NR</v>
      </c>
      <c r="R291" s="127">
        <f t="shared" si="44"/>
        <v>0</v>
      </c>
      <c r="S291" s="118">
        <f t="shared" si="30"/>
        <v>0</v>
      </c>
    </row>
    <row r="292" spans="1:19" hidden="1">
      <c r="A292">
        <f t="shared" si="41"/>
        <v>323</v>
      </c>
      <c r="B292" s="42" t="s">
        <v>28</v>
      </c>
      <c r="C292" s="313">
        <f>SUMIF('Employees Supported'!$A$2:$A$29,$B292,'Employees Supported'!$C$2:$C$29)</f>
        <v>1100</v>
      </c>
      <c r="E292" s="2">
        <f t="shared" si="37"/>
        <v>27</v>
      </c>
      <c r="F292" t="str">
        <f t="shared" si="31"/>
        <v>Reserved-27</v>
      </c>
      <c r="G292" t="str">
        <f t="shared" si="42"/>
        <v>SDOTReserved-27</v>
      </c>
      <c r="H292" s="2" t="s">
        <v>67</v>
      </c>
      <c r="O292" s="2" t="s">
        <v>2678</v>
      </c>
      <c r="P292" s="3" t="str">
        <f t="shared" si="43"/>
        <v>NR</v>
      </c>
      <c r="R292" s="127">
        <f t="shared" si="44"/>
        <v>0</v>
      </c>
      <c r="S292" s="118">
        <f t="shared" si="30"/>
        <v>0</v>
      </c>
    </row>
    <row r="293" spans="1:19" hidden="1">
      <c r="A293">
        <f t="shared" si="41"/>
        <v>324</v>
      </c>
      <c r="B293" s="42" t="s">
        <v>33</v>
      </c>
      <c r="C293" s="313">
        <f>SUMIF('Employees Supported'!$A$2:$A$29,$B293,'Employees Supported'!$C$2:$C$29)</f>
        <v>400</v>
      </c>
      <c r="E293" s="2">
        <f t="shared" si="37"/>
        <v>27</v>
      </c>
      <c r="F293" t="str">
        <f t="shared" si="31"/>
        <v>Reserved-27</v>
      </c>
      <c r="G293" t="str">
        <f t="shared" si="42"/>
        <v>SCLReserved-27</v>
      </c>
      <c r="H293" s="2" t="s">
        <v>67</v>
      </c>
      <c r="O293" s="2" t="s">
        <v>2678</v>
      </c>
      <c r="P293" s="3" t="str">
        <f t="shared" si="43"/>
        <v>NR</v>
      </c>
      <c r="R293" s="127">
        <f t="shared" si="44"/>
        <v>0</v>
      </c>
      <c r="S293" s="118">
        <f t="shared" si="30"/>
        <v>0</v>
      </c>
    </row>
    <row r="294" spans="1:19" hidden="1">
      <c r="A294">
        <f t="shared" si="41"/>
        <v>325</v>
      </c>
      <c r="B294" s="42" t="s">
        <v>31</v>
      </c>
      <c r="C294" s="313">
        <f>SUMIF('Employees Supported'!$A$2:$A$29,$B294,'Employees Supported'!$C$2:$C$29)</f>
        <v>700</v>
      </c>
      <c r="E294" s="2">
        <f t="shared" si="37"/>
        <v>27</v>
      </c>
      <c r="F294" t="str">
        <f t="shared" si="31"/>
        <v>Reserved-27</v>
      </c>
      <c r="G294" t="str">
        <f t="shared" si="42"/>
        <v>SeaITReserved-27</v>
      </c>
      <c r="H294" s="2" t="s">
        <v>67</v>
      </c>
      <c r="O294" s="2" t="s">
        <v>2678</v>
      </c>
      <c r="P294" s="3" t="str">
        <f t="shared" si="43"/>
        <v>NR</v>
      </c>
      <c r="R294" s="127">
        <f t="shared" si="44"/>
        <v>0</v>
      </c>
      <c r="S294" s="118">
        <f t="shared" si="30"/>
        <v>0</v>
      </c>
    </row>
    <row r="295" spans="1:19" hidden="1">
      <c r="A295">
        <f t="shared" si="41"/>
        <v>326</v>
      </c>
      <c r="B295" s="42" t="s">
        <v>29</v>
      </c>
      <c r="C295" s="313">
        <f>SUMIF('Employees Supported'!$A$2:$A$29,$B295,'Employees Supported'!$C$2:$C$29)</f>
        <v>550</v>
      </c>
      <c r="E295" s="2">
        <f t="shared" si="37"/>
        <v>27</v>
      </c>
      <c r="F295" t="str">
        <f t="shared" si="31"/>
        <v>Reserved-27</v>
      </c>
      <c r="G295" t="str">
        <f t="shared" si="42"/>
        <v>SDCIReserved-27</v>
      </c>
      <c r="H295" s="2" t="s">
        <v>67</v>
      </c>
      <c r="O295" s="2" t="s">
        <v>2678</v>
      </c>
      <c r="P295" s="3" t="str">
        <f t="shared" si="43"/>
        <v>NR</v>
      </c>
      <c r="R295" s="127">
        <f t="shared" si="44"/>
        <v>0</v>
      </c>
      <c r="S295" s="118">
        <f t="shared" si="30"/>
        <v>0</v>
      </c>
    </row>
    <row r="296" spans="1:19" hidden="1">
      <c r="A296">
        <f t="shared" si="41"/>
        <v>327</v>
      </c>
      <c r="B296" s="42" t="s">
        <v>27</v>
      </c>
      <c r="C296" s="313">
        <f>SUMIF('Employees Supported'!$A$2:$A$29,$B296,'Employees Supported'!$C$2:$C$29)</f>
        <v>400</v>
      </c>
      <c r="E296" s="2">
        <f t="shared" si="37"/>
        <v>27</v>
      </c>
      <c r="F296" t="str">
        <f t="shared" si="31"/>
        <v>Reserved-27</v>
      </c>
      <c r="G296" t="str">
        <f t="shared" si="42"/>
        <v>SPUReserved-27</v>
      </c>
      <c r="H296" s="2" t="s">
        <v>67</v>
      </c>
      <c r="O296" s="2" t="s">
        <v>2678</v>
      </c>
      <c r="P296" s="3" t="str">
        <f t="shared" si="43"/>
        <v>NR</v>
      </c>
      <c r="R296" s="127">
        <f t="shared" si="44"/>
        <v>0</v>
      </c>
      <c r="S296" s="118">
        <f t="shared" si="30"/>
        <v>0</v>
      </c>
    </row>
    <row r="297" spans="1:19" hidden="1">
      <c r="A297">
        <f t="shared" si="41"/>
        <v>328</v>
      </c>
      <c r="B297" s="42" t="s">
        <v>30</v>
      </c>
      <c r="C297" s="313">
        <f>SUMIF('Employees Supported'!$A$2:$A$29,$B297,'Employees Supported'!$C$2:$C$29)</f>
        <v>300</v>
      </c>
      <c r="E297" s="2">
        <f t="shared" si="37"/>
        <v>27</v>
      </c>
      <c r="F297" t="str">
        <f t="shared" si="31"/>
        <v>Reserved-27</v>
      </c>
      <c r="G297" t="str">
        <f t="shared" si="42"/>
        <v>LibrariesReserved-27</v>
      </c>
      <c r="H297" s="2" t="s">
        <v>67</v>
      </c>
      <c r="O297" s="2" t="s">
        <v>2678</v>
      </c>
      <c r="P297" s="3" t="str">
        <f t="shared" si="43"/>
        <v>NR</v>
      </c>
      <c r="R297" s="127">
        <f t="shared" si="44"/>
        <v>0</v>
      </c>
      <c r="S297" s="118">
        <f t="shared" si="30"/>
        <v>0</v>
      </c>
    </row>
    <row r="298" spans="1:19" hidden="1">
      <c r="A298">
        <f t="shared" si="41"/>
        <v>329</v>
      </c>
      <c r="B298" s="42" t="s">
        <v>26</v>
      </c>
      <c r="C298" s="313">
        <f>SUMIF('Employees Supported'!$A$2:$A$29,$B298,'Employees Supported'!$C$2:$C$29)</f>
        <v>400</v>
      </c>
      <c r="E298" s="2">
        <f t="shared" si="37"/>
        <v>27</v>
      </c>
      <c r="F298" t="str">
        <f t="shared" si="31"/>
        <v>Reserved-27</v>
      </c>
      <c r="G298" t="str">
        <f t="shared" si="42"/>
        <v>ParksReserved-27</v>
      </c>
      <c r="H298" s="2" t="s">
        <v>67</v>
      </c>
      <c r="O298" s="2" t="s">
        <v>2678</v>
      </c>
      <c r="P298" s="3" t="str">
        <f t="shared" si="43"/>
        <v>NR</v>
      </c>
      <c r="R298" s="127">
        <f t="shared" si="44"/>
        <v>0</v>
      </c>
      <c r="S298" s="118">
        <f t="shared" si="30"/>
        <v>0</v>
      </c>
    </row>
    <row r="299" spans="1:19" hidden="1">
      <c r="A299">
        <f t="shared" si="41"/>
        <v>330</v>
      </c>
      <c r="B299" s="42" t="s">
        <v>32</v>
      </c>
      <c r="C299" s="313">
        <f>SUMIF('Employees Supported'!$A$2:$A$29,$B299,'Employees Supported'!$C$2:$C$29)</f>
        <v>400</v>
      </c>
      <c r="E299" s="2">
        <f t="shared" si="37"/>
        <v>27</v>
      </c>
      <c r="F299" t="str">
        <f t="shared" si="31"/>
        <v>Reserved-27</v>
      </c>
      <c r="G299" t="str">
        <f t="shared" si="42"/>
        <v>Seattle CtrReserved-27</v>
      </c>
      <c r="H299" s="2" t="s">
        <v>67</v>
      </c>
      <c r="O299" s="2" t="s">
        <v>2678</v>
      </c>
      <c r="P299" s="3" t="str">
        <f t="shared" si="43"/>
        <v>NR</v>
      </c>
      <c r="R299" s="127">
        <f t="shared" si="44"/>
        <v>0</v>
      </c>
      <c r="S299" s="118">
        <f t="shared" si="30"/>
        <v>0</v>
      </c>
    </row>
    <row r="300" spans="1:19">
      <c r="A300">
        <f t="shared" si="41"/>
        <v>331</v>
      </c>
      <c r="B300" s="42" t="s">
        <v>23</v>
      </c>
      <c r="C300" s="313">
        <v>6500</v>
      </c>
      <c r="E300" s="2">
        <f>+E289+1</f>
        <v>28</v>
      </c>
      <c r="F300" t="str">
        <f t="shared" si="31"/>
        <v>Reserved-28</v>
      </c>
      <c r="G300" t="str">
        <f t="shared" si="42"/>
        <v>FAS-CentralizedReserved-28</v>
      </c>
      <c r="H300" s="2" t="s">
        <v>67</v>
      </c>
      <c r="O300" s="2" t="s">
        <v>2678</v>
      </c>
      <c r="P300" s="3" t="str">
        <f t="shared" si="43"/>
        <v>NR</v>
      </c>
      <c r="R300" s="127">
        <f t="shared" si="44"/>
        <v>0</v>
      </c>
      <c r="S300" s="118">
        <f t="shared" si="30"/>
        <v>0</v>
      </c>
    </row>
    <row r="301" spans="1:19" hidden="1">
      <c r="A301">
        <f t="shared" si="41"/>
        <v>332</v>
      </c>
      <c r="B301" s="42" t="s">
        <v>25</v>
      </c>
      <c r="C301" s="313">
        <f>SUMIF('Employees Supported'!$A$2:$A$29,$B301,'Employees Supported'!$C$2:$C$29)</f>
        <v>1500</v>
      </c>
      <c r="E301" s="2">
        <f t="shared" si="37"/>
        <v>28</v>
      </c>
      <c r="F301" t="str">
        <f t="shared" si="31"/>
        <v>Reserved-28</v>
      </c>
      <c r="G301" t="str">
        <f t="shared" si="42"/>
        <v>SPDReserved-28</v>
      </c>
      <c r="H301" s="2" t="s">
        <v>67</v>
      </c>
      <c r="O301" s="2" t="s">
        <v>2678</v>
      </c>
      <c r="P301" s="3" t="str">
        <f t="shared" si="43"/>
        <v>NR</v>
      </c>
      <c r="R301" s="127">
        <f t="shared" si="44"/>
        <v>0</v>
      </c>
      <c r="S301" s="118">
        <f t="shared" si="30"/>
        <v>0</v>
      </c>
    </row>
    <row r="302" spans="1:19" hidden="1">
      <c r="A302">
        <f t="shared" si="41"/>
        <v>333</v>
      </c>
      <c r="B302" s="42" t="s">
        <v>24</v>
      </c>
      <c r="C302" s="313">
        <f>SUMIF('Employees Supported'!$A$2:$A$29,$B302,'Employees Supported'!$C$2:$C$29)</f>
        <v>1100</v>
      </c>
      <c r="E302" s="2">
        <f t="shared" si="37"/>
        <v>28</v>
      </c>
      <c r="F302" t="str">
        <f t="shared" si="31"/>
        <v>Reserved-28</v>
      </c>
      <c r="G302" t="str">
        <f t="shared" si="42"/>
        <v>SFDReserved-28</v>
      </c>
      <c r="H302" s="2" t="s">
        <v>67</v>
      </c>
      <c r="O302" s="2" t="s">
        <v>2678</v>
      </c>
      <c r="P302" s="3" t="str">
        <f t="shared" si="43"/>
        <v>NR</v>
      </c>
      <c r="R302" s="127">
        <f t="shared" si="44"/>
        <v>0</v>
      </c>
      <c r="S302" s="118">
        <f t="shared" si="30"/>
        <v>0</v>
      </c>
    </row>
    <row r="303" spans="1:19" hidden="1">
      <c r="A303">
        <f t="shared" si="41"/>
        <v>334</v>
      </c>
      <c r="B303" s="42" t="s">
        <v>28</v>
      </c>
      <c r="C303" s="313">
        <f>SUMIF('Employees Supported'!$A$2:$A$29,$B303,'Employees Supported'!$C$2:$C$29)</f>
        <v>1100</v>
      </c>
      <c r="E303" s="2">
        <f t="shared" si="37"/>
        <v>28</v>
      </c>
      <c r="F303" t="str">
        <f t="shared" si="31"/>
        <v>Reserved-28</v>
      </c>
      <c r="G303" t="str">
        <f t="shared" si="42"/>
        <v>SDOTReserved-28</v>
      </c>
      <c r="H303" s="2" t="s">
        <v>67</v>
      </c>
      <c r="O303" s="2" t="s">
        <v>2678</v>
      </c>
      <c r="P303" s="3" t="str">
        <f t="shared" si="43"/>
        <v>NR</v>
      </c>
      <c r="R303" s="127">
        <f t="shared" si="44"/>
        <v>0</v>
      </c>
      <c r="S303" s="118">
        <f t="shared" si="30"/>
        <v>0</v>
      </c>
    </row>
    <row r="304" spans="1:19" hidden="1">
      <c r="A304">
        <f t="shared" si="41"/>
        <v>335</v>
      </c>
      <c r="B304" s="42" t="s">
        <v>33</v>
      </c>
      <c r="C304" s="313">
        <f>SUMIF('Employees Supported'!$A$2:$A$29,$B304,'Employees Supported'!$C$2:$C$29)</f>
        <v>400</v>
      </c>
      <c r="E304" s="2">
        <f t="shared" si="37"/>
        <v>28</v>
      </c>
      <c r="F304" t="str">
        <f t="shared" si="31"/>
        <v>Reserved-28</v>
      </c>
      <c r="G304" t="str">
        <f t="shared" si="42"/>
        <v>SCLReserved-28</v>
      </c>
      <c r="H304" s="2" t="s">
        <v>67</v>
      </c>
      <c r="O304" s="2" t="s">
        <v>2678</v>
      </c>
      <c r="P304" s="3" t="str">
        <f t="shared" si="43"/>
        <v>NR</v>
      </c>
      <c r="R304" s="127">
        <f t="shared" si="44"/>
        <v>0</v>
      </c>
      <c r="S304" s="118">
        <f t="shared" si="30"/>
        <v>0</v>
      </c>
    </row>
    <row r="305" spans="1:19" hidden="1">
      <c r="A305">
        <f t="shared" si="41"/>
        <v>336</v>
      </c>
      <c r="B305" s="42" t="s">
        <v>31</v>
      </c>
      <c r="C305" s="313">
        <f>SUMIF('Employees Supported'!$A$2:$A$29,$B305,'Employees Supported'!$C$2:$C$29)</f>
        <v>700</v>
      </c>
      <c r="E305" s="2">
        <f t="shared" si="37"/>
        <v>28</v>
      </c>
      <c r="F305" t="str">
        <f t="shared" si="31"/>
        <v>Reserved-28</v>
      </c>
      <c r="G305" t="str">
        <f t="shared" si="42"/>
        <v>SeaITReserved-28</v>
      </c>
      <c r="H305" s="2" t="s">
        <v>67</v>
      </c>
      <c r="O305" s="2" t="s">
        <v>2678</v>
      </c>
      <c r="P305" s="3" t="str">
        <f t="shared" si="43"/>
        <v>NR</v>
      </c>
      <c r="R305" s="127">
        <f t="shared" si="44"/>
        <v>0</v>
      </c>
      <c r="S305" s="118">
        <f t="shared" si="30"/>
        <v>0</v>
      </c>
    </row>
    <row r="306" spans="1:19" hidden="1">
      <c r="A306">
        <f t="shared" si="41"/>
        <v>337</v>
      </c>
      <c r="B306" s="42" t="s">
        <v>29</v>
      </c>
      <c r="C306" s="313">
        <f>SUMIF('Employees Supported'!$A$2:$A$29,$B306,'Employees Supported'!$C$2:$C$29)</f>
        <v>550</v>
      </c>
      <c r="E306" s="2">
        <f t="shared" si="37"/>
        <v>28</v>
      </c>
      <c r="F306" t="str">
        <f t="shared" si="31"/>
        <v>Reserved-28</v>
      </c>
      <c r="G306" t="str">
        <f t="shared" si="42"/>
        <v>SDCIReserved-28</v>
      </c>
      <c r="H306" s="2" t="s">
        <v>67</v>
      </c>
      <c r="O306" s="2" t="s">
        <v>2678</v>
      </c>
      <c r="P306" s="3" t="str">
        <f t="shared" si="43"/>
        <v>NR</v>
      </c>
      <c r="R306" s="127">
        <f t="shared" si="44"/>
        <v>0</v>
      </c>
      <c r="S306" s="118">
        <f t="shared" si="30"/>
        <v>0</v>
      </c>
    </row>
    <row r="307" spans="1:19" hidden="1">
      <c r="A307">
        <f t="shared" si="41"/>
        <v>338</v>
      </c>
      <c r="B307" s="42" t="s">
        <v>27</v>
      </c>
      <c r="C307" s="313">
        <f>SUMIF('Employees Supported'!$A$2:$A$29,$B307,'Employees Supported'!$C$2:$C$29)</f>
        <v>400</v>
      </c>
      <c r="E307" s="2">
        <f t="shared" si="37"/>
        <v>28</v>
      </c>
      <c r="F307" t="str">
        <f t="shared" si="31"/>
        <v>Reserved-28</v>
      </c>
      <c r="G307" t="str">
        <f t="shared" si="42"/>
        <v>SPUReserved-28</v>
      </c>
      <c r="H307" s="2" t="s">
        <v>67</v>
      </c>
      <c r="O307" s="2" t="s">
        <v>2678</v>
      </c>
      <c r="P307" s="3" t="str">
        <f t="shared" si="43"/>
        <v>NR</v>
      </c>
      <c r="R307" s="127">
        <f t="shared" si="44"/>
        <v>0</v>
      </c>
      <c r="S307" s="118">
        <f t="shared" si="30"/>
        <v>0</v>
      </c>
    </row>
    <row r="308" spans="1:19" hidden="1">
      <c r="A308">
        <f t="shared" si="41"/>
        <v>339</v>
      </c>
      <c r="B308" s="42" t="s">
        <v>30</v>
      </c>
      <c r="C308" s="313">
        <f>SUMIF('Employees Supported'!$A$2:$A$29,$B308,'Employees Supported'!$C$2:$C$29)</f>
        <v>300</v>
      </c>
      <c r="E308" s="2">
        <f t="shared" si="37"/>
        <v>28</v>
      </c>
      <c r="F308" t="str">
        <f t="shared" si="31"/>
        <v>Reserved-28</v>
      </c>
      <c r="G308" t="str">
        <f t="shared" si="42"/>
        <v>LibrariesReserved-28</v>
      </c>
      <c r="H308" s="2" t="s">
        <v>67</v>
      </c>
      <c r="O308" s="2" t="s">
        <v>2678</v>
      </c>
      <c r="P308" s="3" t="str">
        <f t="shared" si="43"/>
        <v>NR</v>
      </c>
      <c r="R308" s="127">
        <f t="shared" si="44"/>
        <v>0</v>
      </c>
      <c r="S308" s="118">
        <f t="shared" si="30"/>
        <v>0</v>
      </c>
    </row>
    <row r="309" spans="1:19" hidden="1">
      <c r="A309">
        <f t="shared" si="41"/>
        <v>340</v>
      </c>
      <c r="B309" s="42" t="s">
        <v>26</v>
      </c>
      <c r="C309" s="313">
        <f>SUMIF('Employees Supported'!$A$2:$A$29,$B309,'Employees Supported'!$C$2:$C$29)</f>
        <v>400</v>
      </c>
      <c r="E309" s="2">
        <f t="shared" si="37"/>
        <v>28</v>
      </c>
      <c r="F309" t="str">
        <f t="shared" si="31"/>
        <v>Reserved-28</v>
      </c>
      <c r="G309" t="str">
        <f t="shared" si="42"/>
        <v>ParksReserved-28</v>
      </c>
      <c r="H309" s="2" t="s">
        <v>67</v>
      </c>
      <c r="O309" s="2" t="s">
        <v>2678</v>
      </c>
      <c r="P309" s="3" t="str">
        <f t="shared" si="43"/>
        <v>NR</v>
      </c>
      <c r="R309" s="127">
        <f t="shared" si="44"/>
        <v>0</v>
      </c>
      <c r="S309" s="118">
        <f t="shared" si="30"/>
        <v>0</v>
      </c>
    </row>
    <row r="310" spans="1:19" hidden="1">
      <c r="A310">
        <f t="shared" si="41"/>
        <v>341</v>
      </c>
      <c r="B310" s="42" t="s">
        <v>32</v>
      </c>
      <c r="C310" s="313">
        <f>SUMIF('Employees Supported'!$A$2:$A$29,$B310,'Employees Supported'!$C$2:$C$29)</f>
        <v>400</v>
      </c>
      <c r="E310" s="2">
        <f t="shared" si="37"/>
        <v>28</v>
      </c>
      <c r="F310" t="str">
        <f t="shared" si="31"/>
        <v>Reserved-28</v>
      </c>
      <c r="G310" t="str">
        <f t="shared" si="42"/>
        <v>Seattle CtrReserved-28</v>
      </c>
      <c r="H310" s="2" t="s">
        <v>67</v>
      </c>
      <c r="O310" s="2" t="s">
        <v>2678</v>
      </c>
      <c r="P310" s="3" t="str">
        <f t="shared" si="43"/>
        <v>NR</v>
      </c>
      <c r="R310" s="127">
        <f t="shared" si="44"/>
        <v>0</v>
      </c>
      <c r="S310" s="118">
        <f t="shared" si="30"/>
        <v>0</v>
      </c>
    </row>
    <row r="311" spans="1:19">
      <c r="A311">
        <f t="shared" ref="A311:A374" si="45">+A310+1</f>
        <v>342</v>
      </c>
      <c r="B311" s="42" t="s">
        <v>23</v>
      </c>
      <c r="C311" s="313">
        <v>6500</v>
      </c>
      <c r="E311" s="2">
        <f>+E300+1</f>
        <v>29</v>
      </c>
      <c r="F311" t="str">
        <f t="shared" si="31"/>
        <v>Reserved-29</v>
      </c>
      <c r="G311" t="str">
        <f t="shared" si="42"/>
        <v>FAS-CentralizedReserved-29</v>
      </c>
      <c r="H311" s="2" t="s">
        <v>67</v>
      </c>
      <c r="O311" s="2" t="s">
        <v>2678</v>
      </c>
      <c r="P311" s="3" t="str">
        <f t="shared" si="43"/>
        <v>NR</v>
      </c>
      <c r="R311" s="127">
        <f t="shared" si="44"/>
        <v>0</v>
      </c>
      <c r="S311" s="118">
        <f t="shared" si="30"/>
        <v>0</v>
      </c>
    </row>
    <row r="312" spans="1:19" hidden="1">
      <c r="A312">
        <f t="shared" si="45"/>
        <v>343</v>
      </c>
      <c r="B312" s="42" t="s">
        <v>25</v>
      </c>
      <c r="C312" s="313">
        <f>SUMIF('Employees Supported'!$A$2:$A$29,$B312,'Employees Supported'!$C$2:$C$29)</f>
        <v>1500</v>
      </c>
      <c r="E312" s="2">
        <f t="shared" si="37"/>
        <v>29</v>
      </c>
      <c r="F312" t="str">
        <f t="shared" si="31"/>
        <v>Reserved-29</v>
      </c>
      <c r="G312" t="str">
        <f t="shared" ref="G312:G375" si="46">_xlfn.SINGLE(_xlfn.CONCAT(B312,F312))</f>
        <v>SPDReserved-29</v>
      </c>
      <c r="H312" s="2" t="s">
        <v>67</v>
      </c>
      <c r="O312" s="2" t="s">
        <v>2678</v>
      </c>
      <c r="P312" s="3" t="str">
        <f t="shared" ref="P312:P375" si="47">IF(O312="NR","NR",((((C312+D312)*I312)*90)+(J312*90)+(((C312+D312)*K312)*3)+(L312*3)+((C312+D312)*M312)+N312))</f>
        <v>NR</v>
      </c>
      <c r="R312" s="127">
        <f t="shared" ref="R312:R375" si="48">SUM(P312)/90</f>
        <v>0</v>
      </c>
      <c r="S312" s="118">
        <f t="shared" si="30"/>
        <v>0</v>
      </c>
    </row>
    <row r="313" spans="1:19" hidden="1">
      <c r="A313">
        <f t="shared" si="45"/>
        <v>344</v>
      </c>
      <c r="B313" s="42" t="s">
        <v>24</v>
      </c>
      <c r="C313" s="313">
        <f>SUMIF('Employees Supported'!$A$2:$A$29,$B313,'Employees Supported'!$C$2:$C$29)</f>
        <v>1100</v>
      </c>
      <c r="E313" s="2">
        <f t="shared" si="37"/>
        <v>29</v>
      </c>
      <c r="F313" t="str">
        <f t="shared" si="31"/>
        <v>Reserved-29</v>
      </c>
      <c r="G313" t="str">
        <f t="shared" si="46"/>
        <v>SFDReserved-29</v>
      </c>
      <c r="H313" s="2" t="s">
        <v>67</v>
      </c>
      <c r="O313" s="2" t="s">
        <v>2678</v>
      </c>
      <c r="P313" s="3" t="str">
        <f t="shared" si="47"/>
        <v>NR</v>
      </c>
      <c r="R313" s="127">
        <f t="shared" si="48"/>
        <v>0</v>
      </c>
      <c r="S313" s="118">
        <f t="shared" si="30"/>
        <v>0</v>
      </c>
    </row>
    <row r="314" spans="1:19" hidden="1">
      <c r="A314">
        <f t="shared" si="45"/>
        <v>345</v>
      </c>
      <c r="B314" s="42" t="s">
        <v>28</v>
      </c>
      <c r="C314" s="313">
        <f>SUMIF('Employees Supported'!$A$2:$A$29,$B314,'Employees Supported'!$C$2:$C$29)</f>
        <v>1100</v>
      </c>
      <c r="E314" s="2">
        <f t="shared" si="37"/>
        <v>29</v>
      </c>
      <c r="F314" t="str">
        <f t="shared" si="31"/>
        <v>Reserved-29</v>
      </c>
      <c r="G314" t="str">
        <f t="shared" si="46"/>
        <v>SDOTReserved-29</v>
      </c>
      <c r="H314" s="2" t="s">
        <v>67</v>
      </c>
      <c r="O314" s="2" t="s">
        <v>2678</v>
      </c>
      <c r="P314" s="3" t="str">
        <f t="shared" si="47"/>
        <v>NR</v>
      </c>
      <c r="R314" s="127">
        <f t="shared" si="48"/>
        <v>0</v>
      </c>
      <c r="S314" s="118">
        <f t="shared" si="30"/>
        <v>0</v>
      </c>
    </row>
    <row r="315" spans="1:19" hidden="1">
      <c r="A315">
        <f t="shared" si="45"/>
        <v>346</v>
      </c>
      <c r="B315" s="42" t="s">
        <v>33</v>
      </c>
      <c r="C315" s="313">
        <f>SUMIF('Employees Supported'!$A$2:$A$29,$B315,'Employees Supported'!$C$2:$C$29)</f>
        <v>400</v>
      </c>
      <c r="E315" s="2">
        <f t="shared" si="37"/>
        <v>29</v>
      </c>
      <c r="F315" t="str">
        <f t="shared" si="31"/>
        <v>Reserved-29</v>
      </c>
      <c r="G315" t="str">
        <f t="shared" si="46"/>
        <v>SCLReserved-29</v>
      </c>
      <c r="H315" s="2" t="s">
        <v>67</v>
      </c>
      <c r="O315" s="2" t="s">
        <v>2678</v>
      </c>
      <c r="P315" s="3" t="str">
        <f t="shared" si="47"/>
        <v>NR</v>
      </c>
      <c r="R315" s="127">
        <f t="shared" si="48"/>
        <v>0</v>
      </c>
      <c r="S315" s="118">
        <f t="shared" si="30"/>
        <v>0</v>
      </c>
    </row>
    <row r="316" spans="1:19" hidden="1">
      <c r="A316">
        <f t="shared" si="45"/>
        <v>347</v>
      </c>
      <c r="B316" s="42" t="s">
        <v>31</v>
      </c>
      <c r="C316" s="313">
        <f>SUMIF('Employees Supported'!$A$2:$A$29,$B316,'Employees Supported'!$C$2:$C$29)</f>
        <v>700</v>
      </c>
      <c r="E316" s="2">
        <f t="shared" si="37"/>
        <v>29</v>
      </c>
      <c r="F316" t="str">
        <f t="shared" si="31"/>
        <v>Reserved-29</v>
      </c>
      <c r="G316" t="str">
        <f t="shared" si="46"/>
        <v>SeaITReserved-29</v>
      </c>
      <c r="H316" s="2" t="s">
        <v>67</v>
      </c>
      <c r="O316" s="2" t="s">
        <v>2678</v>
      </c>
      <c r="P316" s="3" t="str">
        <f t="shared" si="47"/>
        <v>NR</v>
      </c>
      <c r="R316" s="127">
        <f t="shared" si="48"/>
        <v>0</v>
      </c>
      <c r="S316" s="118">
        <f t="shared" si="30"/>
        <v>0</v>
      </c>
    </row>
    <row r="317" spans="1:19" hidden="1">
      <c r="A317">
        <f t="shared" si="45"/>
        <v>348</v>
      </c>
      <c r="B317" s="42" t="s">
        <v>29</v>
      </c>
      <c r="C317" s="313">
        <f>SUMIF('Employees Supported'!$A$2:$A$29,$B317,'Employees Supported'!$C$2:$C$29)</f>
        <v>550</v>
      </c>
      <c r="E317" s="2">
        <f t="shared" si="37"/>
        <v>29</v>
      </c>
      <c r="F317" t="str">
        <f t="shared" si="31"/>
        <v>Reserved-29</v>
      </c>
      <c r="G317" t="str">
        <f t="shared" si="46"/>
        <v>SDCIReserved-29</v>
      </c>
      <c r="H317" s="2" t="s">
        <v>67</v>
      </c>
      <c r="O317" s="2" t="s">
        <v>2678</v>
      </c>
      <c r="P317" s="3" t="str">
        <f t="shared" si="47"/>
        <v>NR</v>
      </c>
      <c r="R317" s="127">
        <f t="shared" si="48"/>
        <v>0</v>
      </c>
      <c r="S317" s="118">
        <f t="shared" si="30"/>
        <v>0</v>
      </c>
    </row>
    <row r="318" spans="1:19" hidden="1">
      <c r="A318">
        <f t="shared" si="45"/>
        <v>349</v>
      </c>
      <c r="B318" s="42" t="s">
        <v>27</v>
      </c>
      <c r="C318" s="313">
        <f>SUMIF('Employees Supported'!$A$2:$A$29,$B318,'Employees Supported'!$C$2:$C$29)</f>
        <v>400</v>
      </c>
      <c r="E318" s="2">
        <f t="shared" si="37"/>
        <v>29</v>
      </c>
      <c r="F318" t="str">
        <f t="shared" si="31"/>
        <v>Reserved-29</v>
      </c>
      <c r="G318" t="str">
        <f t="shared" si="46"/>
        <v>SPUReserved-29</v>
      </c>
      <c r="H318" s="2" t="s">
        <v>67</v>
      </c>
      <c r="O318" s="2" t="s">
        <v>2678</v>
      </c>
      <c r="P318" s="3" t="str">
        <f t="shared" si="47"/>
        <v>NR</v>
      </c>
      <c r="R318" s="127">
        <f t="shared" si="48"/>
        <v>0</v>
      </c>
      <c r="S318" s="118">
        <f t="shared" si="30"/>
        <v>0</v>
      </c>
    </row>
    <row r="319" spans="1:19" hidden="1">
      <c r="A319">
        <f t="shared" si="45"/>
        <v>350</v>
      </c>
      <c r="B319" s="42" t="s">
        <v>30</v>
      </c>
      <c r="C319" s="313">
        <f>SUMIF('Employees Supported'!$A$2:$A$29,$B319,'Employees Supported'!$C$2:$C$29)</f>
        <v>300</v>
      </c>
      <c r="E319" s="2">
        <f t="shared" si="37"/>
        <v>29</v>
      </c>
      <c r="F319" t="str">
        <f t="shared" si="31"/>
        <v>Reserved-29</v>
      </c>
      <c r="G319" t="str">
        <f t="shared" si="46"/>
        <v>LibrariesReserved-29</v>
      </c>
      <c r="H319" s="2" t="s">
        <v>67</v>
      </c>
      <c r="O319" s="2" t="s">
        <v>2678</v>
      </c>
      <c r="P319" s="3" t="str">
        <f t="shared" si="47"/>
        <v>NR</v>
      </c>
      <c r="R319" s="127">
        <f t="shared" si="48"/>
        <v>0</v>
      </c>
      <c r="S319" s="118">
        <f t="shared" si="30"/>
        <v>0</v>
      </c>
    </row>
    <row r="320" spans="1:19" hidden="1">
      <c r="A320">
        <f t="shared" si="45"/>
        <v>351</v>
      </c>
      <c r="B320" s="42" t="s">
        <v>26</v>
      </c>
      <c r="C320" s="313">
        <f>SUMIF('Employees Supported'!$A$2:$A$29,$B320,'Employees Supported'!$C$2:$C$29)</f>
        <v>400</v>
      </c>
      <c r="E320" s="2">
        <f t="shared" si="37"/>
        <v>29</v>
      </c>
      <c r="F320" t="str">
        <f t="shared" si="31"/>
        <v>Reserved-29</v>
      </c>
      <c r="G320" t="str">
        <f t="shared" si="46"/>
        <v>ParksReserved-29</v>
      </c>
      <c r="H320" s="2" t="s">
        <v>67</v>
      </c>
      <c r="O320" s="2" t="s">
        <v>2678</v>
      </c>
      <c r="P320" s="3" t="str">
        <f t="shared" si="47"/>
        <v>NR</v>
      </c>
      <c r="R320" s="127">
        <f t="shared" si="48"/>
        <v>0</v>
      </c>
      <c r="S320" s="118">
        <f t="shared" si="30"/>
        <v>0</v>
      </c>
    </row>
    <row r="321" spans="1:19" hidden="1">
      <c r="A321">
        <f t="shared" si="45"/>
        <v>352</v>
      </c>
      <c r="B321" s="42" t="s">
        <v>32</v>
      </c>
      <c r="C321" s="313">
        <f>SUMIF('Employees Supported'!$A$2:$A$29,$B321,'Employees Supported'!$C$2:$C$29)</f>
        <v>400</v>
      </c>
      <c r="E321" s="2">
        <f t="shared" si="37"/>
        <v>29</v>
      </c>
      <c r="F321" t="str">
        <f t="shared" si="31"/>
        <v>Reserved-29</v>
      </c>
      <c r="G321" t="str">
        <f t="shared" si="46"/>
        <v>Seattle CtrReserved-29</v>
      </c>
      <c r="H321" s="2" t="s">
        <v>67</v>
      </c>
      <c r="O321" s="2" t="s">
        <v>2678</v>
      </c>
      <c r="P321" s="3" t="str">
        <f t="shared" si="47"/>
        <v>NR</v>
      </c>
      <c r="R321" s="127">
        <f t="shared" si="48"/>
        <v>0</v>
      </c>
      <c r="S321" s="118">
        <f t="shared" si="30"/>
        <v>0</v>
      </c>
    </row>
    <row r="322" spans="1:19">
      <c r="A322">
        <f t="shared" si="45"/>
        <v>353</v>
      </c>
      <c r="B322" s="42" t="s">
        <v>23</v>
      </c>
      <c r="C322" s="313">
        <v>6500</v>
      </c>
      <c r="E322" s="2">
        <f>+E311+1</f>
        <v>30</v>
      </c>
      <c r="F322" t="str">
        <f t="shared" si="31"/>
        <v>Reserved-30</v>
      </c>
      <c r="G322" t="str">
        <f t="shared" si="46"/>
        <v>FAS-CentralizedReserved-30</v>
      </c>
      <c r="H322" s="2" t="s">
        <v>67</v>
      </c>
      <c r="O322" s="2" t="s">
        <v>2678</v>
      </c>
      <c r="P322" s="3" t="str">
        <f t="shared" si="47"/>
        <v>NR</v>
      </c>
      <c r="R322" s="127">
        <f t="shared" si="48"/>
        <v>0</v>
      </c>
      <c r="S322" s="118">
        <f t="shared" si="30"/>
        <v>0</v>
      </c>
    </row>
    <row r="323" spans="1:19" hidden="1">
      <c r="A323">
        <f t="shared" si="45"/>
        <v>354</v>
      </c>
      <c r="B323" s="42" t="s">
        <v>25</v>
      </c>
      <c r="C323" s="313">
        <f>SUMIF('Employees Supported'!$A$2:$A$29,$B323,'Employees Supported'!$C$2:$C$29)</f>
        <v>1500</v>
      </c>
      <c r="E323" s="2">
        <f t="shared" si="37"/>
        <v>30</v>
      </c>
      <c r="F323" t="str">
        <f t="shared" si="31"/>
        <v>Reserved-30</v>
      </c>
      <c r="G323" t="str">
        <f t="shared" si="46"/>
        <v>SPDReserved-30</v>
      </c>
      <c r="H323" s="2" t="s">
        <v>67</v>
      </c>
      <c r="O323" s="2" t="s">
        <v>2678</v>
      </c>
      <c r="P323" s="3" t="str">
        <f t="shared" si="47"/>
        <v>NR</v>
      </c>
      <c r="R323" s="127">
        <f t="shared" si="48"/>
        <v>0</v>
      </c>
      <c r="S323" s="118">
        <f t="shared" si="30"/>
        <v>0</v>
      </c>
    </row>
    <row r="324" spans="1:19" hidden="1">
      <c r="A324">
        <f t="shared" si="45"/>
        <v>355</v>
      </c>
      <c r="B324" s="42" t="s">
        <v>24</v>
      </c>
      <c r="C324" s="313">
        <f>SUMIF('Employees Supported'!$A$2:$A$29,$B324,'Employees Supported'!$C$2:$C$29)</f>
        <v>1100</v>
      </c>
      <c r="E324" s="2">
        <f t="shared" si="37"/>
        <v>30</v>
      </c>
      <c r="F324" t="str">
        <f t="shared" si="31"/>
        <v>Reserved-30</v>
      </c>
      <c r="G324" t="str">
        <f t="shared" si="46"/>
        <v>SFDReserved-30</v>
      </c>
      <c r="H324" s="2" t="s">
        <v>67</v>
      </c>
      <c r="O324" s="2" t="s">
        <v>2678</v>
      </c>
      <c r="P324" s="3" t="str">
        <f t="shared" si="47"/>
        <v>NR</v>
      </c>
      <c r="R324" s="127">
        <f t="shared" si="48"/>
        <v>0</v>
      </c>
      <c r="S324" s="118">
        <f t="shared" ref="S324:S387" si="49">R324*7</f>
        <v>0</v>
      </c>
    </row>
    <row r="325" spans="1:19" hidden="1">
      <c r="A325">
        <f t="shared" si="45"/>
        <v>356</v>
      </c>
      <c r="B325" s="42" t="s">
        <v>28</v>
      </c>
      <c r="C325" s="313">
        <f>SUMIF('Employees Supported'!$A$2:$A$29,$B325,'Employees Supported'!$C$2:$C$29)</f>
        <v>1100</v>
      </c>
      <c r="E325" s="2">
        <f t="shared" si="37"/>
        <v>30</v>
      </c>
      <c r="F325" t="str">
        <f t="shared" si="31"/>
        <v>Reserved-30</v>
      </c>
      <c r="G325" t="str">
        <f t="shared" si="46"/>
        <v>SDOTReserved-30</v>
      </c>
      <c r="H325" s="2" t="s">
        <v>67</v>
      </c>
      <c r="O325" s="2" t="s">
        <v>2678</v>
      </c>
      <c r="P325" s="3" t="str">
        <f t="shared" si="47"/>
        <v>NR</v>
      </c>
      <c r="R325" s="127">
        <f t="shared" si="48"/>
        <v>0</v>
      </c>
      <c r="S325" s="118">
        <f t="shared" si="49"/>
        <v>0</v>
      </c>
    </row>
    <row r="326" spans="1:19" hidden="1">
      <c r="A326">
        <f t="shared" si="45"/>
        <v>357</v>
      </c>
      <c r="B326" s="42" t="s">
        <v>33</v>
      </c>
      <c r="C326" s="313">
        <f>SUMIF('Employees Supported'!$A$2:$A$29,$B326,'Employees Supported'!$C$2:$C$29)</f>
        <v>400</v>
      </c>
      <c r="E326" s="2">
        <f t="shared" si="37"/>
        <v>30</v>
      </c>
      <c r="F326" t="str">
        <f t="shared" si="31"/>
        <v>Reserved-30</v>
      </c>
      <c r="G326" t="str">
        <f t="shared" si="46"/>
        <v>SCLReserved-30</v>
      </c>
      <c r="H326" s="2" t="s">
        <v>67</v>
      </c>
      <c r="O326" s="2" t="s">
        <v>2678</v>
      </c>
      <c r="P326" s="3" t="str">
        <f t="shared" si="47"/>
        <v>NR</v>
      </c>
      <c r="R326" s="127">
        <f t="shared" si="48"/>
        <v>0</v>
      </c>
      <c r="S326" s="118">
        <f t="shared" si="49"/>
        <v>0</v>
      </c>
    </row>
    <row r="327" spans="1:19" hidden="1">
      <c r="A327">
        <f t="shared" si="45"/>
        <v>358</v>
      </c>
      <c r="B327" s="42" t="s">
        <v>31</v>
      </c>
      <c r="C327" s="313">
        <f>SUMIF('Employees Supported'!$A$2:$A$29,$B327,'Employees Supported'!$C$2:$C$29)</f>
        <v>700</v>
      </c>
      <c r="E327" s="2">
        <f t="shared" si="37"/>
        <v>30</v>
      </c>
      <c r="F327" t="str">
        <f t="shared" si="31"/>
        <v>Reserved-30</v>
      </c>
      <c r="G327" t="str">
        <f t="shared" si="46"/>
        <v>SeaITReserved-30</v>
      </c>
      <c r="H327" s="2" t="s">
        <v>67</v>
      </c>
      <c r="O327" s="2" t="s">
        <v>2678</v>
      </c>
      <c r="P327" s="3" t="str">
        <f t="shared" si="47"/>
        <v>NR</v>
      </c>
      <c r="R327" s="127">
        <f t="shared" si="48"/>
        <v>0</v>
      </c>
      <c r="S327" s="118">
        <f t="shared" si="49"/>
        <v>0</v>
      </c>
    </row>
    <row r="328" spans="1:19" hidden="1">
      <c r="A328">
        <f t="shared" si="45"/>
        <v>359</v>
      </c>
      <c r="B328" s="42" t="s">
        <v>29</v>
      </c>
      <c r="C328" s="313">
        <f>SUMIF('Employees Supported'!$A$2:$A$29,$B328,'Employees Supported'!$C$2:$C$29)</f>
        <v>550</v>
      </c>
      <c r="E328" s="2">
        <f t="shared" si="37"/>
        <v>30</v>
      </c>
      <c r="F328" t="str">
        <f t="shared" si="31"/>
        <v>Reserved-30</v>
      </c>
      <c r="G328" t="str">
        <f t="shared" si="46"/>
        <v>SDCIReserved-30</v>
      </c>
      <c r="H328" s="2" t="s">
        <v>67</v>
      </c>
      <c r="O328" s="2" t="s">
        <v>2678</v>
      </c>
      <c r="P328" s="3" t="str">
        <f t="shared" si="47"/>
        <v>NR</v>
      </c>
      <c r="R328" s="127">
        <f t="shared" si="48"/>
        <v>0</v>
      </c>
      <c r="S328" s="118">
        <f t="shared" si="49"/>
        <v>0</v>
      </c>
    </row>
    <row r="329" spans="1:19" hidden="1">
      <c r="A329">
        <f t="shared" si="45"/>
        <v>360</v>
      </c>
      <c r="B329" s="42" t="s">
        <v>27</v>
      </c>
      <c r="C329" s="313">
        <f>SUMIF('Employees Supported'!$A$2:$A$29,$B329,'Employees Supported'!$C$2:$C$29)</f>
        <v>400</v>
      </c>
      <c r="E329" s="2">
        <f t="shared" si="37"/>
        <v>30</v>
      </c>
      <c r="F329" t="str">
        <f t="shared" si="31"/>
        <v>Reserved-30</v>
      </c>
      <c r="G329" t="str">
        <f t="shared" si="46"/>
        <v>SPUReserved-30</v>
      </c>
      <c r="H329" s="2" t="s">
        <v>67</v>
      </c>
      <c r="O329" s="2" t="s">
        <v>2678</v>
      </c>
      <c r="P329" s="3" t="str">
        <f t="shared" si="47"/>
        <v>NR</v>
      </c>
      <c r="R329" s="127">
        <f t="shared" si="48"/>
        <v>0</v>
      </c>
      <c r="S329" s="118">
        <f t="shared" si="49"/>
        <v>0</v>
      </c>
    </row>
    <row r="330" spans="1:19" hidden="1">
      <c r="A330">
        <f t="shared" si="45"/>
        <v>361</v>
      </c>
      <c r="B330" s="42" t="s">
        <v>30</v>
      </c>
      <c r="C330" s="313">
        <f>SUMIF('Employees Supported'!$A$2:$A$29,$B330,'Employees Supported'!$C$2:$C$29)</f>
        <v>300</v>
      </c>
      <c r="E330" s="2">
        <f t="shared" si="37"/>
        <v>30</v>
      </c>
      <c r="F330" t="str">
        <f t="shared" si="31"/>
        <v>Reserved-30</v>
      </c>
      <c r="G330" t="str">
        <f t="shared" si="46"/>
        <v>LibrariesReserved-30</v>
      </c>
      <c r="H330" s="2" t="s">
        <v>67</v>
      </c>
      <c r="O330" s="2" t="s">
        <v>2678</v>
      </c>
      <c r="P330" s="3" t="str">
        <f t="shared" si="47"/>
        <v>NR</v>
      </c>
      <c r="R330" s="127">
        <f t="shared" si="48"/>
        <v>0</v>
      </c>
      <c r="S330" s="118">
        <f t="shared" si="49"/>
        <v>0</v>
      </c>
    </row>
    <row r="331" spans="1:19" hidden="1">
      <c r="A331">
        <f t="shared" si="45"/>
        <v>362</v>
      </c>
      <c r="B331" s="42" t="s">
        <v>26</v>
      </c>
      <c r="C331" s="313">
        <f>SUMIF('Employees Supported'!$A$2:$A$29,$B331,'Employees Supported'!$C$2:$C$29)</f>
        <v>400</v>
      </c>
      <c r="E331" s="2">
        <f t="shared" si="37"/>
        <v>30</v>
      </c>
      <c r="F331" t="str">
        <f t="shared" ref="F331:F394" si="50">_xlfn.SINGLE(_xlfn.CONCAT("Reserved-",E331))</f>
        <v>Reserved-30</v>
      </c>
      <c r="G331" t="str">
        <f t="shared" si="46"/>
        <v>ParksReserved-30</v>
      </c>
      <c r="H331" s="2" t="s">
        <v>67</v>
      </c>
      <c r="O331" s="2" t="s">
        <v>2678</v>
      </c>
      <c r="P331" s="3" t="str">
        <f t="shared" si="47"/>
        <v>NR</v>
      </c>
      <c r="R331" s="127">
        <f t="shared" si="48"/>
        <v>0</v>
      </c>
      <c r="S331" s="118">
        <f t="shared" si="49"/>
        <v>0</v>
      </c>
    </row>
    <row r="332" spans="1:19" hidden="1">
      <c r="A332">
        <f t="shared" si="45"/>
        <v>363</v>
      </c>
      <c r="B332" s="42" t="s">
        <v>32</v>
      </c>
      <c r="C332" s="313">
        <f>SUMIF('Employees Supported'!$A$2:$A$29,$B332,'Employees Supported'!$C$2:$C$29)</f>
        <v>400</v>
      </c>
      <c r="E332" s="2">
        <f t="shared" si="37"/>
        <v>30</v>
      </c>
      <c r="F332" t="str">
        <f t="shared" si="50"/>
        <v>Reserved-30</v>
      </c>
      <c r="G332" t="str">
        <f t="shared" si="46"/>
        <v>Seattle CtrReserved-30</v>
      </c>
      <c r="H332" s="2" t="s">
        <v>67</v>
      </c>
      <c r="O332" s="2" t="s">
        <v>2678</v>
      </c>
      <c r="P332" s="3" t="str">
        <f t="shared" si="47"/>
        <v>NR</v>
      </c>
      <c r="R332" s="127">
        <f t="shared" si="48"/>
        <v>0</v>
      </c>
      <c r="S332" s="118">
        <f t="shared" si="49"/>
        <v>0</v>
      </c>
    </row>
    <row r="333" spans="1:19">
      <c r="A333">
        <f t="shared" si="45"/>
        <v>364</v>
      </c>
      <c r="B333" s="42" t="s">
        <v>23</v>
      </c>
      <c r="C333" s="313">
        <v>6500</v>
      </c>
      <c r="E333" s="2">
        <f>+E322+1</f>
        <v>31</v>
      </c>
      <c r="F333" t="str">
        <f t="shared" si="50"/>
        <v>Reserved-31</v>
      </c>
      <c r="G333" t="str">
        <f t="shared" si="46"/>
        <v>FAS-CentralizedReserved-31</v>
      </c>
      <c r="H333" s="2" t="s">
        <v>67</v>
      </c>
      <c r="O333" s="2" t="s">
        <v>2678</v>
      </c>
      <c r="P333" s="3" t="str">
        <f t="shared" si="47"/>
        <v>NR</v>
      </c>
      <c r="R333" s="127">
        <f t="shared" si="48"/>
        <v>0</v>
      </c>
      <c r="S333" s="118">
        <f t="shared" si="49"/>
        <v>0</v>
      </c>
    </row>
    <row r="334" spans="1:19" hidden="1">
      <c r="A334">
        <f t="shared" si="45"/>
        <v>365</v>
      </c>
      <c r="B334" s="42" t="s">
        <v>25</v>
      </c>
      <c r="C334" s="313">
        <f>SUMIF('Employees Supported'!$A$2:$A$29,$B334,'Employees Supported'!$C$2:$C$29)</f>
        <v>1500</v>
      </c>
      <c r="E334" s="2">
        <f t="shared" si="37"/>
        <v>31</v>
      </c>
      <c r="F334" t="str">
        <f t="shared" si="50"/>
        <v>Reserved-31</v>
      </c>
      <c r="G334" t="str">
        <f t="shared" si="46"/>
        <v>SPDReserved-31</v>
      </c>
      <c r="H334" s="2" t="s">
        <v>67</v>
      </c>
      <c r="O334" s="2" t="s">
        <v>2678</v>
      </c>
      <c r="P334" s="3" t="str">
        <f t="shared" si="47"/>
        <v>NR</v>
      </c>
      <c r="R334" s="127">
        <f t="shared" si="48"/>
        <v>0</v>
      </c>
      <c r="S334" s="118">
        <f t="shared" si="49"/>
        <v>0</v>
      </c>
    </row>
    <row r="335" spans="1:19" hidden="1">
      <c r="A335">
        <f t="shared" si="45"/>
        <v>366</v>
      </c>
      <c r="B335" s="42" t="s">
        <v>24</v>
      </c>
      <c r="C335" s="313">
        <f>SUMIF('Employees Supported'!$A$2:$A$29,$B335,'Employees Supported'!$C$2:$C$29)</f>
        <v>1100</v>
      </c>
      <c r="E335" s="2">
        <f t="shared" si="37"/>
        <v>31</v>
      </c>
      <c r="F335" t="str">
        <f t="shared" si="50"/>
        <v>Reserved-31</v>
      </c>
      <c r="G335" t="str">
        <f t="shared" si="46"/>
        <v>SFDReserved-31</v>
      </c>
      <c r="H335" s="2" t="s">
        <v>67</v>
      </c>
      <c r="O335" s="2" t="s">
        <v>2678</v>
      </c>
      <c r="P335" s="3" t="str">
        <f t="shared" si="47"/>
        <v>NR</v>
      </c>
      <c r="R335" s="127">
        <f t="shared" si="48"/>
        <v>0</v>
      </c>
      <c r="S335" s="118">
        <f t="shared" si="49"/>
        <v>0</v>
      </c>
    </row>
    <row r="336" spans="1:19" hidden="1">
      <c r="A336">
        <f t="shared" si="45"/>
        <v>367</v>
      </c>
      <c r="B336" s="42" t="s">
        <v>28</v>
      </c>
      <c r="C336" s="313">
        <f>SUMIF('Employees Supported'!$A$2:$A$29,$B336,'Employees Supported'!$C$2:$C$29)</f>
        <v>1100</v>
      </c>
      <c r="E336" s="2">
        <f t="shared" si="37"/>
        <v>31</v>
      </c>
      <c r="F336" t="str">
        <f t="shared" si="50"/>
        <v>Reserved-31</v>
      </c>
      <c r="G336" t="str">
        <f t="shared" si="46"/>
        <v>SDOTReserved-31</v>
      </c>
      <c r="H336" s="2" t="s">
        <v>67</v>
      </c>
      <c r="O336" s="2" t="s">
        <v>2678</v>
      </c>
      <c r="P336" s="3" t="str">
        <f t="shared" si="47"/>
        <v>NR</v>
      </c>
      <c r="R336" s="127">
        <f t="shared" si="48"/>
        <v>0</v>
      </c>
      <c r="S336" s="118">
        <f t="shared" si="49"/>
        <v>0</v>
      </c>
    </row>
    <row r="337" spans="1:19" hidden="1">
      <c r="A337">
        <f t="shared" si="45"/>
        <v>368</v>
      </c>
      <c r="B337" s="42" t="s">
        <v>33</v>
      </c>
      <c r="C337" s="313">
        <f>SUMIF('Employees Supported'!$A$2:$A$29,$B337,'Employees Supported'!$C$2:$C$29)</f>
        <v>400</v>
      </c>
      <c r="E337" s="2">
        <f t="shared" si="37"/>
        <v>31</v>
      </c>
      <c r="F337" t="str">
        <f t="shared" si="50"/>
        <v>Reserved-31</v>
      </c>
      <c r="G337" t="str">
        <f t="shared" si="46"/>
        <v>SCLReserved-31</v>
      </c>
      <c r="H337" s="2" t="s">
        <v>67</v>
      </c>
      <c r="O337" s="2" t="s">
        <v>2678</v>
      </c>
      <c r="P337" s="3" t="str">
        <f t="shared" si="47"/>
        <v>NR</v>
      </c>
      <c r="R337" s="127">
        <f t="shared" si="48"/>
        <v>0</v>
      </c>
      <c r="S337" s="118">
        <f t="shared" si="49"/>
        <v>0</v>
      </c>
    </row>
    <row r="338" spans="1:19" hidden="1">
      <c r="A338">
        <f t="shared" si="45"/>
        <v>369</v>
      </c>
      <c r="B338" s="42" t="s">
        <v>31</v>
      </c>
      <c r="C338" s="313">
        <f>SUMIF('Employees Supported'!$A$2:$A$29,$B338,'Employees Supported'!$C$2:$C$29)</f>
        <v>700</v>
      </c>
      <c r="E338" s="2">
        <f t="shared" si="37"/>
        <v>31</v>
      </c>
      <c r="F338" t="str">
        <f t="shared" si="50"/>
        <v>Reserved-31</v>
      </c>
      <c r="G338" t="str">
        <f t="shared" si="46"/>
        <v>SeaITReserved-31</v>
      </c>
      <c r="H338" s="2" t="s">
        <v>67</v>
      </c>
      <c r="O338" s="2" t="s">
        <v>2678</v>
      </c>
      <c r="P338" s="3" t="str">
        <f t="shared" si="47"/>
        <v>NR</v>
      </c>
      <c r="R338" s="127">
        <f t="shared" si="48"/>
        <v>0</v>
      </c>
      <c r="S338" s="118">
        <f t="shared" si="49"/>
        <v>0</v>
      </c>
    </row>
    <row r="339" spans="1:19" hidden="1">
      <c r="A339">
        <f t="shared" si="45"/>
        <v>370</v>
      </c>
      <c r="B339" s="42" t="s">
        <v>29</v>
      </c>
      <c r="C339" s="313">
        <f>SUMIF('Employees Supported'!$A$2:$A$29,$B339,'Employees Supported'!$C$2:$C$29)</f>
        <v>550</v>
      </c>
      <c r="E339" s="2">
        <f t="shared" si="37"/>
        <v>31</v>
      </c>
      <c r="F339" t="str">
        <f t="shared" si="50"/>
        <v>Reserved-31</v>
      </c>
      <c r="G339" t="str">
        <f t="shared" si="46"/>
        <v>SDCIReserved-31</v>
      </c>
      <c r="H339" s="2" t="s">
        <v>67</v>
      </c>
      <c r="O339" s="2" t="s">
        <v>2678</v>
      </c>
      <c r="P339" s="3" t="str">
        <f t="shared" si="47"/>
        <v>NR</v>
      </c>
      <c r="R339" s="127">
        <f t="shared" si="48"/>
        <v>0</v>
      </c>
      <c r="S339" s="118">
        <f t="shared" si="49"/>
        <v>0</v>
      </c>
    </row>
    <row r="340" spans="1:19" hidden="1">
      <c r="A340">
        <f t="shared" si="45"/>
        <v>371</v>
      </c>
      <c r="B340" s="42" t="s">
        <v>27</v>
      </c>
      <c r="C340" s="313">
        <f>SUMIF('Employees Supported'!$A$2:$A$29,$B340,'Employees Supported'!$C$2:$C$29)</f>
        <v>400</v>
      </c>
      <c r="E340" s="2">
        <f t="shared" si="37"/>
        <v>31</v>
      </c>
      <c r="F340" t="str">
        <f t="shared" si="50"/>
        <v>Reserved-31</v>
      </c>
      <c r="G340" t="str">
        <f t="shared" si="46"/>
        <v>SPUReserved-31</v>
      </c>
      <c r="H340" s="2" t="s">
        <v>67</v>
      </c>
      <c r="O340" s="2" t="s">
        <v>2678</v>
      </c>
      <c r="P340" s="3" t="str">
        <f t="shared" si="47"/>
        <v>NR</v>
      </c>
      <c r="R340" s="127">
        <f t="shared" si="48"/>
        <v>0</v>
      </c>
      <c r="S340" s="118">
        <f t="shared" si="49"/>
        <v>0</v>
      </c>
    </row>
    <row r="341" spans="1:19" hidden="1">
      <c r="A341">
        <f t="shared" si="45"/>
        <v>372</v>
      </c>
      <c r="B341" s="42" t="s">
        <v>30</v>
      </c>
      <c r="C341" s="313">
        <f>SUMIF('Employees Supported'!$A$2:$A$29,$B341,'Employees Supported'!$C$2:$C$29)</f>
        <v>300</v>
      </c>
      <c r="E341" s="2">
        <f t="shared" si="37"/>
        <v>31</v>
      </c>
      <c r="F341" t="str">
        <f t="shared" si="50"/>
        <v>Reserved-31</v>
      </c>
      <c r="G341" t="str">
        <f t="shared" si="46"/>
        <v>LibrariesReserved-31</v>
      </c>
      <c r="H341" s="2" t="s">
        <v>67</v>
      </c>
      <c r="O341" s="2" t="s">
        <v>2678</v>
      </c>
      <c r="P341" s="3" t="str">
        <f t="shared" si="47"/>
        <v>NR</v>
      </c>
      <c r="R341" s="127">
        <f t="shared" si="48"/>
        <v>0</v>
      </c>
      <c r="S341" s="118">
        <f t="shared" si="49"/>
        <v>0</v>
      </c>
    </row>
    <row r="342" spans="1:19" hidden="1">
      <c r="A342">
        <f t="shared" si="45"/>
        <v>373</v>
      </c>
      <c r="B342" s="42" t="s">
        <v>26</v>
      </c>
      <c r="C342" s="313">
        <f>SUMIF('Employees Supported'!$A$2:$A$29,$B342,'Employees Supported'!$C$2:$C$29)</f>
        <v>400</v>
      </c>
      <c r="E342" s="2">
        <f t="shared" si="37"/>
        <v>31</v>
      </c>
      <c r="F342" t="str">
        <f t="shared" si="50"/>
        <v>Reserved-31</v>
      </c>
      <c r="G342" t="str">
        <f t="shared" si="46"/>
        <v>ParksReserved-31</v>
      </c>
      <c r="H342" s="2" t="s">
        <v>67</v>
      </c>
      <c r="O342" s="2" t="s">
        <v>2678</v>
      </c>
      <c r="P342" s="3" t="str">
        <f t="shared" si="47"/>
        <v>NR</v>
      </c>
      <c r="R342" s="127">
        <f t="shared" si="48"/>
        <v>0</v>
      </c>
      <c r="S342" s="118">
        <f t="shared" si="49"/>
        <v>0</v>
      </c>
    </row>
    <row r="343" spans="1:19" hidden="1">
      <c r="A343">
        <f t="shared" si="45"/>
        <v>374</v>
      </c>
      <c r="B343" s="42" t="s">
        <v>32</v>
      </c>
      <c r="C343" s="313">
        <f>SUMIF('Employees Supported'!$A$2:$A$29,$B343,'Employees Supported'!$C$2:$C$29)</f>
        <v>400</v>
      </c>
      <c r="E343" s="2">
        <f t="shared" ref="E343" si="51">+E332+1</f>
        <v>31</v>
      </c>
      <c r="F343" t="str">
        <f t="shared" si="50"/>
        <v>Reserved-31</v>
      </c>
      <c r="G343" t="str">
        <f t="shared" si="46"/>
        <v>Seattle CtrReserved-31</v>
      </c>
      <c r="H343" s="2" t="s">
        <v>67</v>
      </c>
      <c r="O343" s="2" t="s">
        <v>2678</v>
      </c>
      <c r="P343" s="3" t="str">
        <f t="shared" si="47"/>
        <v>NR</v>
      </c>
      <c r="R343" s="127">
        <f t="shared" si="48"/>
        <v>0</v>
      </c>
      <c r="S343" s="118">
        <f t="shared" si="49"/>
        <v>0</v>
      </c>
    </row>
    <row r="344" spans="1:19">
      <c r="A344">
        <f t="shared" si="45"/>
        <v>375</v>
      </c>
      <c r="B344" s="42" t="s">
        <v>23</v>
      </c>
      <c r="C344" s="313">
        <v>6500</v>
      </c>
      <c r="E344" s="2">
        <f>+E333+1</f>
        <v>32</v>
      </c>
      <c r="F344" t="str">
        <f t="shared" si="50"/>
        <v>Reserved-32</v>
      </c>
      <c r="G344" t="str">
        <f t="shared" si="46"/>
        <v>FAS-CentralizedReserved-32</v>
      </c>
      <c r="H344" s="2" t="s">
        <v>67</v>
      </c>
      <c r="O344" s="2" t="s">
        <v>2678</v>
      </c>
      <c r="P344" s="3" t="str">
        <f t="shared" si="47"/>
        <v>NR</v>
      </c>
      <c r="R344" s="127">
        <f t="shared" si="48"/>
        <v>0</v>
      </c>
      <c r="S344" s="118">
        <f t="shared" si="49"/>
        <v>0</v>
      </c>
    </row>
    <row r="345" spans="1:19" hidden="1">
      <c r="A345">
        <f t="shared" si="45"/>
        <v>376</v>
      </c>
      <c r="B345" s="42" t="s">
        <v>25</v>
      </c>
      <c r="C345" s="313">
        <f>SUMIF('Employees Supported'!$A$2:$A$29,$B345,'Employees Supported'!$C$2:$C$29)</f>
        <v>1500</v>
      </c>
      <c r="E345" s="2">
        <f t="shared" ref="E345:E365" si="52">+E334+1</f>
        <v>32</v>
      </c>
      <c r="F345" t="str">
        <f t="shared" si="50"/>
        <v>Reserved-32</v>
      </c>
      <c r="G345" t="str">
        <f t="shared" si="46"/>
        <v>SPDReserved-32</v>
      </c>
      <c r="H345" s="2" t="s">
        <v>67</v>
      </c>
      <c r="O345" s="2" t="s">
        <v>2678</v>
      </c>
      <c r="P345" s="3" t="str">
        <f t="shared" si="47"/>
        <v>NR</v>
      </c>
      <c r="R345" s="127">
        <f t="shared" si="48"/>
        <v>0</v>
      </c>
      <c r="S345" s="118">
        <f t="shared" si="49"/>
        <v>0</v>
      </c>
    </row>
    <row r="346" spans="1:19" hidden="1">
      <c r="A346">
        <f t="shared" si="45"/>
        <v>377</v>
      </c>
      <c r="B346" s="42" t="s">
        <v>24</v>
      </c>
      <c r="C346" s="313">
        <f>SUMIF('Employees Supported'!$A$2:$A$29,$B346,'Employees Supported'!$C$2:$C$29)</f>
        <v>1100</v>
      </c>
      <c r="E346" s="2">
        <f t="shared" si="52"/>
        <v>32</v>
      </c>
      <c r="F346" t="str">
        <f t="shared" si="50"/>
        <v>Reserved-32</v>
      </c>
      <c r="G346" t="str">
        <f t="shared" si="46"/>
        <v>SFDReserved-32</v>
      </c>
      <c r="H346" s="2" t="s">
        <v>67</v>
      </c>
      <c r="O346" s="2" t="s">
        <v>2678</v>
      </c>
      <c r="P346" s="3" t="str">
        <f t="shared" si="47"/>
        <v>NR</v>
      </c>
      <c r="R346" s="127">
        <f t="shared" si="48"/>
        <v>0</v>
      </c>
      <c r="S346" s="118">
        <f t="shared" si="49"/>
        <v>0</v>
      </c>
    </row>
    <row r="347" spans="1:19" hidden="1">
      <c r="A347">
        <f t="shared" si="45"/>
        <v>378</v>
      </c>
      <c r="B347" s="42" t="s">
        <v>28</v>
      </c>
      <c r="C347" s="313">
        <f>SUMIF('Employees Supported'!$A$2:$A$29,$B347,'Employees Supported'!$C$2:$C$29)</f>
        <v>1100</v>
      </c>
      <c r="E347" s="2">
        <f t="shared" si="52"/>
        <v>32</v>
      </c>
      <c r="F347" t="str">
        <f t="shared" si="50"/>
        <v>Reserved-32</v>
      </c>
      <c r="G347" t="str">
        <f t="shared" si="46"/>
        <v>SDOTReserved-32</v>
      </c>
      <c r="H347" s="2" t="s">
        <v>67</v>
      </c>
      <c r="O347" s="2" t="s">
        <v>2678</v>
      </c>
      <c r="P347" s="3" t="str">
        <f t="shared" si="47"/>
        <v>NR</v>
      </c>
      <c r="R347" s="127">
        <f t="shared" si="48"/>
        <v>0</v>
      </c>
      <c r="S347" s="118">
        <f t="shared" si="49"/>
        <v>0</v>
      </c>
    </row>
    <row r="348" spans="1:19" hidden="1">
      <c r="A348">
        <f t="shared" si="45"/>
        <v>379</v>
      </c>
      <c r="B348" s="42" t="s">
        <v>33</v>
      </c>
      <c r="C348" s="313">
        <f>SUMIF('Employees Supported'!$A$2:$A$29,$B348,'Employees Supported'!$C$2:$C$29)</f>
        <v>400</v>
      </c>
      <c r="E348" s="2">
        <f t="shared" si="52"/>
        <v>32</v>
      </c>
      <c r="F348" t="str">
        <f t="shared" si="50"/>
        <v>Reserved-32</v>
      </c>
      <c r="G348" t="str">
        <f t="shared" si="46"/>
        <v>SCLReserved-32</v>
      </c>
      <c r="H348" s="2" t="s">
        <v>67</v>
      </c>
      <c r="O348" s="2" t="s">
        <v>2678</v>
      </c>
      <c r="P348" s="3" t="str">
        <f t="shared" si="47"/>
        <v>NR</v>
      </c>
      <c r="R348" s="127">
        <f t="shared" si="48"/>
        <v>0</v>
      </c>
      <c r="S348" s="118">
        <f t="shared" si="49"/>
        <v>0</v>
      </c>
    </row>
    <row r="349" spans="1:19" hidden="1">
      <c r="A349">
        <f t="shared" si="45"/>
        <v>380</v>
      </c>
      <c r="B349" s="42" t="s">
        <v>31</v>
      </c>
      <c r="C349" s="313">
        <f>SUMIF('Employees Supported'!$A$2:$A$29,$B349,'Employees Supported'!$C$2:$C$29)</f>
        <v>700</v>
      </c>
      <c r="E349" s="2">
        <f t="shared" si="52"/>
        <v>32</v>
      </c>
      <c r="F349" t="str">
        <f t="shared" si="50"/>
        <v>Reserved-32</v>
      </c>
      <c r="G349" t="str">
        <f t="shared" si="46"/>
        <v>SeaITReserved-32</v>
      </c>
      <c r="H349" s="2" t="s">
        <v>67</v>
      </c>
      <c r="O349" s="2" t="s">
        <v>2678</v>
      </c>
      <c r="P349" s="3" t="str">
        <f t="shared" si="47"/>
        <v>NR</v>
      </c>
      <c r="R349" s="127">
        <f t="shared" si="48"/>
        <v>0</v>
      </c>
      <c r="S349" s="118">
        <f t="shared" si="49"/>
        <v>0</v>
      </c>
    </row>
    <row r="350" spans="1:19" hidden="1">
      <c r="A350">
        <f t="shared" si="45"/>
        <v>381</v>
      </c>
      <c r="B350" s="42" t="s">
        <v>29</v>
      </c>
      <c r="C350" s="313">
        <f>SUMIF('Employees Supported'!$A$2:$A$29,$B350,'Employees Supported'!$C$2:$C$29)</f>
        <v>550</v>
      </c>
      <c r="E350" s="2">
        <f t="shared" si="52"/>
        <v>32</v>
      </c>
      <c r="F350" t="str">
        <f t="shared" si="50"/>
        <v>Reserved-32</v>
      </c>
      <c r="G350" t="str">
        <f t="shared" si="46"/>
        <v>SDCIReserved-32</v>
      </c>
      <c r="H350" s="2" t="s">
        <v>67</v>
      </c>
      <c r="O350" s="2" t="s">
        <v>2678</v>
      </c>
      <c r="P350" s="3" t="str">
        <f t="shared" si="47"/>
        <v>NR</v>
      </c>
      <c r="R350" s="127">
        <f t="shared" si="48"/>
        <v>0</v>
      </c>
      <c r="S350" s="118">
        <f t="shared" si="49"/>
        <v>0</v>
      </c>
    </row>
    <row r="351" spans="1:19" hidden="1">
      <c r="A351">
        <f t="shared" si="45"/>
        <v>382</v>
      </c>
      <c r="B351" s="42" t="s">
        <v>27</v>
      </c>
      <c r="C351" s="313">
        <f>SUMIF('Employees Supported'!$A$2:$A$29,$B351,'Employees Supported'!$C$2:$C$29)</f>
        <v>400</v>
      </c>
      <c r="E351" s="2">
        <f t="shared" si="52"/>
        <v>32</v>
      </c>
      <c r="F351" t="str">
        <f t="shared" si="50"/>
        <v>Reserved-32</v>
      </c>
      <c r="G351" t="str">
        <f t="shared" si="46"/>
        <v>SPUReserved-32</v>
      </c>
      <c r="H351" s="2" t="s">
        <v>67</v>
      </c>
      <c r="O351" s="2" t="s">
        <v>2678</v>
      </c>
      <c r="P351" s="3" t="str">
        <f t="shared" si="47"/>
        <v>NR</v>
      </c>
      <c r="R351" s="127">
        <f t="shared" si="48"/>
        <v>0</v>
      </c>
      <c r="S351" s="118">
        <f t="shared" si="49"/>
        <v>0</v>
      </c>
    </row>
    <row r="352" spans="1:19" hidden="1">
      <c r="A352">
        <f t="shared" si="45"/>
        <v>383</v>
      </c>
      <c r="B352" s="42" t="s">
        <v>30</v>
      </c>
      <c r="C352" s="313">
        <f>SUMIF('Employees Supported'!$A$2:$A$29,$B352,'Employees Supported'!$C$2:$C$29)</f>
        <v>300</v>
      </c>
      <c r="E352" s="2">
        <f t="shared" si="52"/>
        <v>32</v>
      </c>
      <c r="F352" t="str">
        <f t="shared" si="50"/>
        <v>Reserved-32</v>
      </c>
      <c r="G352" t="str">
        <f t="shared" si="46"/>
        <v>LibrariesReserved-32</v>
      </c>
      <c r="H352" s="2" t="s">
        <v>67</v>
      </c>
      <c r="O352" s="2" t="s">
        <v>2678</v>
      </c>
      <c r="P352" s="3" t="str">
        <f t="shared" si="47"/>
        <v>NR</v>
      </c>
      <c r="R352" s="127">
        <f t="shared" si="48"/>
        <v>0</v>
      </c>
      <c r="S352" s="118">
        <f t="shared" si="49"/>
        <v>0</v>
      </c>
    </row>
    <row r="353" spans="1:19" hidden="1">
      <c r="A353">
        <f t="shared" si="45"/>
        <v>384</v>
      </c>
      <c r="B353" s="42" t="s">
        <v>26</v>
      </c>
      <c r="C353" s="313">
        <f>SUMIF('Employees Supported'!$A$2:$A$29,$B353,'Employees Supported'!$C$2:$C$29)</f>
        <v>400</v>
      </c>
      <c r="E353" s="2">
        <f t="shared" si="52"/>
        <v>32</v>
      </c>
      <c r="F353" t="str">
        <f t="shared" si="50"/>
        <v>Reserved-32</v>
      </c>
      <c r="G353" t="str">
        <f t="shared" si="46"/>
        <v>ParksReserved-32</v>
      </c>
      <c r="H353" s="2" t="s">
        <v>67</v>
      </c>
      <c r="O353" s="2" t="s">
        <v>2678</v>
      </c>
      <c r="P353" s="3" t="str">
        <f t="shared" si="47"/>
        <v>NR</v>
      </c>
      <c r="R353" s="127">
        <f t="shared" si="48"/>
        <v>0</v>
      </c>
      <c r="S353" s="118">
        <f t="shared" si="49"/>
        <v>0</v>
      </c>
    </row>
    <row r="354" spans="1:19" hidden="1">
      <c r="A354">
        <f t="shared" si="45"/>
        <v>385</v>
      </c>
      <c r="B354" s="42" t="s">
        <v>32</v>
      </c>
      <c r="C354" s="313">
        <f>SUMIF('Employees Supported'!$A$2:$A$29,$B354,'Employees Supported'!$C$2:$C$29)</f>
        <v>400</v>
      </c>
      <c r="E354" s="2">
        <f t="shared" si="52"/>
        <v>32</v>
      </c>
      <c r="F354" t="str">
        <f t="shared" si="50"/>
        <v>Reserved-32</v>
      </c>
      <c r="G354" t="str">
        <f t="shared" si="46"/>
        <v>Seattle CtrReserved-32</v>
      </c>
      <c r="H354" s="2" t="s">
        <v>67</v>
      </c>
      <c r="O354" s="2" t="s">
        <v>2678</v>
      </c>
      <c r="P354" s="3" t="str">
        <f t="shared" si="47"/>
        <v>NR</v>
      </c>
      <c r="R354" s="127">
        <f t="shared" si="48"/>
        <v>0</v>
      </c>
      <c r="S354" s="118">
        <f t="shared" si="49"/>
        <v>0</v>
      </c>
    </row>
    <row r="355" spans="1:19">
      <c r="A355">
        <f t="shared" si="45"/>
        <v>386</v>
      </c>
      <c r="B355" s="42" t="s">
        <v>23</v>
      </c>
      <c r="C355" s="313">
        <v>6500</v>
      </c>
      <c r="E355" s="2">
        <f>+E344+1</f>
        <v>33</v>
      </c>
      <c r="F355" t="str">
        <f t="shared" si="50"/>
        <v>Reserved-33</v>
      </c>
      <c r="G355" t="str">
        <f t="shared" si="46"/>
        <v>FAS-CentralizedReserved-33</v>
      </c>
      <c r="H355" s="2" t="s">
        <v>67</v>
      </c>
      <c r="O355" s="2" t="s">
        <v>2678</v>
      </c>
      <c r="P355" s="3" t="str">
        <f t="shared" si="47"/>
        <v>NR</v>
      </c>
      <c r="R355" s="127">
        <f t="shared" si="48"/>
        <v>0</v>
      </c>
      <c r="S355" s="118">
        <f t="shared" si="49"/>
        <v>0</v>
      </c>
    </row>
    <row r="356" spans="1:19" hidden="1">
      <c r="A356">
        <f t="shared" si="45"/>
        <v>387</v>
      </c>
      <c r="B356" s="42" t="s">
        <v>25</v>
      </c>
      <c r="C356" s="313">
        <f>SUMIF('Employees Supported'!$A$2:$A$29,$B356,'Employees Supported'!$C$2:$C$29)</f>
        <v>1500</v>
      </c>
      <c r="E356" s="2">
        <f t="shared" si="52"/>
        <v>33</v>
      </c>
      <c r="F356" t="str">
        <f t="shared" si="50"/>
        <v>Reserved-33</v>
      </c>
      <c r="G356" t="str">
        <f t="shared" si="46"/>
        <v>SPDReserved-33</v>
      </c>
      <c r="H356" s="2" t="s">
        <v>67</v>
      </c>
      <c r="O356" s="2" t="s">
        <v>2678</v>
      </c>
      <c r="P356" s="3" t="str">
        <f t="shared" si="47"/>
        <v>NR</v>
      </c>
      <c r="R356" s="127">
        <f t="shared" si="48"/>
        <v>0</v>
      </c>
      <c r="S356" s="118">
        <f t="shared" si="49"/>
        <v>0</v>
      </c>
    </row>
    <row r="357" spans="1:19" hidden="1">
      <c r="A357">
        <f t="shared" si="45"/>
        <v>388</v>
      </c>
      <c r="B357" s="42" t="s">
        <v>24</v>
      </c>
      <c r="C357" s="313">
        <f>SUMIF('Employees Supported'!$A$2:$A$29,$B357,'Employees Supported'!$C$2:$C$29)</f>
        <v>1100</v>
      </c>
      <c r="E357" s="2">
        <f t="shared" si="52"/>
        <v>33</v>
      </c>
      <c r="F357" t="str">
        <f t="shared" si="50"/>
        <v>Reserved-33</v>
      </c>
      <c r="G357" t="str">
        <f t="shared" si="46"/>
        <v>SFDReserved-33</v>
      </c>
      <c r="H357" s="2" t="s">
        <v>67</v>
      </c>
      <c r="O357" s="2" t="s">
        <v>2678</v>
      </c>
      <c r="P357" s="3" t="str">
        <f t="shared" si="47"/>
        <v>NR</v>
      </c>
      <c r="R357" s="127">
        <f t="shared" si="48"/>
        <v>0</v>
      </c>
      <c r="S357" s="118">
        <f t="shared" si="49"/>
        <v>0</v>
      </c>
    </row>
    <row r="358" spans="1:19" hidden="1">
      <c r="A358">
        <f t="shared" si="45"/>
        <v>389</v>
      </c>
      <c r="B358" s="42" t="s">
        <v>28</v>
      </c>
      <c r="C358" s="313">
        <f>SUMIF('Employees Supported'!$A$2:$A$29,$B358,'Employees Supported'!$C$2:$C$29)</f>
        <v>1100</v>
      </c>
      <c r="E358" s="2">
        <f t="shared" si="52"/>
        <v>33</v>
      </c>
      <c r="F358" t="str">
        <f t="shared" si="50"/>
        <v>Reserved-33</v>
      </c>
      <c r="G358" t="str">
        <f t="shared" si="46"/>
        <v>SDOTReserved-33</v>
      </c>
      <c r="H358" s="2" t="s">
        <v>67</v>
      </c>
      <c r="O358" s="2" t="s">
        <v>2678</v>
      </c>
      <c r="P358" s="3" t="str">
        <f t="shared" si="47"/>
        <v>NR</v>
      </c>
      <c r="R358" s="127">
        <f t="shared" si="48"/>
        <v>0</v>
      </c>
      <c r="S358" s="118">
        <f t="shared" si="49"/>
        <v>0</v>
      </c>
    </row>
    <row r="359" spans="1:19" hidden="1">
      <c r="A359">
        <f t="shared" si="45"/>
        <v>390</v>
      </c>
      <c r="B359" s="42" t="s">
        <v>33</v>
      </c>
      <c r="C359" s="313">
        <f>SUMIF('Employees Supported'!$A$2:$A$29,$B359,'Employees Supported'!$C$2:$C$29)</f>
        <v>400</v>
      </c>
      <c r="E359" s="2">
        <f t="shared" si="52"/>
        <v>33</v>
      </c>
      <c r="F359" t="str">
        <f t="shared" si="50"/>
        <v>Reserved-33</v>
      </c>
      <c r="G359" t="str">
        <f t="shared" si="46"/>
        <v>SCLReserved-33</v>
      </c>
      <c r="H359" s="2" t="s">
        <v>67</v>
      </c>
      <c r="O359" s="2" t="s">
        <v>2678</v>
      </c>
      <c r="P359" s="3" t="str">
        <f t="shared" si="47"/>
        <v>NR</v>
      </c>
      <c r="R359" s="127">
        <f t="shared" si="48"/>
        <v>0</v>
      </c>
      <c r="S359" s="118">
        <f t="shared" si="49"/>
        <v>0</v>
      </c>
    </row>
    <row r="360" spans="1:19" hidden="1">
      <c r="A360">
        <f t="shared" si="45"/>
        <v>391</v>
      </c>
      <c r="B360" s="42" t="s">
        <v>31</v>
      </c>
      <c r="C360" s="313">
        <f>SUMIF('Employees Supported'!$A$2:$A$29,$B360,'Employees Supported'!$C$2:$C$29)</f>
        <v>700</v>
      </c>
      <c r="E360" s="2">
        <f t="shared" si="52"/>
        <v>33</v>
      </c>
      <c r="F360" t="str">
        <f t="shared" si="50"/>
        <v>Reserved-33</v>
      </c>
      <c r="G360" t="str">
        <f t="shared" si="46"/>
        <v>SeaITReserved-33</v>
      </c>
      <c r="H360" s="2" t="s">
        <v>67</v>
      </c>
      <c r="O360" s="2" t="s">
        <v>2678</v>
      </c>
      <c r="P360" s="3" t="str">
        <f t="shared" si="47"/>
        <v>NR</v>
      </c>
      <c r="R360" s="127">
        <f t="shared" si="48"/>
        <v>0</v>
      </c>
      <c r="S360" s="118">
        <f t="shared" si="49"/>
        <v>0</v>
      </c>
    </row>
    <row r="361" spans="1:19" hidden="1">
      <c r="A361">
        <f t="shared" si="45"/>
        <v>392</v>
      </c>
      <c r="B361" s="42" t="s">
        <v>29</v>
      </c>
      <c r="C361" s="313">
        <f>SUMIF('Employees Supported'!$A$2:$A$29,$B361,'Employees Supported'!$C$2:$C$29)</f>
        <v>550</v>
      </c>
      <c r="E361" s="2">
        <f t="shared" si="52"/>
        <v>33</v>
      </c>
      <c r="F361" t="str">
        <f t="shared" si="50"/>
        <v>Reserved-33</v>
      </c>
      <c r="G361" t="str">
        <f t="shared" si="46"/>
        <v>SDCIReserved-33</v>
      </c>
      <c r="H361" s="2" t="s">
        <v>67</v>
      </c>
      <c r="O361" s="2" t="s">
        <v>2678</v>
      </c>
      <c r="P361" s="3" t="str">
        <f t="shared" si="47"/>
        <v>NR</v>
      </c>
      <c r="R361" s="127">
        <f t="shared" si="48"/>
        <v>0</v>
      </c>
      <c r="S361" s="118">
        <f t="shared" si="49"/>
        <v>0</v>
      </c>
    </row>
    <row r="362" spans="1:19" hidden="1">
      <c r="A362">
        <f t="shared" si="45"/>
        <v>393</v>
      </c>
      <c r="B362" s="42" t="s">
        <v>27</v>
      </c>
      <c r="C362" s="313">
        <f>SUMIF('Employees Supported'!$A$2:$A$29,$B362,'Employees Supported'!$C$2:$C$29)</f>
        <v>400</v>
      </c>
      <c r="E362" s="2">
        <f t="shared" si="52"/>
        <v>33</v>
      </c>
      <c r="F362" t="str">
        <f t="shared" si="50"/>
        <v>Reserved-33</v>
      </c>
      <c r="G362" t="str">
        <f t="shared" si="46"/>
        <v>SPUReserved-33</v>
      </c>
      <c r="H362" s="2" t="s">
        <v>67</v>
      </c>
      <c r="O362" s="2" t="s">
        <v>2678</v>
      </c>
      <c r="P362" s="3" t="str">
        <f t="shared" si="47"/>
        <v>NR</v>
      </c>
      <c r="R362" s="127">
        <f t="shared" si="48"/>
        <v>0</v>
      </c>
      <c r="S362" s="118">
        <f t="shared" si="49"/>
        <v>0</v>
      </c>
    </row>
    <row r="363" spans="1:19" hidden="1">
      <c r="A363">
        <f t="shared" si="45"/>
        <v>394</v>
      </c>
      <c r="B363" s="42" t="s">
        <v>30</v>
      </c>
      <c r="C363" s="313">
        <f>SUMIF('Employees Supported'!$A$2:$A$29,$B363,'Employees Supported'!$C$2:$C$29)</f>
        <v>300</v>
      </c>
      <c r="E363" s="2">
        <f t="shared" si="52"/>
        <v>33</v>
      </c>
      <c r="F363" t="str">
        <f t="shared" si="50"/>
        <v>Reserved-33</v>
      </c>
      <c r="G363" t="str">
        <f t="shared" si="46"/>
        <v>LibrariesReserved-33</v>
      </c>
      <c r="H363" s="2" t="s">
        <v>67</v>
      </c>
      <c r="O363" s="2" t="s">
        <v>2678</v>
      </c>
      <c r="P363" s="3" t="str">
        <f t="shared" si="47"/>
        <v>NR</v>
      </c>
      <c r="R363" s="127">
        <f t="shared" si="48"/>
        <v>0</v>
      </c>
      <c r="S363" s="118">
        <f t="shared" si="49"/>
        <v>0</v>
      </c>
    </row>
    <row r="364" spans="1:19" hidden="1">
      <c r="A364">
        <f t="shared" si="45"/>
        <v>395</v>
      </c>
      <c r="B364" s="42" t="s">
        <v>26</v>
      </c>
      <c r="C364" s="313">
        <f>SUMIF('Employees Supported'!$A$2:$A$29,$B364,'Employees Supported'!$C$2:$C$29)</f>
        <v>400</v>
      </c>
      <c r="E364" s="2">
        <f t="shared" si="52"/>
        <v>33</v>
      </c>
      <c r="F364" t="str">
        <f t="shared" si="50"/>
        <v>Reserved-33</v>
      </c>
      <c r="G364" t="str">
        <f t="shared" si="46"/>
        <v>ParksReserved-33</v>
      </c>
      <c r="H364" s="2" t="s">
        <v>67</v>
      </c>
      <c r="O364" s="2" t="s">
        <v>2678</v>
      </c>
      <c r="P364" s="3" t="str">
        <f t="shared" si="47"/>
        <v>NR</v>
      </c>
      <c r="R364" s="127">
        <f t="shared" si="48"/>
        <v>0</v>
      </c>
      <c r="S364" s="118">
        <f t="shared" si="49"/>
        <v>0</v>
      </c>
    </row>
    <row r="365" spans="1:19" hidden="1">
      <c r="A365">
        <f t="shared" si="45"/>
        <v>396</v>
      </c>
      <c r="B365" s="42" t="s">
        <v>32</v>
      </c>
      <c r="C365" s="313">
        <f>SUMIF('Employees Supported'!$A$2:$A$29,$B365,'Employees Supported'!$C$2:$C$29)</f>
        <v>400</v>
      </c>
      <c r="E365" s="2">
        <f t="shared" si="52"/>
        <v>33</v>
      </c>
      <c r="F365" t="str">
        <f t="shared" si="50"/>
        <v>Reserved-33</v>
      </c>
      <c r="G365" t="str">
        <f t="shared" si="46"/>
        <v>Seattle CtrReserved-33</v>
      </c>
      <c r="H365" s="2" t="s">
        <v>67</v>
      </c>
      <c r="O365" s="2" t="s">
        <v>2678</v>
      </c>
      <c r="P365" s="3" t="str">
        <f t="shared" si="47"/>
        <v>NR</v>
      </c>
      <c r="R365" s="127">
        <f t="shared" si="48"/>
        <v>0</v>
      </c>
      <c r="S365" s="118">
        <f t="shared" si="49"/>
        <v>0</v>
      </c>
    </row>
    <row r="366" spans="1:19">
      <c r="A366">
        <f t="shared" si="45"/>
        <v>397</v>
      </c>
      <c r="B366" s="42" t="s">
        <v>23</v>
      </c>
      <c r="C366" s="313">
        <v>6500</v>
      </c>
      <c r="E366" s="2">
        <f>+E355+1</f>
        <v>34</v>
      </c>
      <c r="F366" t="str">
        <f t="shared" si="50"/>
        <v>Reserved-34</v>
      </c>
      <c r="G366" t="str">
        <f t="shared" si="46"/>
        <v>FAS-CentralizedReserved-34</v>
      </c>
      <c r="H366" s="2" t="s">
        <v>67</v>
      </c>
      <c r="O366" s="2" t="s">
        <v>2678</v>
      </c>
      <c r="P366" s="3" t="str">
        <f t="shared" si="47"/>
        <v>NR</v>
      </c>
      <c r="R366" s="127">
        <f t="shared" si="48"/>
        <v>0</v>
      </c>
      <c r="S366" s="118">
        <f t="shared" si="49"/>
        <v>0</v>
      </c>
    </row>
    <row r="367" spans="1:19" hidden="1">
      <c r="A367">
        <f t="shared" si="45"/>
        <v>398</v>
      </c>
      <c r="B367" s="42" t="s">
        <v>25</v>
      </c>
      <c r="C367" s="313">
        <f>SUMIF('Employees Supported'!$A$2:$A$29,$B367,'Employees Supported'!$C$2:$C$29)</f>
        <v>1500</v>
      </c>
      <c r="E367" s="2">
        <f t="shared" ref="E367:E430" si="53">+E356+1</f>
        <v>34</v>
      </c>
      <c r="F367" t="str">
        <f t="shared" si="50"/>
        <v>Reserved-34</v>
      </c>
      <c r="G367" t="str">
        <f t="shared" si="46"/>
        <v>SPDReserved-34</v>
      </c>
      <c r="H367" s="2" t="s">
        <v>67</v>
      </c>
      <c r="O367" s="2" t="s">
        <v>2678</v>
      </c>
      <c r="P367" s="3" t="str">
        <f t="shared" si="47"/>
        <v>NR</v>
      </c>
      <c r="R367" s="127">
        <f t="shared" si="48"/>
        <v>0</v>
      </c>
      <c r="S367" s="118">
        <f t="shared" si="49"/>
        <v>0</v>
      </c>
    </row>
    <row r="368" spans="1:19" hidden="1">
      <c r="A368">
        <f t="shared" si="45"/>
        <v>399</v>
      </c>
      <c r="B368" s="42" t="s">
        <v>24</v>
      </c>
      <c r="C368" s="313">
        <f>SUMIF('Employees Supported'!$A$2:$A$29,$B368,'Employees Supported'!$C$2:$C$29)</f>
        <v>1100</v>
      </c>
      <c r="E368" s="2">
        <f t="shared" si="53"/>
        <v>34</v>
      </c>
      <c r="F368" t="str">
        <f t="shared" si="50"/>
        <v>Reserved-34</v>
      </c>
      <c r="G368" t="str">
        <f t="shared" si="46"/>
        <v>SFDReserved-34</v>
      </c>
      <c r="H368" s="2" t="s">
        <v>67</v>
      </c>
      <c r="O368" s="2" t="s">
        <v>2678</v>
      </c>
      <c r="P368" s="3" t="str">
        <f t="shared" si="47"/>
        <v>NR</v>
      </c>
      <c r="R368" s="127">
        <f t="shared" si="48"/>
        <v>0</v>
      </c>
      <c r="S368" s="118">
        <f t="shared" si="49"/>
        <v>0</v>
      </c>
    </row>
    <row r="369" spans="1:19" hidden="1">
      <c r="A369">
        <f t="shared" si="45"/>
        <v>400</v>
      </c>
      <c r="B369" s="42" t="s">
        <v>28</v>
      </c>
      <c r="C369" s="313">
        <f>SUMIF('Employees Supported'!$A$2:$A$29,$B369,'Employees Supported'!$C$2:$C$29)</f>
        <v>1100</v>
      </c>
      <c r="E369" s="2">
        <f t="shared" si="53"/>
        <v>34</v>
      </c>
      <c r="F369" t="str">
        <f t="shared" si="50"/>
        <v>Reserved-34</v>
      </c>
      <c r="G369" t="str">
        <f t="shared" si="46"/>
        <v>SDOTReserved-34</v>
      </c>
      <c r="H369" s="2" t="s">
        <v>67</v>
      </c>
      <c r="O369" s="2" t="s">
        <v>2678</v>
      </c>
      <c r="P369" s="3" t="str">
        <f t="shared" si="47"/>
        <v>NR</v>
      </c>
      <c r="R369" s="127">
        <f t="shared" si="48"/>
        <v>0</v>
      </c>
      <c r="S369" s="118">
        <f t="shared" si="49"/>
        <v>0</v>
      </c>
    </row>
    <row r="370" spans="1:19" hidden="1">
      <c r="A370">
        <f t="shared" si="45"/>
        <v>401</v>
      </c>
      <c r="B370" s="42" t="s">
        <v>33</v>
      </c>
      <c r="C370" s="313">
        <f>SUMIF('Employees Supported'!$A$2:$A$29,$B370,'Employees Supported'!$C$2:$C$29)</f>
        <v>400</v>
      </c>
      <c r="E370" s="2">
        <f t="shared" si="53"/>
        <v>34</v>
      </c>
      <c r="F370" t="str">
        <f t="shared" si="50"/>
        <v>Reserved-34</v>
      </c>
      <c r="G370" t="str">
        <f t="shared" si="46"/>
        <v>SCLReserved-34</v>
      </c>
      <c r="H370" s="2" t="s">
        <v>67</v>
      </c>
      <c r="O370" s="2" t="s">
        <v>2678</v>
      </c>
      <c r="P370" s="3" t="str">
        <f t="shared" si="47"/>
        <v>NR</v>
      </c>
      <c r="R370" s="127">
        <f t="shared" si="48"/>
        <v>0</v>
      </c>
      <c r="S370" s="118">
        <f t="shared" si="49"/>
        <v>0</v>
      </c>
    </row>
    <row r="371" spans="1:19" hidden="1">
      <c r="A371">
        <f t="shared" si="45"/>
        <v>402</v>
      </c>
      <c r="B371" s="42" t="s">
        <v>31</v>
      </c>
      <c r="C371" s="313">
        <f>SUMIF('Employees Supported'!$A$2:$A$29,$B371,'Employees Supported'!$C$2:$C$29)</f>
        <v>700</v>
      </c>
      <c r="E371" s="2">
        <f t="shared" si="53"/>
        <v>34</v>
      </c>
      <c r="F371" t="str">
        <f t="shared" si="50"/>
        <v>Reserved-34</v>
      </c>
      <c r="G371" t="str">
        <f t="shared" si="46"/>
        <v>SeaITReserved-34</v>
      </c>
      <c r="H371" s="2" t="s">
        <v>67</v>
      </c>
      <c r="O371" s="2" t="s">
        <v>2678</v>
      </c>
      <c r="P371" s="3" t="str">
        <f t="shared" si="47"/>
        <v>NR</v>
      </c>
      <c r="R371" s="127">
        <f t="shared" si="48"/>
        <v>0</v>
      </c>
      <c r="S371" s="118">
        <f t="shared" si="49"/>
        <v>0</v>
      </c>
    </row>
    <row r="372" spans="1:19" hidden="1">
      <c r="A372">
        <f t="shared" si="45"/>
        <v>403</v>
      </c>
      <c r="B372" s="42" t="s">
        <v>29</v>
      </c>
      <c r="C372" s="313">
        <f>SUMIF('Employees Supported'!$A$2:$A$29,$B372,'Employees Supported'!$C$2:$C$29)</f>
        <v>550</v>
      </c>
      <c r="E372" s="2">
        <f t="shared" si="53"/>
        <v>34</v>
      </c>
      <c r="F372" t="str">
        <f t="shared" si="50"/>
        <v>Reserved-34</v>
      </c>
      <c r="G372" t="str">
        <f t="shared" si="46"/>
        <v>SDCIReserved-34</v>
      </c>
      <c r="H372" s="2" t="s">
        <v>67</v>
      </c>
      <c r="O372" s="2" t="s">
        <v>2678</v>
      </c>
      <c r="P372" s="3" t="str">
        <f t="shared" si="47"/>
        <v>NR</v>
      </c>
      <c r="R372" s="127">
        <f t="shared" si="48"/>
        <v>0</v>
      </c>
      <c r="S372" s="118">
        <f t="shared" si="49"/>
        <v>0</v>
      </c>
    </row>
    <row r="373" spans="1:19" hidden="1">
      <c r="A373">
        <f t="shared" si="45"/>
        <v>404</v>
      </c>
      <c r="B373" s="42" t="s">
        <v>27</v>
      </c>
      <c r="C373" s="313">
        <f>SUMIF('Employees Supported'!$A$2:$A$29,$B373,'Employees Supported'!$C$2:$C$29)</f>
        <v>400</v>
      </c>
      <c r="E373" s="2">
        <f t="shared" si="53"/>
        <v>34</v>
      </c>
      <c r="F373" t="str">
        <f t="shared" si="50"/>
        <v>Reserved-34</v>
      </c>
      <c r="G373" t="str">
        <f t="shared" si="46"/>
        <v>SPUReserved-34</v>
      </c>
      <c r="H373" s="2" t="s">
        <v>67</v>
      </c>
      <c r="O373" s="2" t="s">
        <v>2678</v>
      </c>
      <c r="P373" s="3" t="str">
        <f t="shared" si="47"/>
        <v>NR</v>
      </c>
      <c r="R373" s="127">
        <f t="shared" si="48"/>
        <v>0</v>
      </c>
      <c r="S373" s="118">
        <f t="shared" si="49"/>
        <v>0</v>
      </c>
    </row>
    <row r="374" spans="1:19" hidden="1">
      <c r="A374">
        <f t="shared" si="45"/>
        <v>405</v>
      </c>
      <c r="B374" s="42" t="s">
        <v>30</v>
      </c>
      <c r="C374" s="313">
        <f>SUMIF('Employees Supported'!$A$2:$A$29,$B374,'Employees Supported'!$C$2:$C$29)</f>
        <v>300</v>
      </c>
      <c r="E374" s="2">
        <f t="shared" si="53"/>
        <v>34</v>
      </c>
      <c r="F374" t="str">
        <f t="shared" si="50"/>
        <v>Reserved-34</v>
      </c>
      <c r="G374" t="str">
        <f t="shared" si="46"/>
        <v>LibrariesReserved-34</v>
      </c>
      <c r="H374" s="2" t="s">
        <v>67</v>
      </c>
      <c r="O374" s="2" t="s">
        <v>2678</v>
      </c>
      <c r="P374" s="3" t="str">
        <f t="shared" si="47"/>
        <v>NR</v>
      </c>
      <c r="R374" s="127">
        <f t="shared" si="48"/>
        <v>0</v>
      </c>
      <c r="S374" s="118">
        <f t="shared" si="49"/>
        <v>0</v>
      </c>
    </row>
    <row r="375" spans="1:19" hidden="1">
      <c r="A375">
        <f t="shared" ref="A375:A438" si="54">+A374+1</f>
        <v>406</v>
      </c>
      <c r="B375" s="42" t="s">
        <v>26</v>
      </c>
      <c r="C375" s="313">
        <f>SUMIF('Employees Supported'!$A$2:$A$29,$B375,'Employees Supported'!$C$2:$C$29)</f>
        <v>400</v>
      </c>
      <c r="E375" s="2">
        <f t="shared" si="53"/>
        <v>34</v>
      </c>
      <c r="F375" t="str">
        <f t="shared" si="50"/>
        <v>Reserved-34</v>
      </c>
      <c r="G375" t="str">
        <f t="shared" si="46"/>
        <v>ParksReserved-34</v>
      </c>
      <c r="H375" s="2" t="s">
        <v>67</v>
      </c>
      <c r="O375" s="2" t="s">
        <v>2678</v>
      </c>
      <c r="P375" s="3" t="str">
        <f t="shared" si="47"/>
        <v>NR</v>
      </c>
      <c r="R375" s="127">
        <f t="shared" si="48"/>
        <v>0</v>
      </c>
      <c r="S375" s="118">
        <f t="shared" si="49"/>
        <v>0</v>
      </c>
    </row>
    <row r="376" spans="1:19" hidden="1">
      <c r="A376">
        <f t="shared" si="54"/>
        <v>407</v>
      </c>
      <c r="B376" s="42" t="s">
        <v>32</v>
      </c>
      <c r="C376" s="313">
        <f>SUMIF('Employees Supported'!$A$2:$A$29,$B376,'Employees Supported'!$C$2:$C$29)</f>
        <v>400</v>
      </c>
      <c r="E376" s="2">
        <f t="shared" si="53"/>
        <v>34</v>
      </c>
      <c r="F376" t="str">
        <f t="shared" si="50"/>
        <v>Reserved-34</v>
      </c>
      <c r="G376" t="str">
        <f t="shared" ref="G376:G439" si="55">_xlfn.SINGLE(_xlfn.CONCAT(B376,F376))</f>
        <v>Seattle CtrReserved-34</v>
      </c>
      <c r="H376" s="2" t="s">
        <v>67</v>
      </c>
      <c r="O376" s="2" t="s">
        <v>2678</v>
      </c>
      <c r="P376" s="3" t="str">
        <f t="shared" ref="P376:P439" si="56">IF(O376="NR","NR",((((C376+D376)*I376)*90)+(J376*90)+(((C376+D376)*K376)*3)+(L376*3)+((C376+D376)*M376)+N376))</f>
        <v>NR</v>
      </c>
      <c r="R376" s="127">
        <f t="shared" ref="R376:R439" si="57">SUM(P376)/90</f>
        <v>0</v>
      </c>
      <c r="S376" s="118">
        <f t="shared" si="49"/>
        <v>0</v>
      </c>
    </row>
    <row r="377" spans="1:19">
      <c r="A377">
        <f t="shared" si="54"/>
        <v>408</v>
      </c>
      <c r="B377" s="42" t="s">
        <v>23</v>
      </c>
      <c r="C377" s="313">
        <v>6500</v>
      </c>
      <c r="E377" s="2">
        <f>+E366+1</f>
        <v>35</v>
      </c>
      <c r="F377" t="str">
        <f t="shared" si="50"/>
        <v>Reserved-35</v>
      </c>
      <c r="G377" t="str">
        <f t="shared" si="55"/>
        <v>FAS-CentralizedReserved-35</v>
      </c>
      <c r="H377" s="2" t="s">
        <v>67</v>
      </c>
      <c r="O377" s="2" t="s">
        <v>2678</v>
      </c>
      <c r="P377" s="3" t="str">
        <f t="shared" si="56"/>
        <v>NR</v>
      </c>
      <c r="R377" s="127">
        <f t="shared" si="57"/>
        <v>0</v>
      </c>
      <c r="S377" s="118">
        <f t="shared" si="49"/>
        <v>0</v>
      </c>
    </row>
    <row r="378" spans="1:19" hidden="1">
      <c r="A378">
        <f t="shared" si="54"/>
        <v>409</v>
      </c>
      <c r="B378" s="42" t="s">
        <v>25</v>
      </c>
      <c r="C378" s="313">
        <f>SUMIF('Employees Supported'!$A$2:$A$29,$B378,'Employees Supported'!$C$2:$C$29)</f>
        <v>1500</v>
      </c>
      <c r="E378" s="2">
        <f t="shared" si="53"/>
        <v>35</v>
      </c>
      <c r="F378" t="str">
        <f t="shared" si="50"/>
        <v>Reserved-35</v>
      </c>
      <c r="G378" t="str">
        <f t="shared" si="55"/>
        <v>SPDReserved-35</v>
      </c>
      <c r="H378" s="2" t="s">
        <v>67</v>
      </c>
      <c r="O378" s="2" t="s">
        <v>2678</v>
      </c>
      <c r="P378" s="3" t="str">
        <f t="shared" si="56"/>
        <v>NR</v>
      </c>
      <c r="R378" s="127">
        <f t="shared" si="57"/>
        <v>0</v>
      </c>
      <c r="S378" s="118">
        <f t="shared" si="49"/>
        <v>0</v>
      </c>
    </row>
    <row r="379" spans="1:19" hidden="1">
      <c r="A379">
        <f t="shared" si="54"/>
        <v>410</v>
      </c>
      <c r="B379" s="42" t="s">
        <v>24</v>
      </c>
      <c r="C379" s="313">
        <f>SUMIF('Employees Supported'!$A$2:$A$29,$B379,'Employees Supported'!$C$2:$C$29)</f>
        <v>1100</v>
      </c>
      <c r="E379" s="2">
        <f t="shared" si="53"/>
        <v>35</v>
      </c>
      <c r="F379" t="str">
        <f t="shared" si="50"/>
        <v>Reserved-35</v>
      </c>
      <c r="G379" t="str">
        <f t="shared" si="55"/>
        <v>SFDReserved-35</v>
      </c>
      <c r="H379" s="2" t="s">
        <v>67</v>
      </c>
      <c r="O379" s="2" t="s">
        <v>2678</v>
      </c>
      <c r="P379" s="3" t="str">
        <f t="shared" si="56"/>
        <v>NR</v>
      </c>
      <c r="R379" s="127">
        <f t="shared" si="57"/>
        <v>0</v>
      </c>
      <c r="S379" s="118">
        <f t="shared" si="49"/>
        <v>0</v>
      </c>
    </row>
    <row r="380" spans="1:19" hidden="1">
      <c r="A380">
        <f t="shared" si="54"/>
        <v>411</v>
      </c>
      <c r="B380" s="42" t="s">
        <v>28</v>
      </c>
      <c r="C380" s="313">
        <f>SUMIF('Employees Supported'!$A$2:$A$29,$B380,'Employees Supported'!$C$2:$C$29)</f>
        <v>1100</v>
      </c>
      <c r="E380" s="2">
        <f t="shared" si="53"/>
        <v>35</v>
      </c>
      <c r="F380" t="str">
        <f t="shared" si="50"/>
        <v>Reserved-35</v>
      </c>
      <c r="G380" t="str">
        <f t="shared" si="55"/>
        <v>SDOTReserved-35</v>
      </c>
      <c r="H380" s="2" t="s">
        <v>67</v>
      </c>
      <c r="O380" s="2" t="s">
        <v>2678</v>
      </c>
      <c r="P380" s="3" t="str">
        <f t="shared" si="56"/>
        <v>NR</v>
      </c>
      <c r="R380" s="127">
        <f t="shared" si="57"/>
        <v>0</v>
      </c>
      <c r="S380" s="118">
        <f t="shared" si="49"/>
        <v>0</v>
      </c>
    </row>
    <row r="381" spans="1:19" hidden="1">
      <c r="A381">
        <f t="shared" si="54"/>
        <v>412</v>
      </c>
      <c r="B381" s="42" t="s">
        <v>33</v>
      </c>
      <c r="C381" s="313">
        <f>SUMIF('Employees Supported'!$A$2:$A$29,$B381,'Employees Supported'!$C$2:$C$29)</f>
        <v>400</v>
      </c>
      <c r="E381" s="2">
        <f t="shared" si="53"/>
        <v>35</v>
      </c>
      <c r="F381" t="str">
        <f t="shared" si="50"/>
        <v>Reserved-35</v>
      </c>
      <c r="G381" t="str">
        <f t="shared" si="55"/>
        <v>SCLReserved-35</v>
      </c>
      <c r="H381" s="2" t="s">
        <v>67</v>
      </c>
      <c r="O381" s="2" t="s">
        <v>2678</v>
      </c>
      <c r="P381" s="3" t="str">
        <f t="shared" si="56"/>
        <v>NR</v>
      </c>
      <c r="R381" s="127">
        <f t="shared" si="57"/>
        <v>0</v>
      </c>
      <c r="S381" s="118">
        <f t="shared" si="49"/>
        <v>0</v>
      </c>
    </row>
    <row r="382" spans="1:19" hidden="1">
      <c r="A382">
        <f t="shared" si="54"/>
        <v>413</v>
      </c>
      <c r="B382" s="42" t="s">
        <v>31</v>
      </c>
      <c r="C382" s="313">
        <f>SUMIF('Employees Supported'!$A$2:$A$29,$B382,'Employees Supported'!$C$2:$C$29)</f>
        <v>700</v>
      </c>
      <c r="E382" s="2">
        <f t="shared" si="53"/>
        <v>35</v>
      </c>
      <c r="F382" t="str">
        <f t="shared" si="50"/>
        <v>Reserved-35</v>
      </c>
      <c r="G382" t="str">
        <f t="shared" si="55"/>
        <v>SeaITReserved-35</v>
      </c>
      <c r="H382" s="2" t="s">
        <v>67</v>
      </c>
      <c r="O382" s="2" t="s">
        <v>2678</v>
      </c>
      <c r="P382" s="3" t="str">
        <f t="shared" si="56"/>
        <v>NR</v>
      </c>
      <c r="R382" s="127">
        <f t="shared" si="57"/>
        <v>0</v>
      </c>
      <c r="S382" s="118">
        <f t="shared" si="49"/>
        <v>0</v>
      </c>
    </row>
    <row r="383" spans="1:19" hidden="1">
      <c r="A383">
        <f t="shared" si="54"/>
        <v>414</v>
      </c>
      <c r="B383" s="42" t="s">
        <v>29</v>
      </c>
      <c r="C383" s="313">
        <f>SUMIF('Employees Supported'!$A$2:$A$29,$B383,'Employees Supported'!$C$2:$C$29)</f>
        <v>550</v>
      </c>
      <c r="E383" s="2">
        <f t="shared" si="53"/>
        <v>35</v>
      </c>
      <c r="F383" t="str">
        <f t="shared" si="50"/>
        <v>Reserved-35</v>
      </c>
      <c r="G383" t="str">
        <f t="shared" si="55"/>
        <v>SDCIReserved-35</v>
      </c>
      <c r="H383" s="2" t="s">
        <v>67</v>
      </c>
      <c r="O383" s="2" t="s">
        <v>2678</v>
      </c>
      <c r="P383" s="3" t="str">
        <f t="shared" si="56"/>
        <v>NR</v>
      </c>
      <c r="R383" s="127">
        <f t="shared" si="57"/>
        <v>0</v>
      </c>
      <c r="S383" s="118">
        <f t="shared" si="49"/>
        <v>0</v>
      </c>
    </row>
    <row r="384" spans="1:19" hidden="1">
      <c r="A384">
        <f t="shared" si="54"/>
        <v>415</v>
      </c>
      <c r="B384" s="42" t="s">
        <v>27</v>
      </c>
      <c r="C384" s="313">
        <f>SUMIF('Employees Supported'!$A$2:$A$29,$B384,'Employees Supported'!$C$2:$C$29)</f>
        <v>400</v>
      </c>
      <c r="E384" s="2">
        <f t="shared" si="53"/>
        <v>35</v>
      </c>
      <c r="F384" t="str">
        <f t="shared" si="50"/>
        <v>Reserved-35</v>
      </c>
      <c r="G384" t="str">
        <f t="shared" si="55"/>
        <v>SPUReserved-35</v>
      </c>
      <c r="H384" s="2" t="s">
        <v>67</v>
      </c>
      <c r="O384" s="2" t="s">
        <v>2678</v>
      </c>
      <c r="P384" s="3" t="str">
        <f t="shared" si="56"/>
        <v>NR</v>
      </c>
      <c r="R384" s="127">
        <f t="shared" si="57"/>
        <v>0</v>
      </c>
      <c r="S384" s="118">
        <f t="shared" si="49"/>
        <v>0</v>
      </c>
    </row>
    <row r="385" spans="1:19" hidden="1">
      <c r="A385">
        <f t="shared" si="54"/>
        <v>416</v>
      </c>
      <c r="B385" s="42" t="s">
        <v>30</v>
      </c>
      <c r="C385" s="313">
        <f>SUMIF('Employees Supported'!$A$2:$A$29,$B385,'Employees Supported'!$C$2:$C$29)</f>
        <v>300</v>
      </c>
      <c r="E385" s="2">
        <f t="shared" si="53"/>
        <v>35</v>
      </c>
      <c r="F385" t="str">
        <f t="shared" si="50"/>
        <v>Reserved-35</v>
      </c>
      <c r="G385" t="str">
        <f t="shared" si="55"/>
        <v>LibrariesReserved-35</v>
      </c>
      <c r="H385" s="2" t="s">
        <v>67</v>
      </c>
      <c r="O385" s="2" t="s">
        <v>2678</v>
      </c>
      <c r="P385" s="3" t="str">
        <f t="shared" si="56"/>
        <v>NR</v>
      </c>
      <c r="R385" s="127">
        <f t="shared" si="57"/>
        <v>0</v>
      </c>
      <c r="S385" s="118">
        <f t="shared" si="49"/>
        <v>0</v>
      </c>
    </row>
    <row r="386" spans="1:19" hidden="1">
      <c r="A386">
        <f t="shared" si="54"/>
        <v>417</v>
      </c>
      <c r="B386" s="42" t="s">
        <v>26</v>
      </c>
      <c r="C386" s="313">
        <f>SUMIF('Employees Supported'!$A$2:$A$29,$B386,'Employees Supported'!$C$2:$C$29)</f>
        <v>400</v>
      </c>
      <c r="E386" s="2">
        <f t="shared" si="53"/>
        <v>35</v>
      </c>
      <c r="F386" t="str">
        <f t="shared" si="50"/>
        <v>Reserved-35</v>
      </c>
      <c r="G386" t="str">
        <f t="shared" si="55"/>
        <v>ParksReserved-35</v>
      </c>
      <c r="H386" s="2" t="s">
        <v>67</v>
      </c>
      <c r="O386" s="2" t="s">
        <v>2678</v>
      </c>
      <c r="P386" s="3" t="str">
        <f t="shared" si="56"/>
        <v>NR</v>
      </c>
      <c r="R386" s="127">
        <f t="shared" si="57"/>
        <v>0</v>
      </c>
      <c r="S386" s="118">
        <f t="shared" si="49"/>
        <v>0</v>
      </c>
    </row>
    <row r="387" spans="1:19" hidden="1">
      <c r="A387">
        <f t="shared" si="54"/>
        <v>418</v>
      </c>
      <c r="B387" s="42" t="s">
        <v>32</v>
      </c>
      <c r="C387" s="313">
        <f>SUMIF('Employees Supported'!$A$2:$A$29,$B387,'Employees Supported'!$C$2:$C$29)</f>
        <v>400</v>
      </c>
      <c r="E387" s="2">
        <f t="shared" si="53"/>
        <v>35</v>
      </c>
      <c r="F387" t="str">
        <f t="shared" si="50"/>
        <v>Reserved-35</v>
      </c>
      <c r="G387" t="str">
        <f t="shared" si="55"/>
        <v>Seattle CtrReserved-35</v>
      </c>
      <c r="H387" s="2" t="s">
        <v>67</v>
      </c>
      <c r="O387" s="2" t="s">
        <v>2678</v>
      </c>
      <c r="P387" s="3" t="str">
        <f t="shared" si="56"/>
        <v>NR</v>
      </c>
      <c r="R387" s="127">
        <f t="shared" si="57"/>
        <v>0</v>
      </c>
      <c r="S387" s="118">
        <f t="shared" si="49"/>
        <v>0</v>
      </c>
    </row>
    <row r="388" spans="1:19">
      <c r="A388">
        <f t="shared" si="54"/>
        <v>419</v>
      </c>
      <c r="B388" s="42" t="s">
        <v>23</v>
      </c>
      <c r="C388" s="313">
        <v>6500</v>
      </c>
      <c r="E388" s="2">
        <f>+E377+1</f>
        <v>36</v>
      </c>
      <c r="F388" t="str">
        <f t="shared" si="50"/>
        <v>Reserved-36</v>
      </c>
      <c r="G388" t="str">
        <f t="shared" si="55"/>
        <v>FAS-CentralizedReserved-36</v>
      </c>
      <c r="H388" s="2" t="s">
        <v>67</v>
      </c>
      <c r="O388" s="2" t="s">
        <v>2678</v>
      </c>
      <c r="P388" s="3" t="str">
        <f t="shared" si="56"/>
        <v>NR</v>
      </c>
      <c r="R388" s="127">
        <f t="shared" si="57"/>
        <v>0</v>
      </c>
      <c r="S388" s="118">
        <f t="shared" ref="S388:S414" si="58">R388*7</f>
        <v>0</v>
      </c>
    </row>
    <row r="389" spans="1:19" hidden="1">
      <c r="A389">
        <f t="shared" si="54"/>
        <v>420</v>
      </c>
      <c r="B389" s="42" t="s">
        <v>25</v>
      </c>
      <c r="C389" s="313">
        <f>SUMIF('Employees Supported'!$A$2:$A$29,$B389,'Employees Supported'!$C$2:$C$29)</f>
        <v>1500</v>
      </c>
      <c r="E389" s="2">
        <f t="shared" si="53"/>
        <v>36</v>
      </c>
      <c r="F389" t="str">
        <f t="shared" si="50"/>
        <v>Reserved-36</v>
      </c>
      <c r="G389" t="str">
        <f t="shared" si="55"/>
        <v>SPDReserved-36</v>
      </c>
      <c r="H389" s="2" t="s">
        <v>67</v>
      </c>
      <c r="O389" s="2" t="s">
        <v>2678</v>
      </c>
      <c r="P389" s="3" t="str">
        <f t="shared" si="56"/>
        <v>NR</v>
      </c>
      <c r="R389" s="127">
        <f t="shared" si="57"/>
        <v>0</v>
      </c>
      <c r="S389" s="118">
        <f t="shared" si="58"/>
        <v>0</v>
      </c>
    </row>
    <row r="390" spans="1:19" hidden="1">
      <c r="A390">
        <f t="shared" si="54"/>
        <v>421</v>
      </c>
      <c r="B390" s="42" t="s">
        <v>24</v>
      </c>
      <c r="C390" s="313">
        <f>SUMIF('Employees Supported'!$A$2:$A$29,$B390,'Employees Supported'!$C$2:$C$29)</f>
        <v>1100</v>
      </c>
      <c r="E390" s="2">
        <f t="shared" si="53"/>
        <v>36</v>
      </c>
      <c r="F390" t="str">
        <f t="shared" si="50"/>
        <v>Reserved-36</v>
      </c>
      <c r="G390" t="str">
        <f t="shared" si="55"/>
        <v>SFDReserved-36</v>
      </c>
      <c r="H390" s="2" t="s">
        <v>67</v>
      </c>
      <c r="O390" s="2" t="s">
        <v>2678</v>
      </c>
      <c r="P390" s="3" t="str">
        <f t="shared" si="56"/>
        <v>NR</v>
      </c>
      <c r="R390" s="127">
        <f t="shared" si="57"/>
        <v>0</v>
      </c>
      <c r="S390" s="118">
        <f t="shared" si="58"/>
        <v>0</v>
      </c>
    </row>
    <row r="391" spans="1:19" hidden="1">
      <c r="A391">
        <f t="shared" si="54"/>
        <v>422</v>
      </c>
      <c r="B391" s="42" t="s">
        <v>28</v>
      </c>
      <c r="C391" s="313">
        <f>SUMIF('Employees Supported'!$A$2:$A$29,$B391,'Employees Supported'!$C$2:$C$29)</f>
        <v>1100</v>
      </c>
      <c r="E391" s="2">
        <f t="shared" si="53"/>
        <v>36</v>
      </c>
      <c r="F391" t="str">
        <f t="shared" si="50"/>
        <v>Reserved-36</v>
      </c>
      <c r="G391" t="str">
        <f t="shared" si="55"/>
        <v>SDOTReserved-36</v>
      </c>
      <c r="H391" s="2" t="s">
        <v>67</v>
      </c>
      <c r="O391" s="2" t="s">
        <v>2678</v>
      </c>
      <c r="P391" s="3" t="str">
        <f t="shared" si="56"/>
        <v>NR</v>
      </c>
      <c r="R391" s="127">
        <f t="shared" si="57"/>
        <v>0</v>
      </c>
      <c r="S391" s="118">
        <f t="shared" si="58"/>
        <v>0</v>
      </c>
    </row>
    <row r="392" spans="1:19" hidden="1">
      <c r="A392">
        <f t="shared" si="54"/>
        <v>423</v>
      </c>
      <c r="B392" s="42" t="s">
        <v>33</v>
      </c>
      <c r="C392" s="313">
        <f>SUMIF('Employees Supported'!$A$2:$A$29,$B392,'Employees Supported'!$C$2:$C$29)</f>
        <v>400</v>
      </c>
      <c r="E392" s="2">
        <f t="shared" si="53"/>
        <v>36</v>
      </c>
      <c r="F392" t="str">
        <f t="shared" si="50"/>
        <v>Reserved-36</v>
      </c>
      <c r="G392" t="str">
        <f t="shared" si="55"/>
        <v>SCLReserved-36</v>
      </c>
      <c r="H392" s="2" t="s">
        <v>67</v>
      </c>
      <c r="O392" s="2" t="s">
        <v>2678</v>
      </c>
      <c r="P392" s="3" t="str">
        <f t="shared" si="56"/>
        <v>NR</v>
      </c>
      <c r="R392" s="127">
        <f t="shared" si="57"/>
        <v>0</v>
      </c>
      <c r="S392" s="118">
        <f t="shared" si="58"/>
        <v>0</v>
      </c>
    </row>
    <row r="393" spans="1:19" hidden="1">
      <c r="A393">
        <f t="shared" si="54"/>
        <v>424</v>
      </c>
      <c r="B393" s="42" t="s">
        <v>31</v>
      </c>
      <c r="C393" s="313">
        <f>SUMIF('Employees Supported'!$A$2:$A$29,$B393,'Employees Supported'!$C$2:$C$29)</f>
        <v>700</v>
      </c>
      <c r="E393" s="2">
        <f t="shared" si="53"/>
        <v>36</v>
      </c>
      <c r="F393" t="str">
        <f t="shared" si="50"/>
        <v>Reserved-36</v>
      </c>
      <c r="G393" t="str">
        <f t="shared" si="55"/>
        <v>SeaITReserved-36</v>
      </c>
      <c r="H393" s="2" t="s">
        <v>67</v>
      </c>
      <c r="O393" s="2" t="s">
        <v>2678</v>
      </c>
      <c r="P393" s="3" t="str">
        <f t="shared" si="56"/>
        <v>NR</v>
      </c>
      <c r="R393" s="127">
        <f t="shared" si="57"/>
        <v>0</v>
      </c>
      <c r="S393" s="118">
        <f t="shared" si="58"/>
        <v>0</v>
      </c>
    </row>
    <row r="394" spans="1:19" hidden="1">
      <c r="A394">
        <f t="shared" si="54"/>
        <v>425</v>
      </c>
      <c r="B394" s="42" t="s">
        <v>29</v>
      </c>
      <c r="C394" s="313">
        <f>SUMIF('Employees Supported'!$A$2:$A$29,$B394,'Employees Supported'!$C$2:$C$29)</f>
        <v>550</v>
      </c>
      <c r="E394" s="2">
        <f t="shared" si="53"/>
        <v>36</v>
      </c>
      <c r="F394" t="str">
        <f t="shared" si="50"/>
        <v>Reserved-36</v>
      </c>
      <c r="G394" t="str">
        <f t="shared" si="55"/>
        <v>SDCIReserved-36</v>
      </c>
      <c r="H394" s="2" t="s">
        <v>67</v>
      </c>
      <c r="O394" s="2" t="s">
        <v>2678</v>
      </c>
      <c r="P394" s="3" t="str">
        <f t="shared" si="56"/>
        <v>NR</v>
      </c>
      <c r="R394" s="127">
        <f t="shared" si="57"/>
        <v>0</v>
      </c>
      <c r="S394" s="118">
        <f t="shared" si="58"/>
        <v>0</v>
      </c>
    </row>
    <row r="395" spans="1:19" hidden="1">
      <c r="A395">
        <f t="shared" si="54"/>
        <v>426</v>
      </c>
      <c r="B395" s="42" t="s">
        <v>27</v>
      </c>
      <c r="C395" s="313">
        <f>SUMIF('Employees Supported'!$A$2:$A$29,$B395,'Employees Supported'!$C$2:$C$29)</f>
        <v>400</v>
      </c>
      <c r="E395" s="2">
        <f t="shared" si="53"/>
        <v>36</v>
      </c>
      <c r="F395" t="str">
        <f t="shared" ref="F395:F458" si="59">_xlfn.SINGLE(_xlfn.CONCAT("Reserved-",E395))</f>
        <v>Reserved-36</v>
      </c>
      <c r="G395" t="str">
        <f t="shared" si="55"/>
        <v>SPUReserved-36</v>
      </c>
      <c r="H395" s="2" t="s">
        <v>67</v>
      </c>
      <c r="O395" s="2" t="s">
        <v>2678</v>
      </c>
      <c r="P395" s="3" t="str">
        <f t="shared" si="56"/>
        <v>NR</v>
      </c>
      <c r="R395" s="127">
        <f t="shared" si="57"/>
        <v>0</v>
      </c>
      <c r="S395" s="118">
        <f t="shared" si="58"/>
        <v>0</v>
      </c>
    </row>
    <row r="396" spans="1:19" hidden="1">
      <c r="A396">
        <f t="shared" si="54"/>
        <v>427</v>
      </c>
      <c r="B396" s="42" t="s">
        <v>30</v>
      </c>
      <c r="C396" s="313">
        <f>SUMIF('Employees Supported'!$A$2:$A$29,$B396,'Employees Supported'!$C$2:$C$29)</f>
        <v>300</v>
      </c>
      <c r="E396" s="2">
        <f t="shared" si="53"/>
        <v>36</v>
      </c>
      <c r="F396" t="str">
        <f t="shared" si="59"/>
        <v>Reserved-36</v>
      </c>
      <c r="G396" t="str">
        <f t="shared" si="55"/>
        <v>LibrariesReserved-36</v>
      </c>
      <c r="H396" s="2" t="s">
        <v>67</v>
      </c>
      <c r="O396" s="2" t="s">
        <v>2678</v>
      </c>
      <c r="P396" s="3" t="str">
        <f t="shared" si="56"/>
        <v>NR</v>
      </c>
      <c r="R396" s="127">
        <f t="shared" si="57"/>
        <v>0</v>
      </c>
      <c r="S396" s="118">
        <f t="shared" si="58"/>
        <v>0</v>
      </c>
    </row>
    <row r="397" spans="1:19" hidden="1">
      <c r="A397">
        <f t="shared" si="54"/>
        <v>428</v>
      </c>
      <c r="B397" s="42" t="s">
        <v>26</v>
      </c>
      <c r="C397" s="313">
        <f>SUMIF('Employees Supported'!$A$2:$A$29,$B397,'Employees Supported'!$C$2:$C$29)</f>
        <v>400</v>
      </c>
      <c r="E397" s="2">
        <f t="shared" si="53"/>
        <v>36</v>
      </c>
      <c r="F397" t="str">
        <f t="shared" si="59"/>
        <v>Reserved-36</v>
      </c>
      <c r="G397" t="str">
        <f t="shared" si="55"/>
        <v>ParksReserved-36</v>
      </c>
      <c r="H397" s="2" t="s">
        <v>67</v>
      </c>
      <c r="O397" s="2" t="s">
        <v>2678</v>
      </c>
      <c r="P397" s="3" t="str">
        <f t="shared" si="56"/>
        <v>NR</v>
      </c>
      <c r="R397" s="127">
        <f t="shared" si="57"/>
        <v>0</v>
      </c>
      <c r="S397" s="118">
        <f t="shared" si="58"/>
        <v>0</v>
      </c>
    </row>
    <row r="398" spans="1:19" hidden="1">
      <c r="A398">
        <f t="shared" si="54"/>
        <v>429</v>
      </c>
      <c r="B398" s="42" t="s">
        <v>32</v>
      </c>
      <c r="C398" s="313">
        <f>SUMIF('Employees Supported'!$A$2:$A$29,$B398,'Employees Supported'!$C$2:$C$29)</f>
        <v>400</v>
      </c>
      <c r="E398" s="2">
        <f t="shared" si="53"/>
        <v>36</v>
      </c>
      <c r="F398" t="str">
        <f t="shared" si="59"/>
        <v>Reserved-36</v>
      </c>
      <c r="G398" t="str">
        <f t="shared" si="55"/>
        <v>Seattle CtrReserved-36</v>
      </c>
      <c r="H398" s="2" t="s">
        <v>67</v>
      </c>
      <c r="O398" s="2" t="s">
        <v>2678</v>
      </c>
      <c r="P398" s="3" t="str">
        <f t="shared" si="56"/>
        <v>NR</v>
      </c>
      <c r="R398" s="127">
        <f t="shared" si="57"/>
        <v>0</v>
      </c>
      <c r="S398" s="118">
        <f t="shared" si="58"/>
        <v>0</v>
      </c>
    </row>
    <row r="399" spans="1:19">
      <c r="A399">
        <f t="shared" si="54"/>
        <v>430</v>
      </c>
      <c r="B399" s="42" t="s">
        <v>23</v>
      </c>
      <c r="C399" s="313">
        <v>6500</v>
      </c>
      <c r="E399" s="2">
        <f>+E388+1</f>
        <v>37</v>
      </c>
      <c r="F399" t="str">
        <f t="shared" si="59"/>
        <v>Reserved-37</v>
      </c>
      <c r="G399" t="str">
        <f t="shared" si="55"/>
        <v>FAS-CentralizedReserved-37</v>
      </c>
      <c r="H399" s="2" t="s">
        <v>67</v>
      </c>
      <c r="O399" s="2" t="s">
        <v>2678</v>
      </c>
      <c r="P399" s="3" t="str">
        <f t="shared" si="56"/>
        <v>NR</v>
      </c>
      <c r="R399" s="127">
        <f t="shared" si="57"/>
        <v>0</v>
      </c>
      <c r="S399" s="118">
        <f t="shared" si="58"/>
        <v>0</v>
      </c>
    </row>
    <row r="400" spans="1:19" hidden="1">
      <c r="A400">
        <f t="shared" si="54"/>
        <v>431</v>
      </c>
      <c r="B400" s="42" t="s">
        <v>25</v>
      </c>
      <c r="C400" s="313">
        <f>SUMIF('Employees Supported'!$A$2:$A$29,$B400,'Employees Supported'!$C$2:$C$29)</f>
        <v>1500</v>
      </c>
      <c r="E400" s="2">
        <f t="shared" si="53"/>
        <v>37</v>
      </c>
      <c r="F400" t="str">
        <f t="shared" si="59"/>
        <v>Reserved-37</v>
      </c>
      <c r="G400" t="str">
        <f t="shared" si="55"/>
        <v>SPDReserved-37</v>
      </c>
      <c r="H400" s="2" t="s">
        <v>67</v>
      </c>
      <c r="O400" s="2" t="s">
        <v>2678</v>
      </c>
      <c r="P400" s="3" t="str">
        <f t="shared" si="56"/>
        <v>NR</v>
      </c>
      <c r="R400" s="127">
        <f t="shared" si="57"/>
        <v>0</v>
      </c>
      <c r="S400" s="118">
        <f t="shared" si="58"/>
        <v>0</v>
      </c>
    </row>
    <row r="401" spans="1:19" hidden="1">
      <c r="A401">
        <f t="shared" si="54"/>
        <v>432</v>
      </c>
      <c r="B401" s="42" t="s">
        <v>24</v>
      </c>
      <c r="C401" s="313">
        <f>SUMIF('Employees Supported'!$A$2:$A$29,$B401,'Employees Supported'!$C$2:$C$29)</f>
        <v>1100</v>
      </c>
      <c r="E401" s="2">
        <f t="shared" si="53"/>
        <v>37</v>
      </c>
      <c r="F401" t="str">
        <f t="shared" si="59"/>
        <v>Reserved-37</v>
      </c>
      <c r="G401" t="str">
        <f t="shared" si="55"/>
        <v>SFDReserved-37</v>
      </c>
      <c r="H401" s="2" t="s">
        <v>67</v>
      </c>
      <c r="O401" s="2" t="s">
        <v>2678</v>
      </c>
      <c r="P401" s="3" t="str">
        <f t="shared" si="56"/>
        <v>NR</v>
      </c>
      <c r="R401" s="127">
        <f t="shared" si="57"/>
        <v>0</v>
      </c>
      <c r="S401" s="118">
        <f t="shared" si="58"/>
        <v>0</v>
      </c>
    </row>
    <row r="402" spans="1:19" hidden="1">
      <c r="A402">
        <f t="shared" si="54"/>
        <v>433</v>
      </c>
      <c r="B402" s="42" t="s">
        <v>28</v>
      </c>
      <c r="C402" s="313">
        <f>SUMIF('Employees Supported'!$A$2:$A$29,$B402,'Employees Supported'!$C$2:$C$29)</f>
        <v>1100</v>
      </c>
      <c r="E402" s="2">
        <f t="shared" si="53"/>
        <v>37</v>
      </c>
      <c r="F402" t="str">
        <f t="shared" si="59"/>
        <v>Reserved-37</v>
      </c>
      <c r="G402" t="str">
        <f t="shared" si="55"/>
        <v>SDOTReserved-37</v>
      </c>
      <c r="H402" s="2" t="s">
        <v>67</v>
      </c>
      <c r="O402" s="2" t="s">
        <v>2678</v>
      </c>
      <c r="P402" s="3" t="str">
        <f t="shared" si="56"/>
        <v>NR</v>
      </c>
      <c r="R402" s="127">
        <f t="shared" si="57"/>
        <v>0</v>
      </c>
      <c r="S402" s="118">
        <f t="shared" si="58"/>
        <v>0</v>
      </c>
    </row>
    <row r="403" spans="1:19" hidden="1">
      <c r="A403">
        <f t="shared" si="54"/>
        <v>434</v>
      </c>
      <c r="B403" s="42" t="s">
        <v>33</v>
      </c>
      <c r="C403" s="313">
        <f>SUMIF('Employees Supported'!$A$2:$A$29,$B403,'Employees Supported'!$C$2:$C$29)</f>
        <v>400</v>
      </c>
      <c r="E403" s="2">
        <f t="shared" si="53"/>
        <v>37</v>
      </c>
      <c r="F403" t="str">
        <f t="shared" si="59"/>
        <v>Reserved-37</v>
      </c>
      <c r="G403" t="str">
        <f t="shared" si="55"/>
        <v>SCLReserved-37</v>
      </c>
      <c r="H403" s="2" t="s">
        <v>67</v>
      </c>
      <c r="O403" s="2" t="s">
        <v>2678</v>
      </c>
      <c r="P403" s="3" t="str">
        <f t="shared" si="56"/>
        <v>NR</v>
      </c>
      <c r="R403" s="127">
        <f t="shared" si="57"/>
        <v>0</v>
      </c>
      <c r="S403" s="118">
        <f t="shared" si="58"/>
        <v>0</v>
      </c>
    </row>
    <row r="404" spans="1:19" hidden="1">
      <c r="A404">
        <f t="shared" si="54"/>
        <v>435</v>
      </c>
      <c r="B404" s="42" t="s">
        <v>31</v>
      </c>
      <c r="C404" s="313">
        <f>SUMIF('Employees Supported'!$A$2:$A$29,$B404,'Employees Supported'!$C$2:$C$29)</f>
        <v>700</v>
      </c>
      <c r="E404" s="2">
        <f t="shared" si="53"/>
        <v>37</v>
      </c>
      <c r="F404" t="str">
        <f t="shared" si="59"/>
        <v>Reserved-37</v>
      </c>
      <c r="G404" t="str">
        <f t="shared" si="55"/>
        <v>SeaITReserved-37</v>
      </c>
      <c r="H404" s="2" t="s">
        <v>67</v>
      </c>
      <c r="O404" s="2" t="s">
        <v>2678</v>
      </c>
      <c r="P404" s="3" t="str">
        <f t="shared" si="56"/>
        <v>NR</v>
      </c>
      <c r="R404" s="127">
        <f t="shared" si="57"/>
        <v>0</v>
      </c>
      <c r="S404" s="118">
        <f t="shared" si="58"/>
        <v>0</v>
      </c>
    </row>
    <row r="405" spans="1:19" hidden="1">
      <c r="A405">
        <f t="shared" si="54"/>
        <v>436</v>
      </c>
      <c r="B405" s="42" t="s">
        <v>29</v>
      </c>
      <c r="C405" s="313">
        <f>SUMIF('Employees Supported'!$A$2:$A$29,$B405,'Employees Supported'!$C$2:$C$29)</f>
        <v>550</v>
      </c>
      <c r="E405" s="2">
        <f t="shared" si="53"/>
        <v>37</v>
      </c>
      <c r="F405" t="str">
        <f t="shared" si="59"/>
        <v>Reserved-37</v>
      </c>
      <c r="G405" t="str">
        <f t="shared" si="55"/>
        <v>SDCIReserved-37</v>
      </c>
      <c r="H405" s="2" t="s">
        <v>67</v>
      </c>
      <c r="O405" s="2" t="s">
        <v>2678</v>
      </c>
      <c r="P405" s="3" t="str">
        <f t="shared" si="56"/>
        <v>NR</v>
      </c>
      <c r="R405" s="127">
        <f t="shared" si="57"/>
        <v>0</v>
      </c>
      <c r="S405" s="118">
        <f t="shared" si="58"/>
        <v>0</v>
      </c>
    </row>
    <row r="406" spans="1:19" hidden="1">
      <c r="A406">
        <f t="shared" si="54"/>
        <v>437</v>
      </c>
      <c r="B406" s="42" t="s">
        <v>27</v>
      </c>
      <c r="C406" s="313">
        <f>SUMIF('Employees Supported'!$A$2:$A$29,$B406,'Employees Supported'!$C$2:$C$29)</f>
        <v>400</v>
      </c>
      <c r="E406" s="2">
        <f t="shared" si="53"/>
        <v>37</v>
      </c>
      <c r="F406" t="str">
        <f t="shared" si="59"/>
        <v>Reserved-37</v>
      </c>
      <c r="G406" t="str">
        <f t="shared" si="55"/>
        <v>SPUReserved-37</v>
      </c>
      <c r="H406" s="2" t="s">
        <v>67</v>
      </c>
      <c r="O406" s="2" t="s">
        <v>2678</v>
      </c>
      <c r="P406" s="3" t="str">
        <f t="shared" si="56"/>
        <v>NR</v>
      </c>
      <c r="R406" s="127">
        <f t="shared" si="57"/>
        <v>0</v>
      </c>
      <c r="S406" s="118">
        <f t="shared" si="58"/>
        <v>0</v>
      </c>
    </row>
    <row r="407" spans="1:19" hidden="1">
      <c r="A407">
        <f t="shared" si="54"/>
        <v>438</v>
      </c>
      <c r="B407" s="42" t="s">
        <v>30</v>
      </c>
      <c r="C407" s="313">
        <f>SUMIF('Employees Supported'!$A$2:$A$29,$B407,'Employees Supported'!$C$2:$C$29)</f>
        <v>300</v>
      </c>
      <c r="E407" s="2">
        <f t="shared" si="53"/>
        <v>37</v>
      </c>
      <c r="F407" t="str">
        <f t="shared" si="59"/>
        <v>Reserved-37</v>
      </c>
      <c r="G407" t="str">
        <f t="shared" si="55"/>
        <v>LibrariesReserved-37</v>
      </c>
      <c r="H407" s="2" t="s">
        <v>67</v>
      </c>
      <c r="O407" s="2" t="s">
        <v>2678</v>
      </c>
      <c r="P407" s="3" t="str">
        <f t="shared" si="56"/>
        <v>NR</v>
      </c>
      <c r="R407" s="127">
        <f t="shared" si="57"/>
        <v>0</v>
      </c>
      <c r="S407" s="118">
        <f t="shared" si="58"/>
        <v>0</v>
      </c>
    </row>
    <row r="408" spans="1:19" hidden="1">
      <c r="A408">
        <f t="shared" si="54"/>
        <v>439</v>
      </c>
      <c r="B408" s="42" t="s">
        <v>26</v>
      </c>
      <c r="C408" s="313">
        <f>SUMIF('Employees Supported'!$A$2:$A$29,$B408,'Employees Supported'!$C$2:$C$29)</f>
        <v>400</v>
      </c>
      <c r="E408" s="2">
        <f t="shared" si="53"/>
        <v>37</v>
      </c>
      <c r="F408" t="str">
        <f t="shared" si="59"/>
        <v>Reserved-37</v>
      </c>
      <c r="G408" t="str">
        <f t="shared" si="55"/>
        <v>ParksReserved-37</v>
      </c>
      <c r="H408" s="2" t="s">
        <v>67</v>
      </c>
      <c r="O408" s="2" t="s">
        <v>2678</v>
      </c>
      <c r="P408" s="3" t="str">
        <f t="shared" si="56"/>
        <v>NR</v>
      </c>
      <c r="R408" s="127">
        <f t="shared" si="57"/>
        <v>0</v>
      </c>
      <c r="S408" s="118">
        <f t="shared" si="58"/>
        <v>0</v>
      </c>
    </row>
    <row r="409" spans="1:19" hidden="1">
      <c r="A409">
        <f t="shared" si="54"/>
        <v>440</v>
      </c>
      <c r="B409" s="42" t="s">
        <v>32</v>
      </c>
      <c r="C409" s="313">
        <f>SUMIF('Employees Supported'!$A$2:$A$29,$B409,'Employees Supported'!$C$2:$C$29)</f>
        <v>400</v>
      </c>
      <c r="E409" s="2">
        <f t="shared" si="53"/>
        <v>37</v>
      </c>
      <c r="F409" t="str">
        <f t="shared" si="59"/>
        <v>Reserved-37</v>
      </c>
      <c r="G409" t="str">
        <f t="shared" si="55"/>
        <v>Seattle CtrReserved-37</v>
      </c>
      <c r="H409" s="2" t="s">
        <v>67</v>
      </c>
      <c r="O409" s="2" t="s">
        <v>2678</v>
      </c>
      <c r="P409" s="3" t="str">
        <f t="shared" si="56"/>
        <v>NR</v>
      </c>
      <c r="R409" s="127">
        <f t="shared" si="57"/>
        <v>0</v>
      </c>
      <c r="S409" s="118">
        <f t="shared" si="58"/>
        <v>0</v>
      </c>
    </row>
    <row r="410" spans="1:19">
      <c r="A410">
        <f t="shared" si="54"/>
        <v>441</v>
      </c>
      <c r="B410" s="42" t="s">
        <v>23</v>
      </c>
      <c r="C410" s="313">
        <v>6500</v>
      </c>
      <c r="E410" s="2">
        <f>+E399+1</f>
        <v>38</v>
      </c>
      <c r="F410" t="str">
        <f t="shared" si="59"/>
        <v>Reserved-38</v>
      </c>
      <c r="G410" t="str">
        <f t="shared" si="55"/>
        <v>FAS-CentralizedReserved-38</v>
      </c>
      <c r="H410" s="2" t="s">
        <v>67</v>
      </c>
      <c r="O410" s="2" t="s">
        <v>2678</v>
      </c>
      <c r="P410" s="3" t="str">
        <f t="shared" si="56"/>
        <v>NR</v>
      </c>
      <c r="R410" s="127">
        <f t="shared" si="57"/>
        <v>0</v>
      </c>
      <c r="S410" s="118">
        <f t="shared" si="58"/>
        <v>0</v>
      </c>
    </row>
    <row r="411" spans="1:19" hidden="1">
      <c r="A411">
        <f t="shared" si="54"/>
        <v>442</v>
      </c>
      <c r="B411" s="42" t="s">
        <v>25</v>
      </c>
      <c r="C411" s="313">
        <f>SUMIF('Employees Supported'!$A$2:$A$29,$B411,'Employees Supported'!$C$2:$C$29)</f>
        <v>1500</v>
      </c>
      <c r="E411" s="2">
        <f t="shared" si="53"/>
        <v>38</v>
      </c>
      <c r="F411" t="str">
        <f t="shared" si="59"/>
        <v>Reserved-38</v>
      </c>
      <c r="G411" t="str">
        <f t="shared" si="55"/>
        <v>SPDReserved-38</v>
      </c>
      <c r="H411" s="2" t="s">
        <v>67</v>
      </c>
      <c r="O411" s="2" t="s">
        <v>2678</v>
      </c>
      <c r="P411" s="3" t="str">
        <f t="shared" si="56"/>
        <v>NR</v>
      </c>
      <c r="R411" s="127">
        <f t="shared" si="57"/>
        <v>0</v>
      </c>
      <c r="S411" s="118">
        <f t="shared" si="58"/>
        <v>0</v>
      </c>
    </row>
    <row r="412" spans="1:19" hidden="1">
      <c r="A412">
        <f t="shared" si="54"/>
        <v>443</v>
      </c>
      <c r="B412" s="42" t="s">
        <v>24</v>
      </c>
      <c r="C412" s="313">
        <f>SUMIF('Employees Supported'!$A$2:$A$29,$B412,'Employees Supported'!$C$2:$C$29)</f>
        <v>1100</v>
      </c>
      <c r="E412" s="2">
        <f t="shared" si="53"/>
        <v>38</v>
      </c>
      <c r="F412" t="str">
        <f t="shared" si="59"/>
        <v>Reserved-38</v>
      </c>
      <c r="G412" t="str">
        <f t="shared" si="55"/>
        <v>SFDReserved-38</v>
      </c>
      <c r="H412" s="2" t="s">
        <v>67</v>
      </c>
      <c r="O412" s="2" t="s">
        <v>2678</v>
      </c>
      <c r="P412" s="3" t="str">
        <f t="shared" si="56"/>
        <v>NR</v>
      </c>
      <c r="R412" s="127">
        <f t="shared" si="57"/>
        <v>0</v>
      </c>
      <c r="S412" s="118">
        <f t="shared" si="58"/>
        <v>0</v>
      </c>
    </row>
    <row r="413" spans="1:19" hidden="1">
      <c r="A413">
        <f t="shared" si="54"/>
        <v>444</v>
      </c>
      <c r="B413" s="42" t="s">
        <v>28</v>
      </c>
      <c r="C413" s="313">
        <f>SUMIF('Employees Supported'!$A$2:$A$29,$B413,'Employees Supported'!$C$2:$C$29)</f>
        <v>1100</v>
      </c>
      <c r="E413" s="2">
        <f t="shared" si="53"/>
        <v>38</v>
      </c>
      <c r="F413" t="str">
        <f t="shared" si="59"/>
        <v>Reserved-38</v>
      </c>
      <c r="G413" t="str">
        <f t="shared" si="55"/>
        <v>SDOTReserved-38</v>
      </c>
      <c r="H413" s="2" t="s">
        <v>67</v>
      </c>
      <c r="O413" s="2" t="s">
        <v>2678</v>
      </c>
      <c r="P413" s="3" t="str">
        <f t="shared" si="56"/>
        <v>NR</v>
      </c>
      <c r="R413" s="127">
        <f t="shared" si="57"/>
        <v>0</v>
      </c>
      <c r="S413" s="118">
        <f t="shared" si="58"/>
        <v>0</v>
      </c>
    </row>
    <row r="414" spans="1:19" hidden="1">
      <c r="A414">
        <f t="shared" si="54"/>
        <v>445</v>
      </c>
      <c r="B414" s="42" t="s">
        <v>33</v>
      </c>
      <c r="C414" s="313">
        <f>SUMIF('Employees Supported'!$A$2:$A$29,$B414,'Employees Supported'!$C$2:$C$29)</f>
        <v>400</v>
      </c>
      <c r="E414" s="2">
        <f t="shared" si="53"/>
        <v>38</v>
      </c>
      <c r="F414" t="str">
        <f t="shared" si="59"/>
        <v>Reserved-38</v>
      </c>
      <c r="G414" t="str">
        <f t="shared" si="55"/>
        <v>SCLReserved-38</v>
      </c>
      <c r="H414" s="2" t="s">
        <v>67</v>
      </c>
      <c r="O414" s="2" t="s">
        <v>2678</v>
      </c>
      <c r="P414" s="3" t="str">
        <f t="shared" si="56"/>
        <v>NR</v>
      </c>
      <c r="R414" s="127">
        <f t="shared" si="57"/>
        <v>0</v>
      </c>
      <c r="S414" s="118">
        <f t="shared" si="58"/>
        <v>0</v>
      </c>
    </row>
    <row r="415" spans="1:19" hidden="1">
      <c r="A415">
        <f t="shared" si="54"/>
        <v>446</v>
      </c>
      <c r="B415" s="42" t="s">
        <v>31</v>
      </c>
      <c r="C415" s="313">
        <f>SUMIF('Employees Supported'!$A$2:$A$29,$B415,'Employees Supported'!$C$2:$C$29)</f>
        <v>700</v>
      </c>
      <c r="E415" s="2">
        <f t="shared" si="53"/>
        <v>38</v>
      </c>
      <c r="F415" t="str">
        <f t="shared" si="59"/>
        <v>Reserved-38</v>
      </c>
      <c r="G415" t="str">
        <f t="shared" si="55"/>
        <v>SeaITReserved-38</v>
      </c>
      <c r="H415" s="2" t="s">
        <v>67</v>
      </c>
      <c r="O415" s="2" t="s">
        <v>2678</v>
      </c>
      <c r="P415" s="3" t="str">
        <f t="shared" si="56"/>
        <v>NR</v>
      </c>
      <c r="R415" s="127">
        <f t="shared" si="57"/>
        <v>0</v>
      </c>
    </row>
    <row r="416" spans="1:19" hidden="1">
      <c r="A416">
        <f t="shared" si="54"/>
        <v>447</v>
      </c>
      <c r="B416" s="42" t="s">
        <v>29</v>
      </c>
      <c r="C416" s="313">
        <f>SUMIF('Employees Supported'!$A$2:$A$29,$B416,'Employees Supported'!$C$2:$C$29)</f>
        <v>550</v>
      </c>
      <c r="E416" s="2">
        <f t="shared" si="53"/>
        <v>38</v>
      </c>
      <c r="F416" t="str">
        <f t="shared" si="59"/>
        <v>Reserved-38</v>
      </c>
      <c r="G416" t="str">
        <f t="shared" si="55"/>
        <v>SDCIReserved-38</v>
      </c>
      <c r="H416" s="2" t="s">
        <v>67</v>
      </c>
      <c r="O416" s="2" t="s">
        <v>2678</v>
      </c>
      <c r="P416" s="3" t="str">
        <f t="shared" si="56"/>
        <v>NR</v>
      </c>
      <c r="R416" s="127">
        <f t="shared" si="57"/>
        <v>0</v>
      </c>
    </row>
    <row r="417" spans="1:18" hidden="1">
      <c r="A417">
        <f t="shared" si="54"/>
        <v>448</v>
      </c>
      <c r="B417" s="42" t="s">
        <v>27</v>
      </c>
      <c r="C417" s="313">
        <f>SUMIF('Employees Supported'!$A$2:$A$29,$B417,'Employees Supported'!$C$2:$C$29)</f>
        <v>400</v>
      </c>
      <c r="E417" s="2">
        <f t="shared" si="53"/>
        <v>38</v>
      </c>
      <c r="F417" t="str">
        <f t="shared" si="59"/>
        <v>Reserved-38</v>
      </c>
      <c r="G417" t="str">
        <f t="shared" si="55"/>
        <v>SPUReserved-38</v>
      </c>
      <c r="H417" s="2" t="s">
        <v>67</v>
      </c>
      <c r="O417" s="2" t="s">
        <v>2678</v>
      </c>
      <c r="P417" s="3" t="str">
        <f t="shared" si="56"/>
        <v>NR</v>
      </c>
      <c r="R417" s="127">
        <f t="shared" si="57"/>
        <v>0</v>
      </c>
    </row>
    <row r="418" spans="1:18" hidden="1">
      <c r="A418">
        <f t="shared" si="54"/>
        <v>449</v>
      </c>
      <c r="B418" s="42" t="s">
        <v>30</v>
      </c>
      <c r="C418" s="313">
        <f>SUMIF('Employees Supported'!$A$2:$A$29,$B418,'Employees Supported'!$C$2:$C$29)</f>
        <v>300</v>
      </c>
      <c r="E418" s="2">
        <f t="shared" si="53"/>
        <v>38</v>
      </c>
      <c r="F418" t="str">
        <f t="shared" si="59"/>
        <v>Reserved-38</v>
      </c>
      <c r="G418" t="str">
        <f t="shared" si="55"/>
        <v>LibrariesReserved-38</v>
      </c>
      <c r="H418" s="2" t="s">
        <v>67</v>
      </c>
      <c r="O418" s="2" t="s">
        <v>2678</v>
      </c>
      <c r="P418" s="3" t="str">
        <f t="shared" si="56"/>
        <v>NR</v>
      </c>
      <c r="R418" s="127">
        <f t="shared" si="57"/>
        <v>0</v>
      </c>
    </row>
    <row r="419" spans="1:18" hidden="1">
      <c r="A419">
        <f t="shared" si="54"/>
        <v>450</v>
      </c>
      <c r="B419" s="42" t="s">
        <v>26</v>
      </c>
      <c r="C419" s="313">
        <f>SUMIF('Employees Supported'!$A$2:$A$29,$B419,'Employees Supported'!$C$2:$C$29)</f>
        <v>400</v>
      </c>
      <c r="E419" s="2">
        <f t="shared" si="53"/>
        <v>38</v>
      </c>
      <c r="F419" t="str">
        <f t="shared" si="59"/>
        <v>Reserved-38</v>
      </c>
      <c r="G419" t="str">
        <f t="shared" si="55"/>
        <v>ParksReserved-38</v>
      </c>
      <c r="H419" s="2" t="s">
        <v>67</v>
      </c>
      <c r="O419" s="2" t="s">
        <v>2678</v>
      </c>
      <c r="P419" s="3" t="str">
        <f t="shared" si="56"/>
        <v>NR</v>
      </c>
      <c r="R419" s="127">
        <f t="shared" si="57"/>
        <v>0</v>
      </c>
    </row>
    <row r="420" spans="1:18" hidden="1">
      <c r="A420">
        <f t="shared" si="54"/>
        <v>451</v>
      </c>
      <c r="B420" s="42" t="s">
        <v>32</v>
      </c>
      <c r="C420" s="313">
        <f>SUMIF('Employees Supported'!$A$2:$A$29,$B420,'Employees Supported'!$C$2:$C$29)</f>
        <v>400</v>
      </c>
      <c r="E420" s="2">
        <f t="shared" si="53"/>
        <v>38</v>
      </c>
      <c r="F420" t="str">
        <f t="shared" si="59"/>
        <v>Reserved-38</v>
      </c>
      <c r="G420" t="str">
        <f t="shared" si="55"/>
        <v>Seattle CtrReserved-38</v>
      </c>
      <c r="H420" s="2" t="s">
        <v>67</v>
      </c>
      <c r="O420" s="2" t="s">
        <v>2678</v>
      </c>
      <c r="P420" s="3" t="str">
        <f t="shared" si="56"/>
        <v>NR</v>
      </c>
      <c r="R420" s="127">
        <f t="shared" si="57"/>
        <v>0</v>
      </c>
    </row>
    <row r="421" spans="1:18">
      <c r="A421">
        <f t="shared" si="54"/>
        <v>452</v>
      </c>
      <c r="B421" s="42" t="s">
        <v>23</v>
      </c>
      <c r="C421" s="313">
        <v>6500</v>
      </c>
      <c r="E421" s="2">
        <f>+E410+1</f>
        <v>39</v>
      </c>
      <c r="F421" t="str">
        <f t="shared" si="59"/>
        <v>Reserved-39</v>
      </c>
      <c r="G421" t="str">
        <f t="shared" si="55"/>
        <v>FAS-CentralizedReserved-39</v>
      </c>
      <c r="H421" s="2" t="s">
        <v>67</v>
      </c>
      <c r="O421" s="2" t="s">
        <v>2678</v>
      </c>
      <c r="P421" s="3" t="str">
        <f t="shared" si="56"/>
        <v>NR</v>
      </c>
      <c r="R421" s="127">
        <f t="shared" si="57"/>
        <v>0</v>
      </c>
    </row>
    <row r="422" spans="1:18" hidden="1">
      <c r="A422">
        <f t="shared" si="54"/>
        <v>453</v>
      </c>
      <c r="B422" s="42" t="s">
        <v>25</v>
      </c>
      <c r="C422" s="313">
        <f>SUMIF('Employees Supported'!$A$2:$A$29,$B422,'Employees Supported'!$C$2:$C$29)</f>
        <v>1500</v>
      </c>
      <c r="E422" s="2">
        <f t="shared" si="53"/>
        <v>39</v>
      </c>
      <c r="F422" t="str">
        <f t="shared" si="59"/>
        <v>Reserved-39</v>
      </c>
      <c r="G422" t="str">
        <f t="shared" si="55"/>
        <v>SPDReserved-39</v>
      </c>
      <c r="H422" s="2" t="s">
        <v>67</v>
      </c>
      <c r="O422" s="2" t="s">
        <v>2678</v>
      </c>
      <c r="P422" s="3" t="str">
        <f t="shared" si="56"/>
        <v>NR</v>
      </c>
      <c r="R422" s="127">
        <f t="shared" si="57"/>
        <v>0</v>
      </c>
    </row>
    <row r="423" spans="1:18" hidden="1">
      <c r="A423">
        <f t="shared" si="54"/>
        <v>454</v>
      </c>
      <c r="B423" s="42" t="s">
        <v>24</v>
      </c>
      <c r="C423" s="313">
        <f>SUMIF('Employees Supported'!$A$2:$A$29,$B423,'Employees Supported'!$C$2:$C$29)</f>
        <v>1100</v>
      </c>
      <c r="E423" s="2">
        <f t="shared" si="53"/>
        <v>39</v>
      </c>
      <c r="F423" t="str">
        <f t="shared" si="59"/>
        <v>Reserved-39</v>
      </c>
      <c r="G423" t="str">
        <f t="shared" si="55"/>
        <v>SFDReserved-39</v>
      </c>
      <c r="H423" s="2" t="s">
        <v>67</v>
      </c>
      <c r="O423" s="2" t="s">
        <v>2678</v>
      </c>
      <c r="P423" s="3" t="str">
        <f t="shared" si="56"/>
        <v>NR</v>
      </c>
      <c r="R423" s="127">
        <f t="shared" si="57"/>
        <v>0</v>
      </c>
    </row>
    <row r="424" spans="1:18" hidden="1">
      <c r="A424">
        <f t="shared" si="54"/>
        <v>455</v>
      </c>
      <c r="B424" s="42" t="s">
        <v>28</v>
      </c>
      <c r="C424" s="313">
        <f>SUMIF('Employees Supported'!$A$2:$A$29,$B424,'Employees Supported'!$C$2:$C$29)</f>
        <v>1100</v>
      </c>
      <c r="E424" s="2">
        <f t="shared" si="53"/>
        <v>39</v>
      </c>
      <c r="F424" t="str">
        <f t="shared" si="59"/>
        <v>Reserved-39</v>
      </c>
      <c r="G424" t="str">
        <f t="shared" si="55"/>
        <v>SDOTReserved-39</v>
      </c>
      <c r="H424" s="2" t="s">
        <v>67</v>
      </c>
      <c r="O424" s="2" t="s">
        <v>2678</v>
      </c>
      <c r="P424" s="3" t="str">
        <f t="shared" si="56"/>
        <v>NR</v>
      </c>
      <c r="R424" s="127">
        <f t="shared" si="57"/>
        <v>0</v>
      </c>
    </row>
    <row r="425" spans="1:18" hidden="1">
      <c r="A425">
        <f t="shared" si="54"/>
        <v>456</v>
      </c>
      <c r="B425" s="42" t="s">
        <v>33</v>
      </c>
      <c r="C425" s="313">
        <f>SUMIF('Employees Supported'!$A$2:$A$29,$B425,'Employees Supported'!$C$2:$C$29)</f>
        <v>400</v>
      </c>
      <c r="E425" s="2">
        <f t="shared" si="53"/>
        <v>39</v>
      </c>
      <c r="F425" t="str">
        <f t="shared" si="59"/>
        <v>Reserved-39</v>
      </c>
      <c r="G425" t="str">
        <f t="shared" si="55"/>
        <v>SCLReserved-39</v>
      </c>
      <c r="H425" s="2" t="s">
        <v>67</v>
      </c>
      <c r="O425" s="2" t="s">
        <v>2678</v>
      </c>
      <c r="P425" s="3" t="str">
        <f t="shared" si="56"/>
        <v>NR</v>
      </c>
      <c r="R425" s="127">
        <f t="shared" si="57"/>
        <v>0</v>
      </c>
    </row>
    <row r="426" spans="1:18" hidden="1">
      <c r="A426">
        <f t="shared" si="54"/>
        <v>457</v>
      </c>
      <c r="B426" s="42" t="s">
        <v>31</v>
      </c>
      <c r="C426" s="313">
        <f>SUMIF('Employees Supported'!$A$2:$A$29,$B426,'Employees Supported'!$C$2:$C$29)</f>
        <v>700</v>
      </c>
      <c r="E426" s="2">
        <f t="shared" si="53"/>
        <v>39</v>
      </c>
      <c r="F426" t="str">
        <f t="shared" si="59"/>
        <v>Reserved-39</v>
      </c>
      <c r="G426" t="str">
        <f t="shared" si="55"/>
        <v>SeaITReserved-39</v>
      </c>
      <c r="H426" s="2" t="s">
        <v>67</v>
      </c>
      <c r="O426" s="2" t="s">
        <v>2678</v>
      </c>
      <c r="P426" s="3" t="str">
        <f t="shared" si="56"/>
        <v>NR</v>
      </c>
      <c r="R426" s="127">
        <f t="shared" si="57"/>
        <v>0</v>
      </c>
    </row>
    <row r="427" spans="1:18" hidden="1">
      <c r="A427">
        <f t="shared" si="54"/>
        <v>458</v>
      </c>
      <c r="B427" s="42" t="s">
        <v>29</v>
      </c>
      <c r="C427" s="313">
        <f>SUMIF('Employees Supported'!$A$2:$A$29,$B427,'Employees Supported'!$C$2:$C$29)</f>
        <v>550</v>
      </c>
      <c r="E427" s="2">
        <f t="shared" si="53"/>
        <v>39</v>
      </c>
      <c r="F427" t="str">
        <f t="shared" si="59"/>
        <v>Reserved-39</v>
      </c>
      <c r="G427" t="str">
        <f t="shared" si="55"/>
        <v>SDCIReserved-39</v>
      </c>
      <c r="H427" s="2" t="s">
        <v>67</v>
      </c>
      <c r="O427" s="2" t="s">
        <v>2678</v>
      </c>
      <c r="P427" s="3" t="str">
        <f t="shared" si="56"/>
        <v>NR</v>
      </c>
      <c r="R427" s="127">
        <f t="shared" si="57"/>
        <v>0</v>
      </c>
    </row>
    <row r="428" spans="1:18" hidden="1">
      <c r="A428">
        <f t="shared" si="54"/>
        <v>459</v>
      </c>
      <c r="B428" s="42" t="s">
        <v>27</v>
      </c>
      <c r="C428" s="313">
        <f>SUMIF('Employees Supported'!$A$2:$A$29,$B428,'Employees Supported'!$C$2:$C$29)</f>
        <v>400</v>
      </c>
      <c r="E428" s="2">
        <f t="shared" si="53"/>
        <v>39</v>
      </c>
      <c r="F428" t="str">
        <f t="shared" si="59"/>
        <v>Reserved-39</v>
      </c>
      <c r="G428" t="str">
        <f t="shared" si="55"/>
        <v>SPUReserved-39</v>
      </c>
      <c r="H428" s="2" t="s">
        <v>67</v>
      </c>
      <c r="O428" s="2" t="s">
        <v>2678</v>
      </c>
      <c r="P428" s="3" t="str">
        <f t="shared" si="56"/>
        <v>NR</v>
      </c>
      <c r="R428" s="127">
        <f t="shared" si="57"/>
        <v>0</v>
      </c>
    </row>
    <row r="429" spans="1:18" hidden="1">
      <c r="A429">
        <f t="shared" si="54"/>
        <v>460</v>
      </c>
      <c r="B429" s="42" t="s">
        <v>30</v>
      </c>
      <c r="C429" s="313">
        <f>SUMIF('Employees Supported'!$A$2:$A$29,$B429,'Employees Supported'!$C$2:$C$29)</f>
        <v>300</v>
      </c>
      <c r="E429" s="2">
        <f t="shared" si="53"/>
        <v>39</v>
      </c>
      <c r="F429" t="str">
        <f t="shared" si="59"/>
        <v>Reserved-39</v>
      </c>
      <c r="G429" t="str">
        <f t="shared" si="55"/>
        <v>LibrariesReserved-39</v>
      </c>
      <c r="H429" s="2" t="s">
        <v>67</v>
      </c>
      <c r="O429" s="2" t="s">
        <v>2678</v>
      </c>
      <c r="P429" s="3" t="str">
        <f t="shared" si="56"/>
        <v>NR</v>
      </c>
      <c r="R429" s="127">
        <f t="shared" si="57"/>
        <v>0</v>
      </c>
    </row>
    <row r="430" spans="1:18" hidden="1">
      <c r="A430">
        <f t="shared" si="54"/>
        <v>461</v>
      </c>
      <c r="B430" s="42" t="s">
        <v>26</v>
      </c>
      <c r="C430" s="313">
        <f>SUMIF('Employees Supported'!$A$2:$A$29,$B430,'Employees Supported'!$C$2:$C$29)</f>
        <v>400</v>
      </c>
      <c r="E430" s="2">
        <f t="shared" si="53"/>
        <v>39</v>
      </c>
      <c r="F430" t="str">
        <f t="shared" si="59"/>
        <v>Reserved-39</v>
      </c>
      <c r="G430" t="str">
        <f t="shared" si="55"/>
        <v>ParksReserved-39</v>
      </c>
      <c r="H430" s="2" t="s">
        <v>67</v>
      </c>
      <c r="O430" s="2" t="s">
        <v>2678</v>
      </c>
      <c r="P430" s="3" t="str">
        <f t="shared" si="56"/>
        <v>NR</v>
      </c>
      <c r="R430" s="127">
        <f t="shared" si="57"/>
        <v>0</v>
      </c>
    </row>
    <row r="431" spans="1:18" hidden="1">
      <c r="A431">
        <f t="shared" si="54"/>
        <v>462</v>
      </c>
      <c r="B431" s="42" t="s">
        <v>32</v>
      </c>
      <c r="C431" s="313">
        <f>SUMIF('Employees Supported'!$A$2:$A$29,$B431,'Employees Supported'!$C$2:$C$29)</f>
        <v>400</v>
      </c>
      <c r="E431" s="2">
        <f t="shared" ref="E431" si="60">+E420+1</f>
        <v>39</v>
      </c>
      <c r="F431" t="str">
        <f t="shared" si="59"/>
        <v>Reserved-39</v>
      </c>
      <c r="G431" t="str">
        <f t="shared" si="55"/>
        <v>Seattle CtrReserved-39</v>
      </c>
      <c r="H431" s="2" t="s">
        <v>67</v>
      </c>
      <c r="O431" s="2" t="s">
        <v>2678</v>
      </c>
      <c r="P431" s="3" t="str">
        <f t="shared" si="56"/>
        <v>NR</v>
      </c>
      <c r="R431" s="127">
        <f t="shared" si="57"/>
        <v>0</v>
      </c>
    </row>
    <row r="432" spans="1:18">
      <c r="A432">
        <f t="shared" si="54"/>
        <v>463</v>
      </c>
      <c r="B432" s="42" t="s">
        <v>23</v>
      </c>
      <c r="C432" s="313">
        <v>6500</v>
      </c>
      <c r="E432" s="2">
        <f>+E421+1</f>
        <v>40</v>
      </c>
      <c r="F432" t="str">
        <f t="shared" si="59"/>
        <v>Reserved-40</v>
      </c>
      <c r="G432" t="str">
        <f t="shared" si="55"/>
        <v>FAS-CentralizedReserved-40</v>
      </c>
      <c r="H432" s="2" t="s">
        <v>67</v>
      </c>
      <c r="O432" s="2" t="s">
        <v>2678</v>
      </c>
      <c r="P432" s="3" t="str">
        <f t="shared" si="56"/>
        <v>NR</v>
      </c>
      <c r="R432" s="127">
        <f t="shared" si="57"/>
        <v>0</v>
      </c>
    </row>
    <row r="433" spans="1:18" hidden="1">
      <c r="A433">
        <f t="shared" si="54"/>
        <v>464</v>
      </c>
      <c r="B433" s="42" t="s">
        <v>25</v>
      </c>
      <c r="C433" s="313">
        <f>SUMIF('Employees Supported'!$A$2:$A$29,$B433,'Employees Supported'!$C$2:$C$29)</f>
        <v>1500</v>
      </c>
      <c r="E433" s="2">
        <f t="shared" ref="E433:E453" si="61">+E422+1</f>
        <v>40</v>
      </c>
      <c r="F433" t="str">
        <f t="shared" si="59"/>
        <v>Reserved-40</v>
      </c>
      <c r="G433" t="str">
        <f t="shared" si="55"/>
        <v>SPDReserved-40</v>
      </c>
      <c r="H433" s="2" t="s">
        <v>67</v>
      </c>
      <c r="O433" s="2" t="s">
        <v>2678</v>
      </c>
      <c r="P433" s="3" t="str">
        <f t="shared" si="56"/>
        <v>NR</v>
      </c>
      <c r="R433" s="127">
        <f t="shared" si="57"/>
        <v>0</v>
      </c>
    </row>
    <row r="434" spans="1:18" hidden="1">
      <c r="A434">
        <f t="shared" si="54"/>
        <v>465</v>
      </c>
      <c r="B434" s="42" t="s">
        <v>24</v>
      </c>
      <c r="C434" s="313">
        <f>SUMIF('Employees Supported'!$A$2:$A$29,$B434,'Employees Supported'!$C$2:$C$29)</f>
        <v>1100</v>
      </c>
      <c r="E434" s="2">
        <f t="shared" si="61"/>
        <v>40</v>
      </c>
      <c r="F434" t="str">
        <f t="shared" si="59"/>
        <v>Reserved-40</v>
      </c>
      <c r="G434" t="str">
        <f t="shared" si="55"/>
        <v>SFDReserved-40</v>
      </c>
      <c r="H434" s="2" t="s">
        <v>67</v>
      </c>
      <c r="O434" s="2" t="s">
        <v>2678</v>
      </c>
      <c r="P434" s="3" t="str">
        <f t="shared" si="56"/>
        <v>NR</v>
      </c>
      <c r="R434" s="127">
        <f t="shared" si="57"/>
        <v>0</v>
      </c>
    </row>
    <row r="435" spans="1:18" hidden="1">
      <c r="A435">
        <f t="shared" si="54"/>
        <v>466</v>
      </c>
      <c r="B435" s="42" t="s">
        <v>28</v>
      </c>
      <c r="C435" s="313">
        <f>SUMIF('Employees Supported'!$A$2:$A$29,$B435,'Employees Supported'!$C$2:$C$29)</f>
        <v>1100</v>
      </c>
      <c r="E435" s="2">
        <f t="shared" si="61"/>
        <v>40</v>
      </c>
      <c r="F435" t="str">
        <f t="shared" si="59"/>
        <v>Reserved-40</v>
      </c>
      <c r="G435" t="str">
        <f t="shared" si="55"/>
        <v>SDOTReserved-40</v>
      </c>
      <c r="H435" s="2" t="s">
        <v>67</v>
      </c>
      <c r="O435" s="2" t="s">
        <v>2678</v>
      </c>
      <c r="P435" s="3" t="str">
        <f t="shared" si="56"/>
        <v>NR</v>
      </c>
      <c r="R435" s="127">
        <f t="shared" si="57"/>
        <v>0</v>
      </c>
    </row>
    <row r="436" spans="1:18" hidden="1">
      <c r="A436">
        <f t="shared" si="54"/>
        <v>467</v>
      </c>
      <c r="B436" s="42" t="s">
        <v>33</v>
      </c>
      <c r="C436" s="313">
        <f>SUMIF('Employees Supported'!$A$2:$A$29,$B436,'Employees Supported'!$C$2:$C$29)</f>
        <v>400</v>
      </c>
      <c r="E436" s="2">
        <f t="shared" si="61"/>
        <v>40</v>
      </c>
      <c r="F436" t="str">
        <f t="shared" si="59"/>
        <v>Reserved-40</v>
      </c>
      <c r="G436" t="str">
        <f t="shared" si="55"/>
        <v>SCLReserved-40</v>
      </c>
      <c r="H436" s="2" t="s">
        <v>67</v>
      </c>
      <c r="O436" s="2" t="s">
        <v>2678</v>
      </c>
      <c r="P436" s="3" t="str">
        <f t="shared" si="56"/>
        <v>NR</v>
      </c>
      <c r="R436" s="127">
        <f t="shared" si="57"/>
        <v>0</v>
      </c>
    </row>
    <row r="437" spans="1:18" hidden="1">
      <c r="A437">
        <f t="shared" si="54"/>
        <v>468</v>
      </c>
      <c r="B437" s="42" t="s">
        <v>31</v>
      </c>
      <c r="C437" s="313">
        <f>SUMIF('Employees Supported'!$A$2:$A$29,$B437,'Employees Supported'!$C$2:$C$29)</f>
        <v>700</v>
      </c>
      <c r="E437" s="2">
        <f t="shared" si="61"/>
        <v>40</v>
      </c>
      <c r="F437" t="str">
        <f t="shared" si="59"/>
        <v>Reserved-40</v>
      </c>
      <c r="G437" t="str">
        <f t="shared" si="55"/>
        <v>SeaITReserved-40</v>
      </c>
      <c r="H437" s="2" t="s">
        <v>67</v>
      </c>
      <c r="O437" s="2" t="s">
        <v>2678</v>
      </c>
      <c r="P437" s="3" t="str">
        <f t="shared" si="56"/>
        <v>NR</v>
      </c>
      <c r="R437" s="127">
        <f t="shared" si="57"/>
        <v>0</v>
      </c>
    </row>
    <row r="438" spans="1:18" hidden="1">
      <c r="A438">
        <f t="shared" si="54"/>
        <v>469</v>
      </c>
      <c r="B438" s="42" t="s">
        <v>29</v>
      </c>
      <c r="C438" s="313">
        <f>SUMIF('Employees Supported'!$A$2:$A$29,$B438,'Employees Supported'!$C$2:$C$29)</f>
        <v>550</v>
      </c>
      <c r="E438" s="2">
        <f t="shared" si="61"/>
        <v>40</v>
      </c>
      <c r="F438" t="str">
        <f t="shared" si="59"/>
        <v>Reserved-40</v>
      </c>
      <c r="G438" t="str">
        <f t="shared" si="55"/>
        <v>SDCIReserved-40</v>
      </c>
      <c r="H438" s="2" t="s">
        <v>67</v>
      </c>
      <c r="O438" s="2" t="s">
        <v>2678</v>
      </c>
      <c r="P438" s="3" t="str">
        <f t="shared" si="56"/>
        <v>NR</v>
      </c>
      <c r="R438" s="127">
        <f t="shared" si="57"/>
        <v>0</v>
      </c>
    </row>
    <row r="439" spans="1:18" hidden="1">
      <c r="A439">
        <f t="shared" ref="A439:A502" si="62">+A438+1</f>
        <v>470</v>
      </c>
      <c r="B439" s="42" t="s">
        <v>27</v>
      </c>
      <c r="C439" s="313">
        <f>SUMIF('Employees Supported'!$A$2:$A$29,$B439,'Employees Supported'!$C$2:$C$29)</f>
        <v>400</v>
      </c>
      <c r="E439" s="2">
        <f t="shared" si="61"/>
        <v>40</v>
      </c>
      <c r="F439" t="str">
        <f t="shared" si="59"/>
        <v>Reserved-40</v>
      </c>
      <c r="G439" t="str">
        <f t="shared" si="55"/>
        <v>SPUReserved-40</v>
      </c>
      <c r="H439" s="2" t="s">
        <v>67</v>
      </c>
      <c r="O439" s="2" t="s">
        <v>2678</v>
      </c>
      <c r="P439" s="3" t="str">
        <f t="shared" si="56"/>
        <v>NR</v>
      </c>
      <c r="R439" s="127">
        <f t="shared" si="57"/>
        <v>0</v>
      </c>
    </row>
    <row r="440" spans="1:18" hidden="1">
      <c r="A440">
        <f t="shared" si="62"/>
        <v>471</v>
      </c>
      <c r="B440" s="42" t="s">
        <v>30</v>
      </c>
      <c r="C440" s="313">
        <f>SUMIF('Employees Supported'!$A$2:$A$29,$B440,'Employees Supported'!$C$2:$C$29)</f>
        <v>300</v>
      </c>
      <c r="E440" s="2">
        <f t="shared" si="61"/>
        <v>40</v>
      </c>
      <c r="F440" t="str">
        <f t="shared" si="59"/>
        <v>Reserved-40</v>
      </c>
      <c r="G440" t="str">
        <f t="shared" ref="G440:G503" si="63">_xlfn.SINGLE(_xlfn.CONCAT(B440,F440))</f>
        <v>LibrariesReserved-40</v>
      </c>
      <c r="H440" s="2" t="s">
        <v>67</v>
      </c>
      <c r="O440" s="2" t="s">
        <v>2678</v>
      </c>
      <c r="P440" s="3" t="str">
        <f t="shared" ref="P440:P503" si="64">IF(O440="NR","NR",((((C440+D440)*I440)*90)+(J440*90)+(((C440+D440)*K440)*3)+(L440*3)+((C440+D440)*M440)+N440))</f>
        <v>NR</v>
      </c>
      <c r="R440" s="127">
        <f t="shared" ref="R440:R503" si="65">SUM(P440)/90</f>
        <v>0</v>
      </c>
    </row>
    <row r="441" spans="1:18" hidden="1">
      <c r="A441">
        <f t="shared" si="62"/>
        <v>472</v>
      </c>
      <c r="B441" s="42" t="s">
        <v>26</v>
      </c>
      <c r="C441" s="313">
        <f>SUMIF('Employees Supported'!$A$2:$A$29,$B441,'Employees Supported'!$C$2:$C$29)</f>
        <v>400</v>
      </c>
      <c r="E441" s="2">
        <f t="shared" si="61"/>
        <v>40</v>
      </c>
      <c r="F441" t="str">
        <f t="shared" si="59"/>
        <v>Reserved-40</v>
      </c>
      <c r="G441" t="str">
        <f t="shared" si="63"/>
        <v>ParksReserved-40</v>
      </c>
      <c r="H441" s="2" t="s">
        <v>67</v>
      </c>
      <c r="O441" s="2" t="s">
        <v>2678</v>
      </c>
      <c r="P441" s="3" t="str">
        <f t="shared" si="64"/>
        <v>NR</v>
      </c>
      <c r="R441" s="127">
        <f t="shared" si="65"/>
        <v>0</v>
      </c>
    </row>
    <row r="442" spans="1:18" hidden="1">
      <c r="A442">
        <f t="shared" si="62"/>
        <v>473</v>
      </c>
      <c r="B442" s="42" t="s">
        <v>32</v>
      </c>
      <c r="C442" s="313">
        <f>SUMIF('Employees Supported'!$A$2:$A$29,$B442,'Employees Supported'!$C$2:$C$29)</f>
        <v>400</v>
      </c>
      <c r="E442" s="2">
        <f t="shared" si="61"/>
        <v>40</v>
      </c>
      <c r="F442" t="str">
        <f t="shared" si="59"/>
        <v>Reserved-40</v>
      </c>
      <c r="G442" t="str">
        <f t="shared" si="63"/>
        <v>Seattle CtrReserved-40</v>
      </c>
      <c r="H442" s="2" t="s">
        <v>67</v>
      </c>
      <c r="O442" s="2" t="s">
        <v>2678</v>
      </c>
      <c r="P442" s="3" t="str">
        <f t="shared" si="64"/>
        <v>NR</v>
      </c>
      <c r="R442" s="127">
        <f t="shared" si="65"/>
        <v>0</v>
      </c>
    </row>
    <row r="443" spans="1:18">
      <c r="A443">
        <f t="shared" si="62"/>
        <v>474</v>
      </c>
      <c r="B443" s="42" t="s">
        <v>23</v>
      </c>
      <c r="C443" s="313">
        <v>6500</v>
      </c>
      <c r="E443" s="2">
        <f>+E432+1</f>
        <v>41</v>
      </c>
      <c r="F443" t="str">
        <f t="shared" si="59"/>
        <v>Reserved-41</v>
      </c>
      <c r="G443" t="str">
        <f t="shared" si="63"/>
        <v>FAS-CentralizedReserved-41</v>
      </c>
      <c r="H443" s="2" t="s">
        <v>67</v>
      </c>
      <c r="O443" s="2" t="s">
        <v>2678</v>
      </c>
      <c r="P443" s="3" t="str">
        <f t="shared" si="64"/>
        <v>NR</v>
      </c>
      <c r="R443" s="127">
        <f t="shared" si="65"/>
        <v>0</v>
      </c>
    </row>
    <row r="444" spans="1:18" hidden="1">
      <c r="A444">
        <f t="shared" si="62"/>
        <v>475</v>
      </c>
      <c r="B444" s="42" t="s">
        <v>25</v>
      </c>
      <c r="C444" s="313">
        <f>SUMIF('Employees Supported'!$A$2:$A$29,$B444,'Employees Supported'!$C$2:$C$29)</f>
        <v>1500</v>
      </c>
      <c r="E444" s="2">
        <f t="shared" si="61"/>
        <v>41</v>
      </c>
      <c r="F444" t="str">
        <f t="shared" si="59"/>
        <v>Reserved-41</v>
      </c>
      <c r="G444" t="str">
        <f t="shared" si="63"/>
        <v>SPDReserved-41</v>
      </c>
      <c r="H444" s="2" t="s">
        <v>67</v>
      </c>
      <c r="O444" s="2" t="s">
        <v>2678</v>
      </c>
      <c r="P444" s="3" t="str">
        <f t="shared" si="64"/>
        <v>NR</v>
      </c>
      <c r="R444" s="127">
        <f t="shared" si="65"/>
        <v>0</v>
      </c>
    </row>
    <row r="445" spans="1:18" hidden="1">
      <c r="A445">
        <f t="shared" si="62"/>
        <v>476</v>
      </c>
      <c r="B445" s="42" t="s">
        <v>24</v>
      </c>
      <c r="C445" s="313">
        <f>SUMIF('Employees Supported'!$A$2:$A$29,$B445,'Employees Supported'!$C$2:$C$29)</f>
        <v>1100</v>
      </c>
      <c r="E445" s="2">
        <f t="shared" si="61"/>
        <v>41</v>
      </c>
      <c r="F445" t="str">
        <f t="shared" si="59"/>
        <v>Reserved-41</v>
      </c>
      <c r="G445" t="str">
        <f t="shared" si="63"/>
        <v>SFDReserved-41</v>
      </c>
      <c r="H445" s="2" t="s">
        <v>67</v>
      </c>
      <c r="O445" s="2" t="s">
        <v>2678</v>
      </c>
      <c r="P445" s="3" t="str">
        <f t="shared" si="64"/>
        <v>NR</v>
      </c>
      <c r="R445" s="127">
        <f t="shared" si="65"/>
        <v>0</v>
      </c>
    </row>
    <row r="446" spans="1:18" hidden="1">
      <c r="A446">
        <f t="shared" si="62"/>
        <v>477</v>
      </c>
      <c r="B446" s="42" t="s">
        <v>28</v>
      </c>
      <c r="C446" s="313">
        <f>SUMIF('Employees Supported'!$A$2:$A$29,$B446,'Employees Supported'!$C$2:$C$29)</f>
        <v>1100</v>
      </c>
      <c r="E446" s="2">
        <f t="shared" si="61"/>
        <v>41</v>
      </c>
      <c r="F446" t="str">
        <f t="shared" si="59"/>
        <v>Reserved-41</v>
      </c>
      <c r="G446" t="str">
        <f t="shared" si="63"/>
        <v>SDOTReserved-41</v>
      </c>
      <c r="H446" s="2" t="s">
        <v>67</v>
      </c>
      <c r="O446" s="2" t="s">
        <v>2678</v>
      </c>
      <c r="P446" s="3" t="str">
        <f t="shared" si="64"/>
        <v>NR</v>
      </c>
      <c r="R446" s="127">
        <f t="shared" si="65"/>
        <v>0</v>
      </c>
    </row>
    <row r="447" spans="1:18" hidden="1">
      <c r="A447">
        <f t="shared" si="62"/>
        <v>478</v>
      </c>
      <c r="B447" s="42" t="s">
        <v>33</v>
      </c>
      <c r="C447" s="313">
        <f>SUMIF('Employees Supported'!$A$2:$A$29,$B447,'Employees Supported'!$C$2:$C$29)</f>
        <v>400</v>
      </c>
      <c r="E447" s="2">
        <f t="shared" si="61"/>
        <v>41</v>
      </c>
      <c r="F447" t="str">
        <f t="shared" si="59"/>
        <v>Reserved-41</v>
      </c>
      <c r="G447" t="str">
        <f t="shared" si="63"/>
        <v>SCLReserved-41</v>
      </c>
      <c r="H447" s="2" t="s">
        <v>67</v>
      </c>
      <c r="O447" s="2" t="s">
        <v>2678</v>
      </c>
      <c r="P447" s="3" t="str">
        <f t="shared" si="64"/>
        <v>NR</v>
      </c>
      <c r="R447" s="127">
        <f t="shared" si="65"/>
        <v>0</v>
      </c>
    </row>
    <row r="448" spans="1:18" hidden="1">
      <c r="A448">
        <f t="shared" si="62"/>
        <v>479</v>
      </c>
      <c r="B448" s="42" t="s">
        <v>31</v>
      </c>
      <c r="C448" s="313">
        <f>SUMIF('Employees Supported'!$A$2:$A$29,$B448,'Employees Supported'!$C$2:$C$29)</f>
        <v>700</v>
      </c>
      <c r="E448" s="2">
        <f t="shared" si="61"/>
        <v>41</v>
      </c>
      <c r="F448" t="str">
        <f t="shared" si="59"/>
        <v>Reserved-41</v>
      </c>
      <c r="G448" t="str">
        <f t="shared" si="63"/>
        <v>SeaITReserved-41</v>
      </c>
      <c r="H448" s="2" t="s">
        <v>67</v>
      </c>
      <c r="O448" s="2" t="s">
        <v>2678</v>
      </c>
      <c r="P448" s="3" t="str">
        <f t="shared" si="64"/>
        <v>NR</v>
      </c>
      <c r="R448" s="127">
        <f t="shared" si="65"/>
        <v>0</v>
      </c>
    </row>
    <row r="449" spans="1:18" hidden="1">
      <c r="A449">
        <f t="shared" si="62"/>
        <v>480</v>
      </c>
      <c r="B449" s="42" t="s">
        <v>29</v>
      </c>
      <c r="C449" s="313">
        <f>SUMIF('Employees Supported'!$A$2:$A$29,$B449,'Employees Supported'!$C$2:$C$29)</f>
        <v>550</v>
      </c>
      <c r="E449" s="2">
        <f t="shared" si="61"/>
        <v>41</v>
      </c>
      <c r="F449" t="str">
        <f t="shared" si="59"/>
        <v>Reserved-41</v>
      </c>
      <c r="G449" t="str">
        <f t="shared" si="63"/>
        <v>SDCIReserved-41</v>
      </c>
      <c r="H449" s="2" t="s">
        <v>67</v>
      </c>
      <c r="O449" s="2" t="s">
        <v>2678</v>
      </c>
      <c r="P449" s="3" t="str">
        <f t="shared" si="64"/>
        <v>NR</v>
      </c>
      <c r="R449" s="127">
        <f t="shared" si="65"/>
        <v>0</v>
      </c>
    </row>
    <row r="450" spans="1:18" hidden="1">
      <c r="A450">
        <f t="shared" si="62"/>
        <v>481</v>
      </c>
      <c r="B450" s="42" t="s">
        <v>27</v>
      </c>
      <c r="C450" s="313">
        <f>SUMIF('Employees Supported'!$A$2:$A$29,$B450,'Employees Supported'!$C$2:$C$29)</f>
        <v>400</v>
      </c>
      <c r="E450" s="2">
        <f t="shared" si="61"/>
        <v>41</v>
      </c>
      <c r="F450" t="str">
        <f t="shared" si="59"/>
        <v>Reserved-41</v>
      </c>
      <c r="G450" t="str">
        <f t="shared" si="63"/>
        <v>SPUReserved-41</v>
      </c>
      <c r="H450" s="2" t="s">
        <v>67</v>
      </c>
      <c r="O450" s="2" t="s">
        <v>2678</v>
      </c>
      <c r="P450" s="3" t="str">
        <f t="shared" si="64"/>
        <v>NR</v>
      </c>
      <c r="R450" s="127">
        <f t="shared" si="65"/>
        <v>0</v>
      </c>
    </row>
    <row r="451" spans="1:18" hidden="1">
      <c r="A451">
        <f t="shared" si="62"/>
        <v>482</v>
      </c>
      <c r="B451" s="42" t="s">
        <v>30</v>
      </c>
      <c r="C451" s="313">
        <f>SUMIF('Employees Supported'!$A$2:$A$29,$B451,'Employees Supported'!$C$2:$C$29)</f>
        <v>300</v>
      </c>
      <c r="E451" s="2">
        <f t="shared" si="61"/>
        <v>41</v>
      </c>
      <c r="F451" t="str">
        <f t="shared" si="59"/>
        <v>Reserved-41</v>
      </c>
      <c r="G451" t="str">
        <f t="shared" si="63"/>
        <v>LibrariesReserved-41</v>
      </c>
      <c r="H451" s="2" t="s">
        <v>67</v>
      </c>
      <c r="O451" s="2" t="s">
        <v>2678</v>
      </c>
      <c r="P451" s="3" t="str">
        <f t="shared" si="64"/>
        <v>NR</v>
      </c>
      <c r="R451" s="127">
        <f t="shared" si="65"/>
        <v>0</v>
      </c>
    </row>
    <row r="452" spans="1:18" hidden="1">
      <c r="A452">
        <f t="shared" si="62"/>
        <v>483</v>
      </c>
      <c r="B452" s="42" t="s">
        <v>26</v>
      </c>
      <c r="C452" s="313">
        <f>SUMIF('Employees Supported'!$A$2:$A$29,$B452,'Employees Supported'!$C$2:$C$29)</f>
        <v>400</v>
      </c>
      <c r="E452" s="2">
        <f t="shared" si="61"/>
        <v>41</v>
      </c>
      <c r="F452" t="str">
        <f t="shared" si="59"/>
        <v>Reserved-41</v>
      </c>
      <c r="G452" t="str">
        <f t="shared" si="63"/>
        <v>ParksReserved-41</v>
      </c>
      <c r="H452" s="2" t="s">
        <v>67</v>
      </c>
      <c r="O452" s="2" t="s">
        <v>2678</v>
      </c>
      <c r="P452" s="3" t="str">
        <f t="shared" si="64"/>
        <v>NR</v>
      </c>
      <c r="R452" s="127">
        <f t="shared" si="65"/>
        <v>0</v>
      </c>
    </row>
    <row r="453" spans="1:18" hidden="1">
      <c r="A453">
        <f t="shared" si="62"/>
        <v>484</v>
      </c>
      <c r="B453" s="42" t="s">
        <v>32</v>
      </c>
      <c r="C453" s="313">
        <f>SUMIF('Employees Supported'!$A$2:$A$29,$B453,'Employees Supported'!$C$2:$C$29)</f>
        <v>400</v>
      </c>
      <c r="E453" s="2">
        <f t="shared" si="61"/>
        <v>41</v>
      </c>
      <c r="F453" t="str">
        <f t="shared" si="59"/>
        <v>Reserved-41</v>
      </c>
      <c r="G453" t="str">
        <f t="shared" si="63"/>
        <v>Seattle CtrReserved-41</v>
      </c>
      <c r="H453" s="2" t="s">
        <v>67</v>
      </c>
      <c r="O453" s="2" t="s">
        <v>2678</v>
      </c>
      <c r="P453" s="3" t="str">
        <f t="shared" si="64"/>
        <v>NR</v>
      </c>
      <c r="R453" s="127">
        <f t="shared" si="65"/>
        <v>0</v>
      </c>
    </row>
    <row r="454" spans="1:18">
      <c r="A454">
        <f t="shared" si="62"/>
        <v>485</v>
      </c>
      <c r="B454" s="42" t="s">
        <v>23</v>
      </c>
      <c r="C454" s="313">
        <v>6500</v>
      </c>
      <c r="E454" s="2">
        <f>+E443+1</f>
        <v>42</v>
      </c>
      <c r="F454" t="str">
        <f t="shared" si="59"/>
        <v>Reserved-42</v>
      </c>
      <c r="G454" t="str">
        <f t="shared" si="63"/>
        <v>FAS-CentralizedReserved-42</v>
      </c>
      <c r="H454" s="2" t="s">
        <v>67</v>
      </c>
      <c r="O454" s="2" t="s">
        <v>2678</v>
      </c>
      <c r="P454" s="3" t="str">
        <f t="shared" si="64"/>
        <v>NR</v>
      </c>
      <c r="R454" s="127">
        <f t="shared" si="65"/>
        <v>0</v>
      </c>
    </row>
    <row r="455" spans="1:18" hidden="1">
      <c r="A455">
        <f t="shared" si="62"/>
        <v>486</v>
      </c>
      <c r="B455" s="42" t="s">
        <v>25</v>
      </c>
      <c r="C455" s="313">
        <f>SUMIF('Employees Supported'!$A$2:$A$29,$B455,'Employees Supported'!$C$2:$C$29)</f>
        <v>1500</v>
      </c>
      <c r="E455" s="2">
        <f t="shared" ref="E455:E518" si="66">+E444+1</f>
        <v>42</v>
      </c>
      <c r="F455" t="str">
        <f t="shared" si="59"/>
        <v>Reserved-42</v>
      </c>
      <c r="G455" t="str">
        <f t="shared" si="63"/>
        <v>SPDReserved-42</v>
      </c>
      <c r="H455" s="2" t="s">
        <v>67</v>
      </c>
      <c r="O455" s="2" t="s">
        <v>2678</v>
      </c>
      <c r="P455" s="3" t="str">
        <f t="shared" si="64"/>
        <v>NR</v>
      </c>
      <c r="R455" s="127">
        <f t="shared" si="65"/>
        <v>0</v>
      </c>
    </row>
    <row r="456" spans="1:18" hidden="1">
      <c r="A456">
        <f t="shared" si="62"/>
        <v>487</v>
      </c>
      <c r="B456" s="42" t="s">
        <v>24</v>
      </c>
      <c r="C456" s="313">
        <f>SUMIF('Employees Supported'!$A$2:$A$29,$B456,'Employees Supported'!$C$2:$C$29)</f>
        <v>1100</v>
      </c>
      <c r="E456" s="2">
        <f t="shared" si="66"/>
        <v>42</v>
      </c>
      <c r="F456" t="str">
        <f t="shared" si="59"/>
        <v>Reserved-42</v>
      </c>
      <c r="G456" t="str">
        <f t="shared" si="63"/>
        <v>SFDReserved-42</v>
      </c>
      <c r="H456" s="2" t="s">
        <v>67</v>
      </c>
      <c r="O456" s="2" t="s">
        <v>2678</v>
      </c>
      <c r="P456" s="3" t="str">
        <f t="shared" si="64"/>
        <v>NR</v>
      </c>
      <c r="R456" s="127">
        <f t="shared" si="65"/>
        <v>0</v>
      </c>
    </row>
    <row r="457" spans="1:18" hidden="1">
      <c r="A457">
        <f t="shared" si="62"/>
        <v>488</v>
      </c>
      <c r="B457" s="42" t="s">
        <v>28</v>
      </c>
      <c r="C457" s="313">
        <f>SUMIF('Employees Supported'!$A$2:$A$29,$B457,'Employees Supported'!$C$2:$C$29)</f>
        <v>1100</v>
      </c>
      <c r="E457" s="2">
        <f t="shared" si="66"/>
        <v>42</v>
      </c>
      <c r="F457" t="str">
        <f t="shared" si="59"/>
        <v>Reserved-42</v>
      </c>
      <c r="G457" t="str">
        <f t="shared" si="63"/>
        <v>SDOTReserved-42</v>
      </c>
      <c r="H457" s="2" t="s">
        <v>67</v>
      </c>
      <c r="O457" s="2" t="s">
        <v>2678</v>
      </c>
      <c r="P457" s="3" t="str">
        <f t="shared" si="64"/>
        <v>NR</v>
      </c>
      <c r="R457" s="127">
        <f t="shared" si="65"/>
        <v>0</v>
      </c>
    </row>
    <row r="458" spans="1:18" hidden="1">
      <c r="A458">
        <f t="shared" si="62"/>
        <v>489</v>
      </c>
      <c r="B458" s="42" t="s">
        <v>33</v>
      </c>
      <c r="C458" s="313">
        <f>SUMIF('Employees Supported'!$A$2:$A$29,$B458,'Employees Supported'!$C$2:$C$29)</f>
        <v>400</v>
      </c>
      <c r="E458" s="2">
        <f t="shared" si="66"/>
        <v>42</v>
      </c>
      <c r="F458" t="str">
        <f t="shared" si="59"/>
        <v>Reserved-42</v>
      </c>
      <c r="G458" t="str">
        <f t="shared" si="63"/>
        <v>SCLReserved-42</v>
      </c>
      <c r="H458" s="2" t="s">
        <v>67</v>
      </c>
      <c r="O458" s="2" t="s">
        <v>2678</v>
      </c>
      <c r="P458" s="3" t="str">
        <f t="shared" si="64"/>
        <v>NR</v>
      </c>
      <c r="R458" s="127">
        <f t="shared" si="65"/>
        <v>0</v>
      </c>
    </row>
    <row r="459" spans="1:18" hidden="1">
      <c r="A459">
        <f t="shared" si="62"/>
        <v>490</v>
      </c>
      <c r="B459" s="42" t="s">
        <v>31</v>
      </c>
      <c r="C459" s="313">
        <f>SUMIF('Employees Supported'!$A$2:$A$29,$B459,'Employees Supported'!$C$2:$C$29)</f>
        <v>700</v>
      </c>
      <c r="E459" s="2">
        <f t="shared" si="66"/>
        <v>42</v>
      </c>
      <c r="F459" t="str">
        <f t="shared" ref="F459:F522" si="67">_xlfn.SINGLE(_xlfn.CONCAT("Reserved-",E459))</f>
        <v>Reserved-42</v>
      </c>
      <c r="G459" t="str">
        <f t="shared" si="63"/>
        <v>SeaITReserved-42</v>
      </c>
      <c r="H459" s="2" t="s">
        <v>67</v>
      </c>
      <c r="O459" s="2" t="s">
        <v>2678</v>
      </c>
      <c r="P459" s="3" t="str">
        <f t="shared" si="64"/>
        <v>NR</v>
      </c>
      <c r="R459" s="127">
        <f t="shared" si="65"/>
        <v>0</v>
      </c>
    </row>
    <row r="460" spans="1:18" hidden="1">
      <c r="A460">
        <f t="shared" si="62"/>
        <v>491</v>
      </c>
      <c r="B460" s="42" t="s">
        <v>29</v>
      </c>
      <c r="C460" s="313">
        <f>SUMIF('Employees Supported'!$A$2:$A$29,$B460,'Employees Supported'!$C$2:$C$29)</f>
        <v>550</v>
      </c>
      <c r="E460" s="2">
        <f t="shared" si="66"/>
        <v>42</v>
      </c>
      <c r="F460" t="str">
        <f t="shared" si="67"/>
        <v>Reserved-42</v>
      </c>
      <c r="G460" t="str">
        <f t="shared" si="63"/>
        <v>SDCIReserved-42</v>
      </c>
      <c r="H460" s="2" t="s">
        <v>67</v>
      </c>
      <c r="O460" s="2" t="s">
        <v>2678</v>
      </c>
      <c r="P460" s="3" t="str">
        <f t="shared" si="64"/>
        <v>NR</v>
      </c>
      <c r="R460" s="127">
        <f t="shared" si="65"/>
        <v>0</v>
      </c>
    </row>
    <row r="461" spans="1:18" hidden="1">
      <c r="A461">
        <f t="shared" si="62"/>
        <v>492</v>
      </c>
      <c r="B461" s="42" t="s">
        <v>27</v>
      </c>
      <c r="C461" s="313">
        <f>SUMIF('Employees Supported'!$A$2:$A$29,$B461,'Employees Supported'!$C$2:$C$29)</f>
        <v>400</v>
      </c>
      <c r="E461" s="2">
        <f t="shared" si="66"/>
        <v>42</v>
      </c>
      <c r="F461" t="str">
        <f t="shared" si="67"/>
        <v>Reserved-42</v>
      </c>
      <c r="G461" t="str">
        <f t="shared" si="63"/>
        <v>SPUReserved-42</v>
      </c>
      <c r="H461" s="2" t="s">
        <v>67</v>
      </c>
      <c r="O461" s="2" t="s">
        <v>2678</v>
      </c>
      <c r="P461" s="3" t="str">
        <f t="shared" si="64"/>
        <v>NR</v>
      </c>
      <c r="R461" s="127">
        <f t="shared" si="65"/>
        <v>0</v>
      </c>
    </row>
    <row r="462" spans="1:18" hidden="1">
      <c r="A462">
        <f t="shared" si="62"/>
        <v>493</v>
      </c>
      <c r="B462" s="42" t="s">
        <v>30</v>
      </c>
      <c r="C462" s="313">
        <f>SUMIF('Employees Supported'!$A$2:$A$29,$B462,'Employees Supported'!$C$2:$C$29)</f>
        <v>300</v>
      </c>
      <c r="E462" s="2">
        <f t="shared" si="66"/>
        <v>42</v>
      </c>
      <c r="F462" t="str">
        <f t="shared" si="67"/>
        <v>Reserved-42</v>
      </c>
      <c r="G462" t="str">
        <f t="shared" si="63"/>
        <v>LibrariesReserved-42</v>
      </c>
      <c r="H462" s="2" t="s">
        <v>67</v>
      </c>
      <c r="O462" s="2" t="s">
        <v>2678</v>
      </c>
      <c r="P462" s="3" t="str">
        <f t="shared" si="64"/>
        <v>NR</v>
      </c>
      <c r="R462" s="127">
        <f t="shared" si="65"/>
        <v>0</v>
      </c>
    </row>
    <row r="463" spans="1:18" hidden="1">
      <c r="A463">
        <f t="shared" si="62"/>
        <v>494</v>
      </c>
      <c r="B463" s="42" t="s">
        <v>26</v>
      </c>
      <c r="C463" s="313">
        <f>SUMIF('Employees Supported'!$A$2:$A$29,$B463,'Employees Supported'!$C$2:$C$29)</f>
        <v>400</v>
      </c>
      <c r="E463" s="2">
        <f t="shared" si="66"/>
        <v>42</v>
      </c>
      <c r="F463" t="str">
        <f t="shared" si="67"/>
        <v>Reserved-42</v>
      </c>
      <c r="G463" t="str">
        <f t="shared" si="63"/>
        <v>ParksReserved-42</v>
      </c>
      <c r="H463" s="2" t="s">
        <v>67</v>
      </c>
      <c r="O463" s="2" t="s">
        <v>2678</v>
      </c>
      <c r="P463" s="3" t="str">
        <f t="shared" si="64"/>
        <v>NR</v>
      </c>
      <c r="R463" s="127">
        <f t="shared" si="65"/>
        <v>0</v>
      </c>
    </row>
    <row r="464" spans="1:18" hidden="1">
      <c r="A464">
        <f t="shared" si="62"/>
        <v>495</v>
      </c>
      <c r="B464" s="42" t="s">
        <v>32</v>
      </c>
      <c r="C464" s="313">
        <f>SUMIF('Employees Supported'!$A$2:$A$29,$B464,'Employees Supported'!$C$2:$C$29)</f>
        <v>400</v>
      </c>
      <c r="E464" s="2">
        <f t="shared" si="66"/>
        <v>42</v>
      </c>
      <c r="F464" t="str">
        <f t="shared" si="67"/>
        <v>Reserved-42</v>
      </c>
      <c r="G464" t="str">
        <f t="shared" si="63"/>
        <v>Seattle CtrReserved-42</v>
      </c>
      <c r="H464" s="2" t="s">
        <v>67</v>
      </c>
      <c r="O464" s="2" t="s">
        <v>2678</v>
      </c>
      <c r="P464" s="3" t="str">
        <f t="shared" si="64"/>
        <v>NR</v>
      </c>
      <c r="R464" s="127">
        <f t="shared" si="65"/>
        <v>0</v>
      </c>
    </row>
    <row r="465" spans="1:18">
      <c r="A465">
        <f t="shared" si="62"/>
        <v>496</v>
      </c>
      <c r="B465" s="42" t="s">
        <v>23</v>
      </c>
      <c r="C465" s="313">
        <v>6500</v>
      </c>
      <c r="E465" s="2">
        <f>+E454+1</f>
        <v>43</v>
      </c>
      <c r="F465" t="str">
        <f t="shared" si="67"/>
        <v>Reserved-43</v>
      </c>
      <c r="G465" t="str">
        <f t="shared" si="63"/>
        <v>FAS-CentralizedReserved-43</v>
      </c>
      <c r="H465" s="2" t="s">
        <v>67</v>
      </c>
      <c r="O465" s="2" t="s">
        <v>2678</v>
      </c>
      <c r="P465" s="3" t="str">
        <f t="shared" si="64"/>
        <v>NR</v>
      </c>
      <c r="R465" s="127">
        <f t="shared" si="65"/>
        <v>0</v>
      </c>
    </row>
    <row r="466" spans="1:18" hidden="1">
      <c r="A466">
        <f t="shared" si="62"/>
        <v>497</v>
      </c>
      <c r="B466" s="42" t="s">
        <v>25</v>
      </c>
      <c r="C466" s="313">
        <f>SUMIF('Employees Supported'!$A$2:$A$29,$B466,'Employees Supported'!$C$2:$C$29)</f>
        <v>1500</v>
      </c>
      <c r="E466" s="2">
        <f t="shared" si="66"/>
        <v>43</v>
      </c>
      <c r="F466" t="str">
        <f t="shared" si="67"/>
        <v>Reserved-43</v>
      </c>
      <c r="G466" t="str">
        <f t="shared" si="63"/>
        <v>SPDReserved-43</v>
      </c>
      <c r="H466" s="2" t="s">
        <v>67</v>
      </c>
      <c r="O466" s="2" t="s">
        <v>2678</v>
      </c>
      <c r="P466" s="3" t="str">
        <f t="shared" si="64"/>
        <v>NR</v>
      </c>
      <c r="R466" s="127">
        <f t="shared" si="65"/>
        <v>0</v>
      </c>
    </row>
    <row r="467" spans="1:18" hidden="1">
      <c r="A467">
        <f t="shared" si="62"/>
        <v>498</v>
      </c>
      <c r="B467" s="42" t="s">
        <v>24</v>
      </c>
      <c r="C467" s="313">
        <f>SUMIF('Employees Supported'!$A$2:$A$29,$B467,'Employees Supported'!$C$2:$C$29)</f>
        <v>1100</v>
      </c>
      <c r="E467" s="2">
        <f t="shared" si="66"/>
        <v>43</v>
      </c>
      <c r="F467" t="str">
        <f t="shared" si="67"/>
        <v>Reserved-43</v>
      </c>
      <c r="G467" t="str">
        <f t="shared" si="63"/>
        <v>SFDReserved-43</v>
      </c>
      <c r="H467" s="2" t="s">
        <v>67</v>
      </c>
      <c r="O467" s="2" t="s">
        <v>2678</v>
      </c>
      <c r="P467" s="3" t="str">
        <f t="shared" si="64"/>
        <v>NR</v>
      </c>
      <c r="R467" s="127">
        <f t="shared" si="65"/>
        <v>0</v>
      </c>
    </row>
    <row r="468" spans="1:18" hidden="1">
      <c r="A468">
        <f t="shared" si="62"/>
        <v>499</v>
      </c>
      <c r="B468" s="42" t="s">
        <v>28</v>
      </c>
      <c r="C468" s="313">
        <f>SUMIF('Employees Supported'!$A$2:$A$29,$B468,'Employees Supported'!$C$2:$C$29)</f>
        <v>1100</v>
      </c>
      <c r="E468" s="2">
        <f t="shared" si="66"/>
        <v>43</v>
      </c>
      <c r="F468" t="str">
        <f t="shared" si="67"/>
        <v>Reserved-43</v>
      </c>
      <c r="G468" t="str">
        <f t="shared" si="63"/>
        <v>SDOTReserved-43</v>
      </c>
      <c r="H468" s="2" t="s">
        <v>67</v>
      </c>
      <c r="O468" s="2" t="s">
        <v>2678</v>
      </c>
      <c r="P468" s="3" t="str">
        <f t="shared" si="64"/>
        <v>NR</v>
      </c>
      <c r="R468" s="127">
        <f t="shared" si="65"/>
        <v>0</v>
      </c>
    </row>
    <row r="469" spans="1:18" hidden="1">
      <c r="A469">
        <f t="shared" si="62"/>
        <v>500</v>
      </c>
      <c r="B469" s="42" t="s">
        <v>33</v>
      </c>
      <c r="C469" s="313">
        <f>SUMIF('Employees Supported'!$A$2:$A$29,$B469,'Employees Supported'!$C$2:$C$29)</f>
        <v>400</v>
      </c>
      <c r="E469" s="2">
        <f t="shared" si="66"/>
        <v>43</v>
      </c>
      <c r="F469" t="str">
        <f t="shared" si="67"/>
        <v>Reserved-43</v>
      </c>
      <c r="G469" t="str">
        <f t="shared" si="63"/>
        <v>SCLReserved-43</v>
      </c>
      <c r="H469" s="2" t="s">
        <v>67</v>
      </c>
      <c r="O469" s="2" t="s">
        <v>2678</v>
      </c>
      <c r="P469" s="3" t="str">
        <f t="shared" si="64"/>
        <v>NR</v>
      </c>
      <c r="R469" s="127">
        <f t="shared" si="65"/>
        <v>0</v>
      </c>
    </row>
    <row r="470" spans="1:18" hidden="1">
      <c r="A470">
        <f t="shared" si="62"/>
        <v>501</v>
      </c>
      <c r="B470" s="42" t="s">
        <v>31</v>
      </c>
      <c r="C470" s="313">
        <f>SUMIF('Employees Supported'!$A$2:$A$29,$B470,'Employees Supported'!$C$2:$C$29)</f>
        <v>700</v>
      </c>
      <c r="E470" s="2">
        <f t="shared" si="66"/>
        <v>43</v>
      </c>
      <c r="F470" t="str">
        <f t="shared" si="67"/>
        <v>Reserved-43</v>
      </c>
      <c r="G470" t="str">
        <f t="shared" si="63"/>
        <v>SeaITReserved-43</v>
      </c>
      <c r="H470" s="2" t="s">
        <v>67</v>
      </c>
      <c r="O470" s="2" t="s">
        <v>2678</v>
      </c>
      <c r="P470" s="3" t="str">
        <f t="shared" si="64"/>
        <v>NR</v>
      </c>
      <c r="R470" s="127">
        <f t="shared" si="65"/>
        <v>0</v>
      </c>
    </row>
    <row r="471" spans="1:18" hidden="1">
      <c r="A471">
        <f t="shared" si="62"/>
        <v>502</v>
      </c>
      <c r="B471" s="42" t="s">
        <v>29</v>
      </c>
      <c r="C471" s="313">
        <f>SUMIF('Employees Supported'!$A$2:$A$29,$B471,'Employees Supported'!$C$2:$C$29)</f>
        <v>550</v>
      </c>
      <c r="E471" s="2">
        <f t="shared" si="66"/>
        <v>43</v>
      </c>
      <c r="F471" t="str">
        <f t="shared" si="67"/>
        <v>Reserved-43</v>
      </c>
      <c r="G471" t="str">
        <f t="shared" si="63"/>
        <v>SDCIReserved-43</v>
      </c>
      <c r="H471" s="2" t="s">
        <v>67</v>
      </c>
      <c r="O471" s="2" t="s">
        <v>2678</v>
      </c>
      <c r="P471" s="3" t="str">
        <f t="shared" si="64"/>
        <v>NR</v>
      </c>
      <c r="R471" s="127">
        <f t="shared" si="65"/>
        <v>0</v>
      </c>
    </row>
    <row r="472" spans="1:18" hidden="1">
      <c r="A472">
        <f t="shared" si="62"/>
        <v>503</v>
      </c>
      <c r="B472" s="42" t="s">
        <v>27</v>
      </c>
      <c r="C472" s="313">
        <f>SUMIF('Employees Supported'!$A$2:$A$29,$B472,'Employees Supported'!$C$2:$C$29)</f>
        <v>400</v>
      </c>
      <c r="E472" s="2">
        <f t="shared" si="66"/>
        <v>43</v>
      </c>
      <c r="F472" t="str">
        <f t="shared" si="67"/>
        <v>Reserved-43</v>
      </c>
      <c r="G472" t="str">
        <f t="shared" si="63"/>
        <v>SPUReserved-43</v>
      </c>
      <c r="H472" s="2" t="s">
        <v>67</v>
      </c>
      <c r="O472" s="2" t="s">
        <v>2678</v>
      </c>
      <c r="P472" s="3" t="str">
        <f t="shared" si="64"/>
        <v>NR</v>
      </c>
      <c r="R472" s="127">
        <f t="shared" si="65"/>
        <v>0</v>
      </c>
    </row>
    <row r="473" spans="1:18" hidden="1">
      <c r="A473">
        <f t="shared" si="62"/>
        <v>504</v>
      </c>
      <c r="B473" s="42" t="s">
        <v>30</v>
      </c>
      <c r="C473" s="313">
        <f>SUMIF('Employees Supported'!$A$2:$A$29,$B473,'Employees Supported'!$C$2:$C$29)</f>
        <v>300</v>
      </c>
      <c r="E473" s="2">
        <f t="shared" si="66"/>
        <v>43</v>
      </c>
      <c r="F473" t="str">
        <f t="shared" si="67"/>
        <v>Reserved-43</v>
      </c>
      <c r="G473" t="str">
        <f t="shared" si="63"/>
        <v>LibrariesReserved-43</v>
      </c>
      <c r="H473" s="2" t="s">
        <v>67</v>
      </c>
      <c r="O473" s="2" t="s">
        <v>2678</v>
      </c>
      <c r="P473" s="3" t="str">
        <f t="shared" si="64"/>
        <v>NR</v>
      </c>
      <c r="R473" s="127">
        <f t="shared" si="65"/>
        <v>0</v>
      </c>
    </row>
    <row r="474" spans="1:18" hidden="1">
      <c r="A474">
        <f t="shared" si="62"/>
        <v>505</v>
      </c>
      <c r="B474" s="42" t="s">
        <v>26</v>
      </c>
      <c r="C474" s="313">
        <f>SUMIF('Employees Supported'!$A$2:$A$29,$B474,'Employees Supported'!$C$2:$C$29)</f>
        <v>400</v>
      </c>
      <c r="E474" s="2">
        <f t="shared" si="66"/>
        <v>43</v>
      </c>
      <c r="F474" t="str">
        <f t="shared" si="67"/>
        <v>Reserved-43</v>
      </c>
      <c r="G474" t="str">
        <f t="shared" si="63"/>
        <v>ParksReserved-43</v>
      </c>
      <c r="H474" s="2" t="s">
        <v>67</v>
      </c>
      <c r="O474" s="2" t="s">
        <v>2678</v>
      </c>
      <c r="P474" s="3" t="str">
        <f t="shared" si="64"/>
        <v>NR</v>
      </c>
      <c r="R474" s="127">
        <f t="shared" si="65"/>
        <v>0</v>
      </c>
    </row>
    <row r="475" spans="1:18" hidden="1">
      <c r="A475">
        <f t="shared" si="62"/>
        <v>506</v>
      </c>
      <c r="B475" s="42" t="s">
        <v>32</v>
      </c>
      <c r="C475" s="313">
        <f>SUMIF('Employees Supported'!$A$2:$A$29,$B475,'Employees Supported'!$C$2:$C$29)</f>
        <v>400</v>
      </c>
      <c r="E475" s="2">
        <f t="shared" si="66"/>
        <v>43</v>
      </c>
      <c r="F475" t="str">
        <f t="shared" si="67"/>
        <v>Reserved-43</v>
      </c>
      <c r="G475" t="str">
        <f t="shared" si="63"/>
        <v>Seattle CtrReserved-43</v>
      </c>
      <c r="H475" s="2" t="s">
        <v>67</v>
      </c>
      <c r="O475" s="2" t="s">
        <v>2678</v>
      </c>
      <c r="P475" s="3" t="str">
        <f t="shared" si="64"/>
        <v>NR</v>
      </c>
      <c r="R475" s="127">
        <f t="shared" si="65"/>
        <v>0</v>
      </c>
    </row>
    <row r="476" spans="1:18">
      <c r="A476">
        <f t="shared" si="62"/>
        <v>507</v>
      </c>
      <c r="B476" s="42" t="s">
        <v>23</v>
      </c>
      <c r="C476" s="313">
        <v>6500</v>
      </c>
      <c r="E476" s="2">
        <f>+E465+1</f>
        <v>44</v>
      </c>
      <c r="F476" t="str">
        <f t="shared" si="67"/>
        <v>Reserved-44</v>
      </c>
      <c r="G476" t="str">
        <f t="shared" si="63"/>
        <v>FAS-CentralizedReserved-44</v>
      </c>
      <c r="H476" s="2" t="s">
        <v>67</v>
      </c>
      <c r="O476" s="2" t="s">
        <v>2678</v>
      </c>
      <c r="P476" s="3" t="str">
        <f t="shared" si="64"/>
        <v>NR</v>
      </c>
      <c r="R476" s="127">
        <f t="shared" si="65"/>
        <v>0</v>
      </c>
    </row>
    <row r="477" spans="1:18" hidden="1">
      <c r="A477">
        <f t="shared" si="62"/>
        <v>508</v>
      </c>
      <c r="B477" s="42" t="s">
        <v>25</v>
      </c>
      <c r="C477" s="313">
        <f>SUMIF('Employees Supported'!$A$2:$A$29,$B477,'Employees Supported'!$C$2:$C$29)</f>
        <v>1500</v>
      </c>
      <c r="E477" s="2">
        <f t="shared" si="66"/>
        <v>44</v>
      </c>
      <c r="F477" t="str">
        <f t="shared" si="67"/>
        <v>Reserved-44</v>
      </c>
      <c r="G477" t="str">
        <f t="shared" si="63"/>
        <v>SPDReserved-44</v>
      </c>
      <c r="H477" s="2" t="s">
        <v>67</v>
      </c>
      <c r="O477" s="2" t="s">
        <v>2678</v>
      </c>
      <c r="P477" s="3" t="str">
        <f t="shared" si="64"/>
        <v>NR</v>
      </c>
      <c r="R477" s="127">
        <f t="shared" si="65"/>
        <v>0</v>
      </c>
    </row>
    <row r="478" spans="1:18" hidden="1">
      <c r="A478">
        <f t="shared" si="62"/>
        <v>509</v>
      </c>
      <c r="B478" s="42" t="s">
        <v>24</v>
      </c>
      <c r="C478" s="313">
        <f>SUMIF('Employees Supported'!$A$2:$A$29,$B478,'Employees Supported'!$C$2:$C$29)</f>
        <v>1100</v>
      </c>
      <c r="E478" s="2">
        <f t="shared" si="66"/>
        <v>44</v>
      </c>
      <c r="F478" t="str">
        <f t="shared" si="67"/>
        <v>Reserved-44</v>
      </c>
      <c r="G478" t="str">
        <f t="shared" si="63"/>
        <v>SFDReserved-44</v>
      </c>
      <c r="H478" s="2" t="s">
        <v>67</v>
      </c>
      <c r="O478" s="2" t="s">
        <v>2678</v>
      </c>
      <c r="P478" s="3" t="str">
        <f t="shared" si="64"/>
        <v>NR</v>
      </c>
      <c r="R478" s="127">
        <f t="shared" si="65"/>
        <v>0</v>
      </c>
    </row>
    <row r="479" spans="1:18" hidden="1">
      <c r="A479">
        <f t="shared" si="62"/>
        <v>510</v>
      </c>
      <c r="B479" s="42" t="s">
        <v>28</v>
      </c>
      <c r="C479" s="313">
        <f>SUMIF('Employees Supported'!$A$2:$A$29,$B479,'Employees Supported'!$C$2:$C$29)</f>
        <v>1100</v>
      </c>
      <c r="E479" s="2">
        <f t="shared" si="66"/>
        <v>44</v>
      </c>
      <c r="F479" t="str">
        <f t="shared" si="67"/>
        <v>Reserved-44</v>
      </c>
      <c r="G479" t="str">
        <f t="shared" si="63"/>
        <v>SDOTReserved-44</v>
      </c>
      <c r="H479" s="2" t="s">
        <v>67</v>
      </c>
      <c r="O479" s="2" t="s">
        <v>2678</v>
      </c>
      <c r="P479" s="3" t="str">
        <f t="shared" si="64"/>
        <v>NR</v>
      </c>
      <c r="R479" s="127">
        <f t="shared" si="65"/>
        <v>0</v>
      </c>
    </row>
    <row r="480" spans="1:18" hidden="1">
      <c r="A480">
        <f t="shared" si="62"/>
        <v>511</v>
      </c>
      <c r="B480" s="42" t="s">
        <v>33</v>
      </c>
      <c r="C480" s="313">
        <f>SUMIF('Employees Supported'!$A$2:$A$29,$B480,'Employees Supported'!$C$2:$C$29)</f>
        <v>400</v>
      </c>
      <c r="E480" s="2">
        <f t="shared" si="66"/>
        <v>44</v>
      </c>
      <c r="F480" t="str">
        <f t="shared" si="67"/>
        <v>Reserved-44</v>
      </c>
      <c r="G480" t="str">
        <f t="shared" si="63"/>
        <v>SCLReserved-44</v>
      </c>
      <c r="H480" s="2" t="s">
        <v>67</v>
      </c>
      <c r="O480" s="2" t="s">
        <v>2678</v>
      </c>
      <c r="P480" s="3" t="str">
        <f t="shared" si="64"/>
        <v>NR</v>
      </c>
      <c r="R480" s="127">
        <f t="shared" si="65"/>
        <v>0</v>
      </c>
    </row>
    <row r="481" spans="1:18" hidden="1">
      <c r="A481">
        <f t="shared" si="62"/>
        <v>512</v>
      </c>
      <c r="B481" s="42" t="s">
        <v>31</v>
      </c>
      <c r="C481" s="313">
        <f>SUMIF('Employees Supported'!$A$2:$A$29,$B481,'Employees Supported'!$C$2:$C$29)</f>
        <v>700</v>
      </c>
      <c r="E481" s="2">
        <f t="shared" si="66"/>
        <v>44</v>
      </c>
      <c r="F481" t="str">
        <f t="shared" si="67"/>
        <v>Reserved-44</v>
      </c>
      <c r="G481" t="str">
        <f t="shared" si="63"/>
        <v>SeaITReserved-44</v>
      </c>
      <c r="H481" s="2" t="s">
        <v>67</v>
      </c>
      <c r="O481" s="2" t="s">
        <v>2678</v>
      </c>
      <c r="P481" s="3" t="str">
        <f t="shared" si="64"/>
        <v>NR</v>
      </c>
      <c r="R481" s="127">
        <f t="shared" si="65"/>
        <v>0</v>
      </c>
    </row>
    <row r="482" spans="1:18" hidden="1">
      <c r="A482">
        <f t="shared" si="62"/>
        <v>513</v>
      </c>
      <c r="B482" s="42" t="s">
        <v>29</v>
      </c>
      <c r="C482" s="313">
        <f>SUMIF('Employees Supported'!$A$2:$A$29,$B482,'Employees Supported'!$C$2:$C$29)</f>
        <v>550</v>
      </c>
      <c r="E482" s="2">
        <f t="shared" si="66"/>
        <v>44</v>
      </c>
      <c r="F482" t="str">
        <f t="shared" si="67"/>
        <v>Reserved-44</v>
      </c>
      <c r="G482" t="str">
        <f t="shared" si="63"/>
        <v>SDCIReserved-44</v>
      </c>
      <c r="H482" s="2" t="s">
        <v>67</v>
      </c>
      <c r="O482" s="2" t="s">
        <v>2678</v>
      </c>
      <c r="P482" s="3" t="str">
        <f t="shared" si="64"/>
        <v>NR</v>
      </c>
      <c r="R482" s="127">
        <f t="shared" si="65"/>
        <v>0</v>
      </c>
    </row>
    <row r="483" spans="1:18" hidden="1">
      <c r="A483">
        <f t="shared" si="62"/>
        <v>514</v>
      </c>
      <c r="B483" s="42" t="s">
        <v>27</v>
      </c>
      <c r="C483" s="313">
        <f>SUMIF('Employees Supported'!$A$2:$A$29,$B483,'Employees Supported'!$C$2:$C$29)</f>
        <v>400</v>
      </c>
      <c r="E483" s="2">
        <f t="shared" si="66"/>
        <v>44</v>
      </c>
      <c r="F483" t="str">
        <f t="shared" si="67"/>
        <v>Reserved-44</v>
      </c>
      <c r="G483" t="str">
        <f t="shared" si="63"/>
        <v>SPUReserved-44</v>
      </c>
      <c r="H483" s="2" t="s">
        <v>67</v>
      </c>
      <c r="O483" s="2" t="s">
        <v>2678</v>
      </c>
      <c r="P483" s="3" t="str">
        <f t="shared" si="64"/>
        <v>NR</v>
      </c>
      <c r="R483" s="127">
        <f t="shared" si="65"/>
        <v>0</v>
      </c>
    </row>
    <row r="484" spans="1:18" hidden="1">
      <c r="A484">
        <f t="shared" si="62"/>
        <v>515</v>
      </c>
      <c r="B484" s="42" t="s">
        <v>30</v>
      </c>
      <c r="C484" s="313">
        <f>SUMIF('Employees Supported'!$A$2:$A$29,$B484,'Employees Supported'!$C$2:$C$29)</f>
        <v>300</v>
      </c>
      <c r="E484" s="2">
        <f t="shared" si="66"/>
        <v>44</v>
      </c>
      <c r="F484" t="str">
        <f t="shared" si="67"/>
        <v>Reserved-44</v>
      </c>
      <c r="G484" t="str">
        <f t="shared" si="63"/>
        <v>LibrariesReserved-44</v>
      </c>
      <c r="H484" s="2" t="s">
        <v>67</v>
      </c>
      <c r="O484" s="2" t="s">
        <v>2678</v>
      </c>
      <c r="P484" s="3" t="str">
        <f t="shared" si="64"/>
        <v>NR</v>
      </c>
      <c r="R484" s="127">
        <f t="shared" si="65"/>
        <v>0</v>
      </c>
    </row>
    <row r="485" spans="1:18" hidden="1">
      <c r="A485">
        <f t="shared" si="62"/>
        <v>516</v>
      </c>
      <c r="B485" s="42" t="s">
        <v>26</v>
      </c>
      <c r="C485" s="313">
        <f>SUMIF('Employees Supported'!$A$2:$A$29,$B485,'Employees Supported'!$C$2:$C$29)</f>
        <v>400</v>
      </c>
      <c r="E485" s="2">
        <f t="shared" si="66"/>
        <v>44</v>
      </c>
      <c r="F485" t="str">
        <f t="shared" si="67"/>
        <v>Reserved-44</v>
      </c>
      <c r="G485" t="str">
        <f t="shared" si="63"/>
        <v>ParksReserved-44</v>
      </c>
      <c r="H485" s="2" t="s">
        <v>67</v>
      </c>
      <c r="O485" s="2" t="s">
        <v>2678</v>
      </c>
      <c r="P485" s="3" t="str">
        <f t="shared" si="64"/>
        <v>NR</v>
      </c>
      <c r="R485" s="127">
        <f t="shared" si="65"/>
        <v>0</v>
      </c>
    </row>
    <row r="486" spans="1:18" hidden="1">
      <c r="A486">
        <f t="shared" si="62"/>
        <v>517</v>
      </c>
      <c r="B486" s="42" t="s">
        <v>32</v>
      </c>
      <c r="C486" s="313">
        <f>SUMIF('Employees Supported'!$A$2:$A$29,$B486,'Employees Supported'!$C$2:$C$29)</f>
        <v>400</v>
      </c>
      <c r="E486" s="2">
        <f t="shared" si="66"/>
        <v>44</v>
      </c>
      <c r="F486" t="str">
        <f t="shared" si="67"/>
        <v>Reserved-44</v>
      </c>
      <c r="G486" t="str">
        <f t="shared" si="63"/>
        <v>Seattle CtrReserved-44</v>
      </c>
      <c r="H486" s="2" t="s">
        <v>67</v>
      </c>
      <c r="O486" s="2" t="s">
        <v>2678</v>
      </c>
      <c r="P486" s="3" t="str">
        <f t="shared" si="64"/>
        <v>NR</v>
      </c>
      <c r="R486" s="127">
        <f t="shared" si="65"/>
        <v>0</v>
      </c>
    </row>
    <row r="487" spans="1:18">
      <c r="A487">
        <f t="shared" si="62"/>
        <v>518</v>
      </c>
      <c r="B487" s="42" t="s">
        <v>23</v>
      </c>
      <c r="C487" s="313">
        <v>6500</v>
      </c>
      <c r="E487" s="2">
        <f>+E476+1</f>
        <v>45</v>
      </c>
      <c r="F487" t="str">
        <f t="shared" si="67"/>
        <v>Reserved-45</v>
      </c>
      <c r="G487" t="str">
        <f t="shared" si="63"/>
        <v>FAS-CentralizedReserved-45</v>
      </c>
      <c r="H487" s="2" t="s">
        <v>67</v>
      </c>
      <c r="O487" s="2" t="s">
        <v>2678</v>
      </c>
      <c r="P487" s="3" t="str">
        <f t="shared" si="64"/>
        <v>NR</v>
      </c>
      <c r="R487" s="127">
        <f t="shared" si="65"/>
        <v>0</v>
      </c>
    </row>
    <row r="488" spans="1:18" hidden="1">
      <c r="A488">
        <f t="shared" si="62"/>
        <v>519</v>
      </c>
      <c r="B488" s="42" t="s">
        <v>25</v>
      </c>
      <c r="C488" s="313">
        <f>SUMIF('Employees Supported'!$A$2:$A$29,$B488,'Employees Supported'!$C$2:$C$29)</f>
        <v>1500</v>
      </c>
      <c r="E488" s="2">
        <f t="shared" si="66"/>
        <v>45</v>
      </c>
      <c r="F488" t="str">
        <f t="shared" si="67"/>
        <v>Reserved-45</v>
      </c>
      <c r="G488" t="str">
        <f t="shared" si="63"/>
        <v>SPDReserved-45</v>
      </c>
      <c r="H488" s="2" t="s">
        <v>67</v>
      </c>
      <c r="O488" s="2" t="s">
        <v>2678</v>
      </c>
      <c r="P488" s="3" t="str">
        <f t="shared" si="64"/>
        <v>NR</v>
      </c>
      <c r="R488" s="127">
        <f t="shared" si="65"/>
        <v>0</v>
      </c>
    </row>
    <row r="489" spans="1:18" hidden="1">
      <c r="A489">
        <f t="shared" si="62"/>
        <v>520</v>
      </c>
      <c r="B489" s="42" t="s">
        <v>24</v>
      </c>
      <c r="C489" s="313">
        <f>SUMIF('Employees Supported'!$A$2:$A$29,$B489,'Employees Supported'!$C$2:$C$29)</f>
        <v>1100</v>
      </c>
      <c r="E489" s="2">
        <f t="shared" si="66"/>
        <v>45</v>
      </c>
      <c r="F489" t="str">
        <f t="shared" si="67"/>
        <v>Reserved-45</v>
      </c>
      <c r="G489" t="str">
        <f t="shared" si="63"/>
        <v>SFDReserved-45</v>
      </c>
      <c r="H489" s="2" t="s">
        <v>67</v>
      </c>
      <c r="O489" s="2" t="s">
        <v>2678</v>
      </c>
      <c r="P489" s="3" t="str">
        <f t="shared" si="64"/>
        <v>NR</v>
      </c>
      <c r="R489" s="127">
        <f t="shared" si="65"/>
        <v>0</v>
      </c>
    </row>
    <row r="490" spans="1:18" hidden="1">
      <c r="A490">
        <f t="shared" si="62"/>
        <v>521</v>
      </c>
      <c r="B490" s="42" t="s">
        <v>28</v>
      </c>
      <c r="C490" s="313">
        <f>SUMIF('Employees Supported'!$A$2:$A$29,$B490,'Employees Supported'!$C$2:$C$29)</f>
        <v>1100</v>
      </c>
      <c r="E490" s="2">
        <f t="shared" si="66"/>
        <v>45</v>
      </c>
      <c r="F490" t="str">
        <f t="shared" si="67"/>
        <v>Reserved-45</v>
      </c>
      <c r="G490" t="str">
        <f t="shared" si="63"/>
        <v>SDOTReserved-45</v>
      </c>
      <c r="H490" s="2" t="s">
        <v>67</v>
      </c>
      <c r="O490" s="2" t="s">
        <v>2678</v>
      </c>
      <c r="P490" s="3" t="str">
        <f t="shared" si="64"/>
        <v>NR</v>
      </c>
      <c r="R490" s="127">
        <f t="shared" si="65"/>
        <v>0</v>
      </c>
    </row>
    <row r="491" spans="1:18" hidden="1">
      <c r="A491">
        <f t="shared" si="62"/>
        <v>522</v>
      </c>
      <c r="B491" s="42" t="s">
        <v>33</v>
      </c>
      <c r="C491" s="313">
        <f>SUMIF('Employees Supported'!$A$2:$A$29,$B491,'Employees Supported'!$C$2:$C$29)</f>
        <v>400</v>
      </c>
      <c r="E491" s="2">
        <f t="shared" si="66"/>
        <v>45</v>
      </c>
      <c r="F491" t="str">
        <f t="shared" si="67"/>
        <v>Reserved-45</v>
      </c>
      <c r="G491" t="str">
        <f t="shared" si="63"/>
        <v>SCLReserved-45</v>
      </c>
      <c r="H491" s="2" t="s">
        <v>67</v>
      </c>
      <c r="O491" s="2" t="s">
        <v>2678</v>
      </c>
      <c r="P491" s="3" t="str">
        <f t="shared" si="64"/>
        <v>NR</v>
      </c>
      <c r="R491" s="127">
        <f t="shared" si="65"/>
        <v>0</v>
      </c>
    </row>
    <row r="492" spans="1:18" hidden="1">
      <c r="A492">
        <f t="shared" si="62"/>
        <v>523</v>
      </c>
      <c r="B492" s="42" t="s">
        <v>31</v>
      </c>
      <c r="C492" s="313">
        <f>SUMIF('Employees Supported'!$A$2:$A$29,$B492,'Employees Supported'!$C$2:$C$29)</f>
        <v>700</v>
      </c>
      <c r="E492" s="2">
        <f t="shared" si="66"/>
        <v>45</v>
      </c>
      <c r="F492" t="str">
        <f t="shared" si="67"/>
        <v>Reserved-45</v>
      </c>
      <c r="G492" t="str">
        <f t="shared" si="63"/>
        <v>SeaITReserved-45</v>
      </c>
      <c r="H492" s="2" t="s">
        <v>67</v>
      </c>
      <c r="O492" s="2" t="s">
        <v>2678</v>
      </c>
      <c r="P492" s="3" t="str">
        <f t="shared" si="64"/>
        <v>NR</v>
      </c>
      <c r="R492" s="127">
        <f t="shared" si="65"/>
        <v>0</v>
      </c>
    </row>
    <row r="493" spans="1:18" hidden="1">
      <c r="A493">
        <f t="shared" si="62"/>
        <v>524</v>
      </c>
      <c r="B493" s="42" t="s">
        <v>29</v>
      </c>
      <c r="C493" s="313">
        <f>SUMIF('Employees Supported'!$A$2:$A$29,$B493,'Employees Supported'!$C$2:$C$29)</f>
        <v>550</v>
      </c>
      <c r="E493" s="2">
        <f t="shared" si="66"/>
        <v>45</v>
      </c>
      <c r="F493" t="str">
        <f t="shared" si="67"/>
        <v>Reserved-45</v>
      </c>
      <c r="G493" t="str">
        <f t="shared" si="63"/>
        <v>SDCIReserved-45</v>
      </c>
      <c r="H493" s="2" t="s">
        <v>67</v>
      </c>
      <c r="O493" s="2" t="s">
        <v>2678</v>
      </c>
      <c r="P493" s="3" t="str">
        <f t="shared" si="64"/>
        <v>NR</v>
      </c>
      <c r="R493" s="127">
        <f t="shared" si="65"/>
        <v>0</v>
      </c>
    </row>
    <row r="494" spans="1:18" hidden="1">
      <c r="A494">
        <f t="shared" si="62"/>
        <v>525</v>
      </c>
      <c r="B494" s="42" t="s">
        <v>27</v>
      </c>
      <c r="C494" s="313">
        <f>SUMIF('Employees Supported'!$A$2:$A$29,$B494,'Employees Supported'!$C$2:$C$29)</f>
        <v>400</v>
      </c>
      <c r="E494" s="2">
        <f t="shared" si="66"/>
        <v>45</v>
      </c>
      <c r="F494" t="str">
        <f t="shared" si="67"/>
        <v>Reserved-45</v>
      </c>
      <c r="G494" t="str">
        <f t="shared" si="63"/>
        <v>SPUReserved-45</v>
      </c>
      <c r="H494" s="2" t="s">
        <v>67</v>
      </c>
      <c r="O494" s="2" t="s">
        <v>2678</v>
      </c>
      <c r="P494" s="3" t="str">
        <f t="shared" si="64"/>
        <v>NR</v>
      </c>
      <c r="R494" s="127">
        <f t="shared" si="65"/>
        <v>0</v>
      </c>
    </row>
    <row r="495" spans="1:18" hidden="1">
      <c r="A495">
        <f t="shared" si="62"/>
        <v>526</v>
      </c>
      <c r="B495" s="42" t="s">
        <v>30</v>
      </c>
      <c r="C495" s="313">
        <f>SUMIF('Employees Supported'!$A$2:$A$29,$B495,'Employees Supported'!$C$2:$C$29)</f>
        <v>300</v>
      </c>
      <c r="E495" s="2">
        <f t="shared" si="66"/>
        <v>45</v>
      </c>
      <c r="F495" t="str">
        <f t="shared" si="67"/>
        <v>Reserved-45</v>
      </c>
      <c r="G495" t="str">
        <f t="shared" si="63"/>
        <v>LibrariesReserved-45</v>
      </c>
      <c r="H495" s="2" t="s">
        <v>67</v>
      </c>
      <c r="O495" s="2" t="s">
        <v>2678</v>
      </c>
      <c r="P495" s="3" t="str">
        <f t="shared" si="64"/>
        <v>NR</v>
      </c>
      <c r="R495" s="127">
        <f t="shared" si="65"/>
        <v>0</v>
      </c>
    </row>
    <row r="496" spans="1:18" hidden="1">
      <c r="A496">
        <f t="shared" si="62"/>
        <v>527</v>
      </c>
      <c r="B496" s="42" t="s">
        <v>26</v>
      </c>
      <c r="C496" s="313">
        <f>SUMIF('Employees Supported'!$A$2:$A$29,$B496,'Employees Supported'!$C$2:$C$29)</f>
        <v>400</v>
      </c>
      <c r="E496" s="2">
        <f t="shared" si="66"/>
        <v>45</v>
      </c>
      <c r="F496" t="str">
        <f t="shared" si="67"/>
        <v>Reserved-45</v>
      </c>
      <c r="G496" t="str">
        <f t="shared" si="63"/>
        <v>ParksReserved-45</v>
      </c>
      <c r="H496" s="2" t="s">
        <v>67</v>
      </c>
      <c r="O496" s="2" t="s">
        <v>2678</v>
      </c>
      <c r="P496" s="3" t="str">
        <f t="shared" si="64"/>
        <v>NR</v>
      </c>
      <c r="R496" s="127">
        <f t="shared" si="65"/>
        <v>0</v>
      </c>
    </row>
    <row r="497" spans="1:18" hidden="1">
      <c r="A497">
        <f t="shared" si="62"/>
        <v>528</v>
      </c>
      <c r="B497" s="42" t="s">
        <v>32</v>
      </c>
      <c r="C497" s="313">
        <f>SUMIF('Employees Supported'!$A$2:$A$29,$B497,'Employees Supported'!$C$2:$C$29)</f>
        <v>400</v>
      </c>
      <c r="E497" s="2">
        <f t="shared" si="66"/>
        <v>45</v>
      </c>
      <c r="F497" t="str">
        <f t="shared" si="67"/>
        <v>Reserved-45</v>
      </c>
      <c r="G497" t="str">
        <f t="shared" si="63"/>
        <v>Seattle CtrReserved-45</v>
      </c>
      <c r="H497" s="2" t="s">
        <v>67</v>
      </c>
      <c r="O497" s="2" t="s">
        <v>2678</v>
      </c>
      <c r="P497" s="3" t="str">
        <f t="shared" si="64"/>
        <v>NR</v>
      </c>
      <c r="R497" s="127">
        <f t="shared" si="65"/>
        <v>0</v>
      </c>
    </row>
    <row r="498" spans="1:18">
      <c r="A498">
        <f t="shared" si="62"/>
        <v>529</v>
      </c>
      <c r="B498" s="42" t="s">
        <v>23</v>
      </c>
      <c r="C498" s="313">
        <v>6500</v>
      </c>
      <c r="E498" s="2">
        <f>+E487+1</f>
        <v>46</v>
      </c>
      <c r="F498" t="str">
        <f t="shared" si="67"/>
        <v>Reserved-46</v>
      </c>
      <c r="G498" t="str">
        <f t="shared" si="63"/>
        <v>FAS-CentralizedReserved-46</v>
      </c>
      <c r="H498" s="2" t="s">
        <v>67</v>
      </c>
      <c r="O498" s="2" t="s">
        <v>2678</v>
      </c>
      <c r="P498" s="3" t="str">
        <f t="shared" si="64"/>
        <v>NR</v>
      </c>
      <c r="R498" s="127">
        <f t="shared" si="65"/>
        <v>0</v>
      </c>
    </row>
    <row r="499" spans="1:18" hidden="1">
      <c r="A499">
        <f t="shared" si="62"/>
        <v>530</v>
      </c>
      <c r="B499" s="42" t="s">
        <v>25</v>
      </c>
      <c r="C499" s="313">
        <f>SUMIF('Employees Supported'!$A$2:$A$29,$B499,'Employees Supported'!$C$2:$C$29)</f>
        <v>1500</v>
      </c>
      <c r="E499" s="2">
        <f t="shared" si="66"/>
        <v>46</v>
      </c>
      <c r="F499" t="str">
        <f t="shared" si="67"/>
        <v>Reserved-46</v>
      </c>
      <c r="G499" t="str">
        <f t="shared" si="63"/>
        <v>SPDReserved-46</v>
      </c>
      <c r="H499" s="2" t="s">
        <v>67</v>
      </c>
      <c r="O499" s="2" t="s">
        <v>2678</v>
      </c>
      <c r="P499" s="3" t="str">
        <f t="shared" si="64"/>
        <v>NR</v>
      </c>
      <c r="R499" s="127">
        <f t="shared" si="65"/>
        <v>0</v>
      </c>
    </row>
    <row r="500" spans="1:18" hidden="1">
      <c r="A500">
        <f t="shared" si="62"/>
        <v>531</v>
      </c>
      <c r="B500" s="42" t="s">
        <v>24</v>
      </c>
      <c r="C500" s="313">
        <f>SUMIF('Employees Supported'!$A$2:$A$29,$B500,'Employees Supported'!$C$2:$C$29)</f>
        <v>1100</v>
      </c>
      <c r="E500" s="2">
        <f t="shared" si="66"/>
        <v>46</v>
      </c>
      <c r="F500" t="str">
        <f t="shared" si="67"/>
        <v>Reserved-46</v>
      </c>
      <c r="G500" t="str">
        <f t="shared" si="63"/>
        <v>SFDReserved-46</v>
      </c>
      <c r="H500" s="2" t="s">
        <v>67</v>
      </c>
      <c r="O500" s="2" t="s">
        <v>2678</v>
      </c>
      <c r="P500" s="3" t="str">
        <f t="shared" si="64"/>
        <v>NR</v>
      </c>
      <c r="R500" s="127">
        <f t="shared" si="65"/>
        <v>0</v>
      </c>
    </row>
    <row r="501" spans="1:18" hidden="1">
      <c r="A501">
        <f t="shared" si="62"/>
        <v>532</v>
      </c>
      <c r="B501" s="42" t="s">
        <v>28</v>
      </c>
      <c r="C501" s="313">
        <f>SUMIF('Employees Supported'!$A$2:$A$29,$B501,'Employees Supported'!$C$2:$C$29)</f>
        <v>1100</v>
      </c>
      <c r="E501" s="2">
        <f t="shared" si="66"/>
        <v>46</v>
      </c>
      <c r="F501" t="str">
        <f t="shared" si="67"/>
        <v>Reserved-46</v>
      </c>
      <c r="G501" t="str">
        <f t="shared" si="63"/>
        <v>SDOTReserved-46</v>
      </c>
      <c r="H501" s="2" t="s">
        <v>67</v>
      </c>
      <c r="O501" s="2" t="s">
        <v>2678</v>
      </c>
      <c r="P501" s="3" t="str">
        <f t="shared" si="64"/>
        <v>NR</v>
      </c>
      <c r="R501" s="127">
        <f t="shared" si="65"/>
        <v>0</v>
      </c>
    </row>
    <row r="502" spans="1:18" hidden="1">
      <c r="A502">
        <f t="shared" si="62"/>
        <v>533</v>
      </c>
      <c r="B502" s="42" t="s">
        <v>33</v>
      </c>
      <c r="C502" s="313">
        <f>SUMIF('Employees Supported'!$A$2:$A$29,$B502,'Employees Supported'!$C$2:$C$29)</f>
        <v>400</v>
      </c>
      <c r="E502" s="2">
        <f t="shared" si="66"/>
        <v>46</v>
      </c>
      <c r="F502" t="str">
        <f t="shared" si="67"/>
        <v>Reserved-46</v>
      </c>
      <c r="G502" t="str">
        <f t="shared" si="63"/>
        <v>SCLReserved-46</v>
      </c>
      <c r="H502" s="2" t="s">
        <v>67</v>
      </c>
      <c r="O502" s="2" t="s">
        <v>2678</v>
      </c>
      <c r="P502" s="3" t="str">
        <f t="shared" si="64"/>
        <v>NR</v>
      </c>
      <c r="R502" s="127">
        <f t="shared" si="65"/>
        <v>0</v>
      </c>
    </row>
    <row r="503" spans="1:18" hidden="1">
      <c r="A503">
        <f t="shared" ref="A503:A566" si="68">+A502+1</f>
        <v>534</v>
      </c>
      <c r="B503" s="42" t="s">
        <v>31</v>
      </c>
      <c r="C503" s="313">
        <f>SUMIF('Employees Supported'!$A$2:$A$29,$B503,'Employees Supported'!$C$2:$C$29)</f>
        <v>700</v>
      </c>
      <c r="E503" s="2">
        <f t="shared" si="66"/>
        <v>46</v>
      </c>
      <c r="F503" t="str">
        <f t="shared" si="67"/>
        <v>Reserved-46</v>
      </c>
      <c r="G503" t="str">
        <f t="shared" si="63"/>
        <v>SeaITReserved-46</v>
      </c>
      <c r="H503" s="2" t="s">
        <v>67</v>
      </c>
      <c r="O503" s="2" t="s">
        <v>2678</v>
      </c>
      <c r="P503" s="3" t="str">
        <f t="shared" si="64"/>
        <v>NR</v>
      </c>
      <c r="R503" s="127">
        <f t="shared" si="65"/>
        <v>0</v>
      </c>
    </row>
    <row r="504" spans="1:18" hidden="1">
      <c r="A504">
        <f t="shared" si="68"/>
        <v>535</v>
      </c>
      <c r="B504" s="42" t="s">
        <v>29</v>
      </c>
      <c r="C504" s="313">
        <f>SUMIF('Employees Supported'!$A$2:$A$29,$B504,'Employees Supported'!$C$2:$C$29)</f>
        <v>550</v>
      </c>
      <c r="E504" s="2">
        <f t="shared" si="66"/>
        <v>46</v>
      </c>
      <c r="F504" t="str">
        <f t="shared" si="67"/>
        <v>Reserved-46</v>
      </c>
      <c r="G504" t="str">
        <f t="shared" ref="G504:G567" si="69">_xlfn.SINGLE(_xlfn.CONCAT(B504,F504))</f>
        <v>SDCIReserved-46</v>
      </c>
      <c r="H504" s="2" t="s">
        <v>67</v>
      </c>
      <c r="O504" s="2" t="s">
        <v>2678</v>
      </c>
      <c r="P504" s="3" t="str">
        <f t="shared" ref="P504:P567" si="70">IF(O504="NR","NR",((((C504+D504)*I504)*90)+(J504*90)+(((C504+D504)*K504)*3)+(L504*3)+((C504+D504)*M504)+N504))</f>
        <v>NR</v>
      </c>
      <c r="R504" s="127">
        <f t="shared" ref="R504:R567" si="71">SUM(P504)/90</f>
        <v>0</v>
      </c>
    </row>
    <row r="505" spans="1:18" hidden="1">
      <c r="A505">
        <f t="shared" si="68"/>
        <v>536</v>
      </c>
      <c r="B505" s="42" t="s">
        <v>27</v>
      </c>
      <c r="C505" s="313">
        <f>SUMIF('Employees Supported'!$A$2:$A$29,$B505,'Employees Supported'!$C$2:$C$29)</f>
        <v>400</v>
      </c>
      <c r="E505" s="2">
        <f t="shared" si="66"/>
        <v>46</v>
      </c>
      <c r="F505" t="str">
        <f t="shared" si="67"/>
        <v>Reserved-46</v>
      </c>
      <c r="G505" t="str">
        <f t="shared" si="69"/>
        <v>SPUReserved-46</v>
      </c>
      <c r="H505" s="2" t="s">
        <v>67</v>
      </c>
      <c r="O505" s="2" t="s">
        <v>2678</v>
      </c>
      <c r="P505" s="3" t="str">
        <f t="shared" si="70"/>
        <v>NR</v>
      </c>
      <c r="R505" s="127">
        <f t="shared" si="71"/>
        <v>0</v>
      </c>
    </row>
    <row r="506" spans="1:18" hidden="1">
      <c r="A506">
        <f t="shared" si="68"/>
        <v>537</v>
      </c>
      <c r="B506" s="42" t="s">
        <v>30</v>
      </c>
      <c r="C506" s="313">
        <f>SUMIF('Employees Supported'!$A$2:$A$29,$B506,'Employees Supported'!$C$2:$C$29)</f>
        <v>300</v>
      </c>
      <c r="E506" s="2">
        <f t="shared" si="66"/>
        <v>46</v>
      </c>
      <c r="F506" t="str">
        <f t="shared" si="67"/>
        <v>Reserved-46</v>
      </c>
      <c r="G506" t="str">
        <f t="shared" si="69"/>
        <v>LibrariesReserved-46</v>
      </c>
      <c r="H506" s="2" t="s">
        <v>67</v>
      </c>
      <c r="O506" s="2" t="s">
        <v>2678</v>
      </c>
      <c r="P506" s="3" t="str">
        <f t="shared" si="70"/>
        <v>NR</v>
      </c>
      <c r="R506" s="127">
        <f t="shared" si="71"/>
        <v>0</v>
      </c>
    </row>
    <row r="507" spans="1:18" hidden="1">
      <c r="A507">
        <f t="shared" si="68"/>
        <v>538</v>
      </c>
      <c r="B507" s="42" t="s">
        <v>26</v>
      </c>
      <c r="C507" s="313">
        <f>SUMIF('Employees Supported'!$A$2:$A$29,$B507,'Employees Supported'!$C$2:$C$29)</f>
        <v>400</v>
      </c>
      <c r="E507" s="2">
        <f t="shared" si="66"/>
        <v>46</v>
      </c>
      <c r="F507" t="str">
        <f t="shared" si="67"/>
        <v>Reserved-46</v>
      </c>
      <c r="G507" t="str">
        <f t="shared" si="69"/>
        <v>ParksReserved-46</v>
      </c>
      <c r="H507" s="2" t="s">
        <v>67</v>
      </c>
      <c r="O507" s="2" t="s">
        <v>2678</v>
      </c>
      <c r="P507" s="3" t="str">
        <f t="shared" si="70"/>
        <v>NR</v>
      </c>
      <c r="R507" s="127">
        <f t="shared" si="71"/>
        <v>0</v>
      </c>
    </row>
    <row r="508" spans="1:18" hidden="1">
      <c r="A508">
        <f t="shared" si="68"/>
        <v>539</v>
      </c>
      <c r="B508" s="42" t="s">
        <v>32</v>
      </c>
      <c r="C508" s="313">
        <f>SUMIF('Employees Supported'!$A$2:$A$29,$B508,'Employees Supported'!$C$2:$C$29)</f>
        <v>400</v>
      </c>
      <c r="E508" s="2">
        <f t="shared" si="66"/>
        <v>46</v>
      </c>
      <c r="F508" t="str">
        <f t="shared" si="67"/>
        <v>Reserved-46</v>
      </c>
      <c r="G508" t="str">
        <f t="shared" si="69"/>
        <v>Seattle CtrReserved-46</v>
      </c>
      <c r="H508" s="2" t="s">
        <v>67</v>
      </c>
      <c r="O508" s="2" t="s">
        <v>2678</v>
      </c>
      <c r="P508" s="3" t="str">
        <f t="shared" si="70"/>
        <v>NR</v>
      </c>
      <c r="R508" s="127">
        <f t="shared" si="71"/>
        <v>0</v>
      </c>
    </row>
    <row r="509" spans="1:18">
      <c r="A509">
        <f t="shared" si="68"/>
        <v>540</v>
      </c>
      <c r="B509" s="42" t="s">
        <v>23</v>
      </c>
      <c r="C509" s="313">
        <v>6500</v>
      </c>
      <c r="E509" s="2">
        <f>+E498+1</f>
        <v>47</v>
      </c>
      <c r="F509" t="str">
        <f t="shared" si="67"/>
        <v>Reserved-47</v>
      </c>
      <c r="G509" t="str">
        <f t="shared" si="69"/>
        <v>FAS-CentralizedReserved-47</v>
      </c>
      <c r="H509" s="2" t="s">
        <v>67</v>
      </c>
      <c r="O509" s="2" t="s">
        <v>2678</v>
      </c>
      <c r="P509" s="3" t="str">
        <f t="shared" si="70"/>
        <v>NR</v>
      </c>
      <c r="R509" s="127">
        <f t="shared" si="71"/>
        <v>0</v>
      </c>
    </row>
    <row r="510" spans="1:18" hidden="1">
      <c r="A510">
        <f t="shared" si="68"/>
        <v>541</v>
      </c>
      <c r="B510" s="42" t="s">
        <v>25</v>
      </c>
      <c r="C510" s="313">
        <f>SUMIF('Employees Supported'!$A$2:$A$29,$B510,'Employees Supported'!$C$2:$C$29)</f>
        <v>1500</v>
      </c>
      <c r="E510" s="2">
        <f t="shared" si="66"/>
        <v>47</v>
      </c>
      <c r="F510" t="str">
        <f t="shared" si="67"/>
        <v>Reserved-47</v>
      </c>
      <c r="G510" t="str">
        <f t="shared" si="69"/>
        <v>SPDReserved-47</v>
      </c>
      <c r="H510" s="2" t="s">
        <v>67</v>
      </c>
      <c r="O510" s="2" t="s">
        <v>2678</v>
      </c>
      <c r="P510" s="3" t="str">
        <f t="shared" si="70"/>
        <v>NR</v>
      </c>
      <c r="R510" s="127">
        <f t="shared" si="71"/>
        <v>0</v>
      </c>
    </row>
    <row r="511" spans="1:18" hidden="1">
      <c r="A511">
        <f t="shared" si="68"/>
        <v>542</v>
      </c>
      <c r="B511" s="42" t="s">
        <v>24</v>
      </c>
      <c r="C511" s="313">
        <f>SUMIF('Employees Supported'!$A$2:$A$29,$B511,'Employees Supported'!$C$2:$C$29)</f>
        <v>1100</v>
      </c>
      <c r="E511" s="2">
        <f t="shared" si="66"/>
        <v>47</v>
      </c>
      <c r="F511" t="str">
        <f t="shared" si="67"/>
        <v>Reserved-47</v>
      </c>
      <c r="G511" t="str">
        <f t="shared" si="69"/>
        <v>SFDReserved-47</v>
      </c>
      <c r="H511" s="2" t="s">
        <v>67</v>
      </c>
      <c r="O511" s="2" t="s">
        <v>2678</v>
      </c>
      <c r="P511" s="3" t="str">
        <f t="shared" si="70"/>
        <v>NR</v>
      </c>
      <c r="R511" s="127">
        <f t="shared" si="71"/>
        <v>0</v>
      </c>
    </row>
    <row r="512" spans="1:18" hidden="1">
      <c r="A512">
        <f t="shared" si="68"/>
        <v>543</v>
      </c>
      <c r="B512" s="42" t="s">
        <v>28</v>
      </c>
      <c r="C512" s="313">
        <f>SUMIF('Employees Supported'!$A$2:$A$29,$B512,'Employees Supported'!$C$2:$C$29)</f>
        <v>1100</v>
      </c>
      <c r="E512" s="2">
        <f t="shared" si="66"/>
        <v>47</v>
      </c>
      <c r="F512" t="str">
        <f t="shared" si="67"/>
        <v>Reserved-47</v>
      </c>
      <c r="G512" t="str">
        <f t="shared" si="69"/>
        <v>SDOTReserved-47</v>
      </c>
      <c r="H512" s="2" t="s">
        <v>67</v>
      </c>
      <c r="O512" s="2" t="s">
        <v>2678</v>
      </c>
      <c r="P512" s="3" t="str">
        <f t="shared" si="70"/>
        <v>NR</v>
      </c>
      <c r="R512" s="127">
        <f t="shared" si="71"/>
        <v>0</v>
      </c>
    </row>
    <row r="513" spans="1:18" hidden="1">
      <c r="A513">
        <f t="shared" si="68"/>
        <v>544</v>
      </c>
      <c r="B513" s="42" t="s">
        <v>33</v>
      </c>
      <c r="C513" s="313">
        <f>SUMIF('Employees Supported'!$A$2:$A$29,$B513,'Employees Supported'!$C$2:$C$29)</f>
        <v>400</v>
      </c>
      <c r="E513" s="2">
        <f t="shared" si="66"/>
        <v>47</v>
      </c>
      <c r="F513" t="str">
        <f t="shared" si="67"/>
        <v>Reserved-47</v>
      </c>
      <c r="G513" t="str">
        <f t="shared" si="69"/>
        <v>SCLReserved-47</v>
      </c>
      <c r="H513" s="2" t="s">
        <v>67</v>
      </c>
      <c r="O513" s="2" t="s">
        <v>2678</v>
      </c>
      <c r="P513" s="3" t="str">
        <f t="shared" si="70"/>
        <v>NR</v>
      </c>
      <c r="R513" s="127">
        <f t="shared" si="71"/>
        <v>0</v>
      </c>
    </row>
    <row r="514" spans="1:18" hidden="1">
      <c r="A514">
        <f t="shared" si="68"/>
        <v>545</v>
      </c>
      <c r="B514" s="42" t="s">
        <v>31</v>
      </c>
      <c r="C514" s="313">
        <f>SUMIF('Employees Supported'!$A$2:$A$29,$B514,'Employees Supported'!$C$2:$C$29)</f>
        <v>700</v>
      </c>
      <c r="E514" s="2">
        <f t="shared" si="66"/>
        <v>47</v>
      </c>
      <c r="F514" t="str">
        <f t="shared" si="67"/>
        <v>Reserved-47</v>
      </c>
      <c r="G514" t="str">
        <f t="shared" si="69"/>
        <v>SeaITReserved-47</v>
      </c>
      <c r="H514" s="2" t="s">
        <v>67</v>
      </c>
      <c r="O514" s="2" t="s">
        <v>2678</v>
      </c>
      <c r="P514" s="3" t="str">
        <f t="shared" si="70"/>
        <v>NR</v>
      </c>
      <c r="R514" s="127">
        <f t="shared" si="71"/>
        <v>0</v>
      </c>
    </row>
    <row r="515" spans="1:18" hidden="1">
      <c r="A515">
        <f t="shared" si="68"/>
        <v>546</v>
      </c>
      <c r="B515" s="42" t="s">
        <v>29</v>
      </c>
      <c r="C515" s="313">
        <f>SUMIF('Employees Supported'!$A$2:$A$29,$B515,'Employees Supported'!$C$2:$C$29)</f>
        <v>550</v>
      </c>
      <c r="E515" s="2">
        <f t="shared" si="66"/>
        <v>47</v>
      </c>
      <c r="F515" t="str">
        <f t="shared" si="67"/>
        <v>Reserved-47</v>
      </c>
      <c r="G515" t="str">
        <f t="shared" si="69"/>
        <v>SDCIReserved-47</v>
      </c>
      <c r="H515" s="2" t="s">
        <v>67</v>
      </c>
      <c r="O515" s="2" t="s">
        <v>2678</v>
      </c>
      <c r="P515" s="3" t="str">
        <f t="shared" si="70"/>
        <v>NR</v>
      </c>
      <c r="R515" s="127">
        <f t="shared" si="71"/>
        <v>0</v>
      </c>
    </row>
    <row r="516" spans="1:18" hidden="1">
      <c r="A516">
        <f t="shared" si="68"/>
        <v>547</v>
      </c>
      <c r="B516" s="42" t="s">
        <v>27</v>
      </c>
      <c r="C516" s="313">
        <f>SUMIF('Employees Supported'!$A$2:$A$29,$B516,'Employees Supported'!$C$2:$C$29)</f>
        <v>400</v>
      </c>
      <c r="E516" s="2">
        <f t="shared" si="66"/>
        <v>47</v>
      </c>
      <c r="F516" t="str">
        <f t="shared" si="67"/>
        <v>Reserved-47</v>
      </c>
      <c r="G516" t="str">
        <f t="shared" si="69"/>
        <v>SPUReserved-47</v>
      </c>
      <c r="H516" s="2" t="s">
        <v>67</v>
      </c>
      <c r="O516" s="2" t="s">
        <v>2678</v>
      </c>
      <c r="P516" s="3" t="str">
        <f t="shared" si="70"/>
        <v>NR</v>
      </c>
      <c r="R516" s="127">
        <f t="shared" si="71"/>
        <v>0</v>
      </c>
    </row>
    <row r="517" spans="1:18" hidden="1">
      <c r="A517">
        <f t="shared" si="68"/>
        <v>548</v>
      </c>
      <c r="B517" s="42" t="s">
        <v>30</v>
      </c>
      <c r="C517" s="313">
        <f>SUMIF('Employees Supported'!$A$2:$A$29,$B517,'Employees Supported'!$C$2:$C$29)</f>
        <v>300</v>
      </c>
      <c r="E517" s="2">
        <f t="shared" si="66"/>
        <v>47</v>
      </c>
      <c r="F517" t="str">
        <f t="shared" si="67"/>
        <v>Reserved-47</v>
      </c>
      <c r="G517" t="str">
        <f t="shared" si="69"/>
        <v>LibrariesReserved-47</v>
      </c>
      <c r="H517" s="2" t="s">
        <v>67</v>
      </c>
      <c r="O517" s="2" t="s">
        <v>2678</v>
      </c>
      <c r="P517" s="3" t="str">
        <f t="shared" si="70"/>
        <v>NR</v>
      </c>
      <c r="R517" s="127">
        <f t="shared" si="71"/>
        <v>0</v>
      </c>
    </row>
    <row r="518" spans="1:18" hidden="1">
      <c r="A518">
        <f t="shared" si="68"/>
        <v>549</v>
      </c>
      <c r="B518" s="42" t="s">
        <v>26</v>
      </c>
      <c r="C518" s="313">
        <f>SUMIF('Employees Supported'!$A$2:$A$29,$B518,'Employees Supported'!$C$2:$C$29)</f>
        <v>400</v>
      </c>
      <c r="E518" s="2">
        <f t="shared" si="66"/>
        <v>47</v>
      </c>
      <c r="F518" t="str">
        <f t="shared" si="67"/>
        <v>Reserved-47</v>
      </c>
      <c r="G518" t="str">
        <f t="shared" si="69"/>
        <v>ParksReserved-47</v>
      </c>
      <c r="H518" s="2" t="s">
        <v>67</v>
      </c>
      <c r="O518" s="2" t="s">
        <v>2678</v>
      </c>
      <c r="P518" s="3" t="str">
        <f t="shared" si="70"/>
        <v>NR</v>
      </c>
      <c r="R518" s="127">
        <f t="shared" si="71"/>
        <v>0</v>
      </c>
    </row>
    <row r="519" spans="1:18" hidden="1">
      <c r="A519">
        <f t="shared" si="68"/>
        <v>550</v>
      </c>
      <c r="B519" s="42" t="s">
        <v>32</v>
      </c>
      <c r="C519" s="313">
        <f>SUMIF('Employees Supported'!$A$2:$A$29,$B519,'Employees Supported'!$C$2:$C$29)</f>
        <v>400</v>
      </c>
      <c r="E519" s="2">
        <f t="shared" ref="E519" si="72">+E508+1</f>
        <v>47</v>
      </c>
      <c r="F519" t="str">
        <f t="shared" si="67"/>
        <v>Reserved-47</v>
      </c>
      <c r="G519" t="str">
        <f t="shared" si="69"/>
        <v>Seattle CtrReserved-47</v>
      </c>
      <c r="H519" s="2" t="s">
        <v>67</v>
      </c>
      <c r="O519" s="2" t="s">
        <v>2678</v>
      </c>
      <c r="P519" s="3" t="str">
        <f t="shared" si="70"/>
        <v>NR</v>
      </c>
      <c r="R519" s="127">
        <f t="shared" si="71"/>
        <v>0</v>
      </c>
    </row>
    <row r="520" spans="1:18">
      <c r="A520">
        <f t="shared" si="68"/>
        <v>551</v>
      </c>
      <c r="B520" s="42" t="s">
        <v>23</v>
      </c>
      <c r="C520" s="313">
        <v>6500</v>
      </c>
      <c r="E520" s="2">
        <f>+E509+1</f>
        <v>48</v>
      </c>
      <c r="F520" t="str">
        <f t="shared" si="67"/>
        <v>Reserved-48</v>
      </c>
      <c r="G520" t="str">
        <f t="shared" si="69"/>
        <v>FAS-CentralizedReserved-48</v>
      </c>
      <c r="H520" s="2" t="s">
        <v>67</v>
      </c>
      <c r="O520" s="2" t="s">
        <v>2678</v>
      </c>
      <c r="P520" s="3" t="str">
        <f t="shared" si="70"/>
        <v>NR</v>
      </c>
      <c r="R520" s="127">
        <f t="shared" si="71"/>
        <v>0</v>
      </c>
    </row>
    <row r="521" spans="1:18" hidden="1">
      <c r="A521">
        <f t="shared" si="68"/>
        <v>552</v>
      </c>
      <c r="B521" s="42" t="s">
        <v>25</v>
      </c>
      <c r="C521" s="313">
        <f>SUMIF('Employees Supported'!$A$2:$A$29,$B521,'Employees Supported'!$C$2:$C$29)</f>
        <v>1500</v>
      </c>
      <c r="E521" s="2">
        <f t="shared" ref="E521:E541" si="73">+E510+1</f>
        <v>48</v>
      </c>
      <c r="F521" t="str">
        <f t="shared" si="67"/>
        <v>Reserved-48</v>
      </c>
      <c r="G521" t="str">
        <f t="shared" si="69"/>
        <v>SPDReserved-48</v>
      </c>
      <c r="H521" s="2" t="s">
        <v>67</v>
      </c>
      <c r="O521" s="2" t="s">
        <v>2678</v>
      </c>
      <c r="P521" s="3" t="str">
        <f t="shared" si="70"/>
        <v>NR</v>
      </c>
      <c r="R521" s="127">
        <f t="shared" si="71"/>
        <v>0</v>
      </c>
    </row>
    <row r="522" spans="1:18" hidden="1">
      <c r="A522">
        <f t="shared" si="68"/>
        <v>553</v>
      </c>
      <c r="B522" s="42" t="s">
        <v>24</v>
      </c>
      <c r="C522" s="313">
        <f>SUMIF('Employees Supported'!$A$2:$A$29,$B522,'Employees Supported'!$C$2:$C$29)</f>
        <v>1100</v>
      </c>
      <c r="E522" s="2">
        <f t="shared" si="73"/>
        <v>48</v>
      </c>
      <c r="F522" t="str">
        <f t="shared" si="67"/>
        <v>Reserved-48</v>
      </c>
      <c r="G522" t="str">
        <f t="shared" si="69"/>
        <v>SFDReserved-48</v>
      </c>
      <c r="H522" s="2" t="s">
        <v>67</v>
      </c>
      <c r="O522" s="2" t="s">
        <v>2678</v>
      </c>
      <c r="P522" s="3" t="str">
        <f t="shared" si="70"/>
        <v>NR</v>
      </c>
      <c r="R522" s="127">
        <f t="shared" si="71"/>
        <v>0</v>
      </c>
    </row>
    <row r="523" spans="1:18" hidden="1">
      <c r="A523">
        <f t="shared" si="68"/>
        <v>554</v>
      </c>
      <c r="B523" s="42" t="s">
        <v>28</v>
      </c>
      <c r="C523" s="313">
        <f>SUMIF('Employees Supported'!$A$2:$A$29,$B523,'Employees Supported'!$C$2:$C$29)</f>
        <v>1100</v>
      </c>
      <c r="E523" s="2">
        <f t="shared" si="73"/>
        <v>48</v>
      </c>
      <c r="F523" t="str">
        <f t="shared" ref="F523:F586" si="74">_xlfn.SINGLE(_xlfn.CONCAT("Reserved-",E523))</f>
        <v>Reserved-48</v>
      </c>
      <c r="G523" t="str">
        <f t="shared" si="69"/>
        <v>SDOTReserved-48</v>
      </c>
      <c r="H523" s="2" t="s">
        <v>67</v>
      </c>
      <c r="O523" s="2" t="s">
        <v>2678</v>
      </c>
      <c r="P523" s="3" t="str">
        <f t="shared" si="70"/>
        <v>NR</v>
      </c>
      <c r="R523" s="127">
        <f t="shared" si="71"/>
        <v>0</v>
      </c>
    </row>
    <row r="524" spans="1:18" hidden="1">
      <c r="A524">
        <f t="shared" si="68"/>
        <v>555</v>
      </c>
      <c r="B524" s="42" t="s">
        <v>33</v>
      </c>
      <c r="C524" s="313">
        <f>SUMIF('Employees Supported'!$A$2:$A$29,$B524,'Employees Supported'!$C$2:$C$29)</f>
        <v>400</v>
      </c>
      <c r="E524" s="2">
        <f t="shared" si="73"/>
        <v>48</v>
      </c>
      <c r="F524" t="str">
        <f t="shared" si="74"/>
        <v>Reserved-48</v>
      </c>
      <c r="G524" t="str">
        <f t="shared" si="69"/>
        <v>SCLReserved-48</v>
      </c>
      <c r="H524" s="2" t="s">
        <v>67</v>
      </c>
      <c r="O524" s="2" t="s">
        <v>2678</v>
      </c>
      <c r="P524" s="3" t="str">
        <f t="shared" si="70"/>
        <v>NR</v>
      </c>
      <c r="R524" s="127">
        <f t="shared" si="71"/>
        <v>0</v>
      </c>
    </row>
    <row r="525" spans="1:18" hidden="1">
      <c r="A525">
        <f t="shared" si="68"/>
        <v>556</v>
      </c>
      <c r="B525" s="42" t="s">
        <v>31</v>
      </c>
      <c r="C525" s="313">
        <f>SUMIF('Employees Supported'!$A$2:$A$29,$B525,'Employees Supported'!$C$2:$C$29)</f>
        <v>700</v>
      </c>
      <c r="E525" s="2">
        <f t="shared" si="73"/>
        <v>48</v>
      </c>
      <c r="F525" t="str">
        <f t="shared" si="74"/>
        <v>Reserved-48</v>
      </c>
      <c r="G525" t="str">
        <f t="shared" si="69"/>
        <v>SeaITReserved-48</v>
      </c>
      <c r="H525" s="2" t="s">
        <v>67</v>
      </c>
      <c r="O525" s="2" t="s">
        <v>2678</v>
      </c>
      <c r="P525" s="3" t="str">
        <f t="shared" si="70"/>
        <v>NR</v>
      </c>
      <c r="R525" s="127">
        <f t="shared" si="71"/>
        <v>0</v>
      </c>
    </row>
    <row r="526" spans="1:18" hidden="1">
      <c r="A526">
        <f t="shared" si="68"/>
        <v>557</v>
      </c>
      <c r="B526" s="42" t="s">
        <v>29</v>
      </c>
      <c r="C526" s="313">
        <f>SUMIF('Employees Supported'!$A$2:$A$29,$B526,'Employees Supported'!$C$2:$C$29)</f>
        <v>550</v>
      </c>
      <c r="E526" s="2">
        <f t="shared" si="73"/>
        <v>48</v>
      </c>
      <c r="F526" t="str">
        <f t="shared" si="74"/>
        <v>Reserved-48</v>
      </c>
      <c r="G526" t="str">
        <f t="shared" si="69"/>
        <v>SDCIReserved-48</v>
      </c>
      <c r="H526" s="2" t="s">
        <v>67</v>
      </c>
      <c r="O526" s="2" t="s">
        <v>2678</v>
      </c>
      <c r="P526" s="3" t="str">
        <f t="shared" si="70"/>
        <v>NR</v>
      </c>
      <c r="R526" s="127">
        <f t="shared" si="71"/>
        <v>0</v>
      </c>
    </row>
    <row r="527" spans="1:18" hidden="1">
      <c r="A527">
        <f t="shared" si="68"/>
        <v>558</v>
      </c>
      <c r="B527" s="42" t="s">
        <v>27</v>
      </c>
      <c r="C527" s="313">
        <f>SUMIF('Employees Supported'!$A$2:$A$29,$B527,'Employees Supported'!$C$2:$C$29)</f>
        <v>400</v>
      </c>
      <c r="E527" s="2">
        <f t="shared" si="73"/>
        <v>48</v>
      </c>
      <c r="F527" t="str">
        <f t="shared" si="74"/>
        <v>Reserved-48</v>
      </c>
      <c r="G527" t="str">
        <f t="shared" si="69"/>
        <v>SPUReserved-48</v>
      </c>
      <c r="H527" s="2" t="s">
        <v>67</v>
      </c>
      <c r="O527" s="2" t="s">
        <v>2678</v>
      </c>
      <c r="P527" s="3" t="str">
        <f t="shared" si="70"/>
        <v>NR</v>
      </c>
      <c r="R527" s="127">
        <f t="shared" si="71"/>
        <v>0</v>
      </c>
    </row>
    <row r="528" spans="1:18" hidden="1">
      <c r="A528">
        <f t="shared" si="68"/>
        <v>559</v>
      </c>
      <c r="B528" s="42" t="s">
        <v>30</v>
      </c>
      <c r="C528" s="313">
        <f>SUMIF('Employees Supported'!$A$2:$A$29,$B528,'Employees Supported'!$C$2:$C$29)</f>
        <v>300</v>
      </c>
      <c r="E528" s="2">
        <f t="shared" si="73"/>
        <v>48</v>
      </c>
      <c r="F528" t="str">
        <f t="shared" si="74"/>
        <v>Reserved-48</v>
      </c>
      <c r="G528" t="str">
        <f t="shared" si="69"/>
        <v>LibrariesReserved-48</v>
      </c>
      <c r="H528" s="2" t="s">
        <v>67</v>
      </c>
      <c r="O528" s="2" t="s">
        <v>2678</v>
      </c>
      <c r="P528" s="3" t="str">
        <f t="shared" si="70"/>
        <v>NR</v>
      </c>
      <c r="R528" s="127">
        <f t="shared" si="71"/>
        <v>0</v>
      </c>
    </row>
    <row r="529" spans="1:18" hidden="1">
      <c r="A529">
        <f t="shared" si="68"/>
        <v>560</v>
      </c>
      <c r="B529" s="42" t="s">
        <v>26</v>
      </c>
      <c r="C529" s="313">
        <f>SUMIF('Employees Supported'!$A$2:$A$29,$B529,'Employees Supported'!$C$2:$C$29)</f>
        <v>400</v>
      </c>
      <c r="E529" s="2">
        <f t="shared" si="73"/>
        <v>48</v>
      </c>
      <c r="F529" t="str">
        <f t="shared" si="74"/>
        <v>Reserved-48</v>
      </c>
      <c r="G529" t="str">
        <f t="shared" si="69"/>
        <v>ParksReserved-48</v>
      </c>
      <c r="H529" s="2" t="s">
        <v>67</v>
      </c>
      <c r="O529" s="2" t="s">
        <v>2678</v>
      </c>
      <c r="P529" s="3" t="str">
        <f t="shared" si="70"/>
        <v>NR</v>
      </c>
      <c r="R529" s="127">
        <f t="shared" si="71"/>
        <v>0</v>
      </c>
    </row>
    <row r="530" spans="1:18" hidden="1">
      <c r="A530">
        <f t="shared" si="68"/>
        <v>561</v>
      </c>
      <c r="B530" s="42" t="s">
        <v>32</v>
      </c>
      <c r="C530" s="313">
        <f>SUMIF('Employees Supported'!$A$2:$A$29,$B530,'Employees Supported'!$C$2:$C$29)</f>
        <v>400</v>
      </c>
      <c r="E530" s="2">
        <f t="shared" si="73"/>
        <v>48</v>
      </c>
      <c r="F530" t="str">
        <f t="shared" si="74"/>
        <v>Reserved-48</v>
      </c>
      <c r="G530" t="str">
        <f t="shared" si="69"/>
        <v>Seattle CtrReserved-48</v>
      </c>
      <c r="H530" s="2" t="s">
        <v>67</v>
      </c>
      <c r="O530" s="2" t="s">
        <v>2678</v>
      </c>
      <c r="P530" s="3" t="str">
        <f t="shared" si="70"/>
        <v>NR</v>
      </c>
      <c r="R530" s="127">
        <f t="shared" si="71"/>
        <v>0</v>
      </c>
    </row>
    <row r="531" spans="1:18">
      <c r="A531">
        <f t="shared" si="68"/>
        <v>562</v>
      </c>
      <c r="B531" s="42" t="s">
        <v>23</v>
      </c>
      <c r="C531" s="313">
        <v>6500</v>
      </c>
      <c r="E531" s="2">
        <f>+E520+1</f>
        <v>49</v>
      </c>
      <c r="F531" t="str">
        <f t="shared" si="74"/>
        <v>Reserved-49</v>
      </c>
      <c r="G531" t="str">
        <f t="shared" si="69"/>
        <v>FAS-CentralizedReserved-49</v>
      </c>
      <c r="H531" s="2" t="s">
        <v>67</v>
      </c>
      <c r="O531" s="2" t="s">
        <v>2678</v>
      </c>
      <c r="P531" s="3" t="str">
        <f t="shared" si="70"/>
        <v>NR</v>
      </c>
      <c r="R531" s="127">
        <f t="shared" si="71"/>
        <v>0</v>
      </c>
    </row>
    <row r="532" spans="1:18" hidden="1">
      <c r="A532">
        <f t="shared" si="68"/>
        <v>563</v>
      </c>
      <c r="B532" s="42" t="s">
        <v>25</v>
      </c>
      <c r="C532" s="313">
        <f>SUMIF('Employees Supported'!$A$2:$A$29,$B532,'Employees Supported'!$C$2:$C$29)</f>
        <v>1500</v>
      </c>
      <c r="E532" s="2">
        <f t="shared" si="73"/>
        <v>49</v>
      </c>
      <c r="F532" t="str">
        <f t="shared" si="74"/>
        <v>Reserved-49</v>
      </c>
      <c r="G532" t="str">
        <f t="shared" si="69"/>
        <v>SPDReserved-49</v>
      </c>
      <c r="H532" s="2" t="s">
        <v>67</v>
      </c>
      <c r="O532" s="2" t="s">
        <v>2678</v>
      </c>
      <c r="P532" s="3" t="str">
        <f t="shared" si="70"/>
        <v>NR</v>
      </c>
      <c r="R532" s="127">
        <f t="shared" si="71"/>
        <v>0</v>
      </c>
    </row>
    <row r="533" spans="1:18" hidden="1">
      <c r="A533">
        <f t="shared" si="68"/>
        <v>564</v>
      </c>
      <c r="B533" s="42" t="s">
        <v>24</v>
      </c>
      <c r="C533" s="313">
        <f>SUMIF('Employees Supported'!$A$2:$A$29,$B533,'Employees Supported'!$C$2:$C$29)</f>
        <v>1100</v>
      </c>
      <c r="E533" s="2">
        <f t="shared" si="73"/>
        <v>49</v>
      </c>
      <c r="F533" t="str">
        <f t="shared" si="74"/>
        <v>Reserved-49</v>
      </c>
      <c r="G533" t="str">
        <f t="shared" si="69"/>
        <v>SFDReserved-49</v>
      </c>
      <c r="H533" s="2" t="s">
        <v>67</v>
      </c>
      <c r="O533" s="2" t="s">
        <v>2678</v>
      </c>
      <c r="P533" s="3" t="str">
        <f t="shared" si="70"/>
        <v>NR</v>
      </c>
      <c r="R533" s="127">
        <f t="shared" si="71"/>
        <v>0</v>
      </c>
    </row>
    <row r="534" spans="1:18" hidden="1">
      <c r="A534">
        <f t="shared" si="68"/>
        <v>565</v>
      </c>
      <c r="B534" s="42" t="s">
        <v>28</v>
      </c>
      <c r="C534" s="313">
        <f>SUMIF('Employees Supported'!$A$2:$A$29,$B534,'Employees Supported'!$C$2:$C$29)</f>
        <v>1100</v>
      </c>
      <c r="E534" s="2">
        <f t="shared" si="73"/>
        <v>49</v>
      </c>
      <c r="F534" t="str">
        <f t="shared" si="74"/>
        <v>Reserved-49</v>
      </c>
      <c r="G534" t="str">
        <f t="shared" si="69"/>
        <v>SDOTReserved-49</v>
      </c>
      <c r="H534" s="2" t="s">
        <v>67</v>
      </c>
      <c r="O534" s="2" t="s">
        <v>2678</v>
      </c>
      <c r="P534" s="3" t="str">
        <f t="shared" si="70"/>
        <v>NR</v>
      </c>
      <c r="R534" s="127">
        <f t="shared" si="71"/>
        <v>0</v>
      </c>
    </row>
    <row r="535" spans="1:18" hidden="1">
      <c r="A535">
        <f t="shared" si="68"/>
        <v>566</v>
      </c>
      <c r="B535" s="42" t="s">
        <v>33</v>
      </c>
      <c r="C535" s="313">
        <f>SUMIF('Employees Supported'!$A$2:$A$29,$B535,'Employees Supported'!$C$2:$C$29)</f>
        <v>400</v>
      </c>
      <c r="E535" s="2">
        <f t="shared" si="73"/>
        <v>49</v>
      </c>
      <c r="F535" t="str">
        <f t="shared" si="74"/>
        <v>Reserved-49</v>
      </c>
      <c r="G535" t="str">
        <f t="shared" si="69"/>
        <v>SCLReserved-49</v>
      </c>
      <c r="H535" s="2" t="s">
        <v>67</v>
      </c>
      <c r="O535" s="2" t="s">
        <v>2678</v>
      </c>
      <c r="P535" s="3" t="str">
        <f t="shared" si="70"/>
        <v>NR</v>
      </c>
      <c r="R535" s="127">
        <f t="shared" si="71"/>
        <v>0</v>
      </c>
    </row>
    <row r="536" spans="1:18" hidden="1">
      <c r="A536">
        <f t="shared" si="68"/>
        <v>567</v>
      </c>
      <c r="B536" s="42" t="s">
        <v>31</v>
      </c>
      <c r="C536" s="313">
        <f>SUMIF('Employees Supported'!$A$2:$A$29,$B536,'Employees Supported'!$C$2:$C$29)</f>
        <v>700</v>
      </c>
      <c r="E536" s="2">
        <f t="shared" si="73"/>
        <v>49</v>
      </c>
      <c r="F536" t="str">
        <f t="shared" si="74"/>
        <v>Reserved-49</v>
      </c>
      <c r="G536" t="str">
        <f t="shared" si="69"/>
        <v>SeaITReserved-49</v>
      </c>
      <c r="H536" s="2" t="s">
        <v>67</v>
      </c>
      <c r="O536" s="2" t="s">
        <v>2678</v>
      </c>
      <c r="P536" s="3" t="str">
        <f t="shared" si="70"/>
        <v>NR</v>
      </c>
      <c r="R536" s="127">
        <f t="shared" si="71"/>
        <v>0</v>
      </c>
    </row>
    <row r="537" spans="1:18" hidden="1">
      <c r="A537">
        <f t="shared" si="68"/>
        <v>568</v>
      </c>
      <c r="B537" s="42" t="s">
        <v>29</v>
      </c>
      <c r="C537" s="313">
        <f>SUMIF('Employees Supported'!$A$2:$A$29,$B537,'Employees Supported'!$C$2:$C$29)</f>
        <v>550</v>
      </c>
      <c r="E537" s="2">
        <f t="shared" si="73"/>
        <v>49</v>
      </c>
      <c r="F537" t="str">
        <f t="shared" si="74"/>
        <v>Reserved-49</v>
      </c>
      <c r="G537" t="str">
        <f t="shared" si="69"/>
        <v>SDCIReserved-49</v>
      </c>
      <c r="H537" s="2" t="s">
        <v>67</v>
      </c>
      <c r="O537" s="2" t="s">
        <v>2678</v>
      </c>
      <c r="P537" s="3" t="str">
        <f t="shared" si="70"/>
        <v>NR</v>
      </c>
      <c r="R537" s="127">
        <f t="shared" si="71"/>
        <v>0</v>
      </c>
    </row>
    <row r="538" spans="1:18" hidden="1">
      <c r="A538">
        <f t="shared" si="68"/>
        <v>569</v>
      </c>
      <c r="B538" s="42" t="s">
        <v>27</v>
      </c>
      <c r="C538" s="313">
        <f>SUMIF('Employees Supported'!$A$2:$A$29,$B538,'Employees Supported'!$C$2:$C$29)</f>
        <v>400</v>
      </c>
      <c r="E538" s="2">
        <f t="shared" si="73"/>
        <v>49</v>
      </c>
      <c r="F538" t="str">
        <f t="shared" si="74"/>
        <v>Reserved-49</v>
      </c>
      <c r="G538" t="str">
        <f t="shared" si="69"/>
        <v>SPUReserved-49</v>
      </c>
      <c r="H538" s="2" t="s">
        <v>67</v>
      </c>
      <c r="O538" s="2" t="s">
        <v>2678</v>
      </c>
      <c r="P538" s="3" t="str">
        <f t="shared" si="70"/>
        <v>NR</v>
      </c>
      <c r="R538" s="127">
        <f t="shared" si="71"/>
        <v>0</v>
      </c>
    </row>
    <row r="539" spans="1:18" hidden="1">
      <c r="A539">
        <f t="shared" si="68"/>
        <v>570</v>
      </c>
      <c r="B539" s="42" t="s">
        <v>30</v>
      </c>
      <c r="C539" s="313">
        <f>SUMIF('Employees Supported'!$A$2:$A$29,$B539,'Employees Supported'!$C$2:$C$29)</f>
        <v>300</v>
      </c>
      <c r="E539" s="2">
        <f t="shared" si="73"/>
        <v>49</v>
      </c>
      <c r="F539" t="str">
        <f t="shared" si="74"/>
        <v>Reserved-49</v>
      </c>
      <c r="G539" t="str">
        <f t="shared" si="69"/>
        <v>LibrariesReserved-49</v>
      </c>
      <c r="H539" s="2" t="s">
        <v>67</v>
      </c>
      <c r="O539" s="2" t="s">
        <v>2678</v>
      </c>
      <c r="P539" s="3" t="str">
        <f t="shared" si="70"/>
        <v>NR</v>
      </c>
      <c r="R539" s="127">
        <f t="shared" si="71"/>
        <v>0</v>
      </c>
    </row>
    <row r="540" spans="1:18" hidden="1">
      <c r="A540">
        <f t="shared" si="68"/>
        <v>571</v>
      </c>
      <c r="B540" s="42" t="s">
        <v>26</v>
      </c>
      <c r="C540" s="313">
        <f>SUMIF('Employees Supported'!$A$2:$A$29,$B540,'Employees Supported'!$C$2:$C$29)</f>
        <v>400</v>
      </c>
      <c r="E540" s="2">
        <f t="shared" si="73"/>
        <v>49</v>
      </c>
      <c r="F540" t="str">
        <f t="shared" si="74"/>
        <v>Reserved-49</v>
      </c>
      <c r="G540" t="str">
        <f t="shared" si="69"/>
        <v>ParksReserved-49</v>
      </c>
      <c r="H540" s="2" t="s">
        <v>67</v>
      </c>
      <c r="O540" s="2" t="s">
        <v>2678</v>
      </c>
      <c r="P540" s="3" t="str">
        <f t="shared" si="70"/>
        <v>NR</v>
      </c>
      <c r="R540" s="127">
        <f t="shared" si="71"/>
        <v>0</v>
      </c>
    </row>
    <row r="541" spans="1:18" hidden="1">
      <c r="A541">
        <f t="shared" si="68"/>
        <v>572</v>
      </c>
      <c r="B541" s="42" t="s">
        <v>32</v>
      </c>
      <c r="C541" s="313">
        <f>SUMIF('Employees Supported'!$A$2:$A$29,$B541,'Employees Supported'!$C$2:$C$29)</f>
        <v>400</v>
      </c>
      <c r="E541" s="2">
        <f t="shared" si="73"/>
        <v>49</v>
      </c>
      <c r="F541" t="str">
        <f t="shared" si="74"/>
        <v>Reserved-49</v>
      </c>
      <c r="G541" t="str">
        <f t="shared" si="69"/>
        <v>Seattle CtrReserved-49</v>
      </c>
      <c r="H541" s="2" t="s">
        <v>67</v>
      </c>
      <c r="O541" s="2" t="s">
        <v>2678</v>
      </c>
      <c r="P541" s="3" t="str">
        <f t="shared" si="70"/>
        <v>NR</v>
      </c>
      <c r="R541" s="127">
        <f t="shared" si="71"/>
        <v>0</v>
      </c>
    </row>
    <row r="542" spans="1:18">
      <c r="A542">
        <f t="shared" si="68"/>
        <v>573</v>
      </c>
      <c r="B542" s="42" t="s">
        <v>23</v>
      </c>
      <c r="C542" s="313">
        <v>6500</v>
      </c>
      <c r="E542" s="2">
        <f>+E531+1</f>
        <v>50</v>
      </c>
      <c r="F542" t="str">
        <f t="shared" si="74"/>
        <v>Reserved-50</v>
      </c>
      <c r="G542" t="str">
        <f t="shared" si="69"/>
        <v>FAS-CentralizedReserved-50</v>
      </c>
      <c r="H542" s="2" t="s">
        <v>67</v>
      </c>
      <c r="O542" s="2" t="s">
        <v>2678</v>
      </c>
      <c r="P542" s="3" t="str">
        <f t="shared" si="70"/>
        <v>NR</v>
      </c>
      <c r="R542" s="127">
        <f t="shared" si="71"/>
        <v>0</v>
      </c>
    </row>
    <row r="543" spans="1:18" hidden="1">
      <c r="A543">
        <f t="shared" si="68"/>
        <v>574</v>
      </c>
      <c r="B543" s="42" t="s">
        <v>25</v>
      </c>
      <c r="C543" s="313">
        <f>SUMIF('Employees Supported'!$A$2:$A$29,$B543,'Employees Supported'!$C$2:$C$29)</f>
        <v>1500</v>
      </c>
      <c r="E543" s="2">
        <f t="shared" ref="E543:E606" si="75">+E532+1</f>
        <v>50</v>
      </c>
      <c r="F543" t="str">
        <f t="shared" si="74"/>
        <v>Reserved-50</v>
      </c>
      <c r="G543" t="str">
        <f t="shared" si="69"/>
        <v>SPDReserved-50</v>
      </c>
      <c r="H543" s="2" t="s">
        <v>67</v>
      </c>
      <c r="O543" s="2" t="s">
        <v>2678</v>
      </c>
      <c r="P543" s="3" t="str">
        <f t="shared" si="70"/>
        <v>NR</v>
      </c>
      <c r="R543" s="127">
        <f t="shared" si="71"/>
        <v>0</v>
      </c>
    </row>
    <row r="544" spans="1:18" hidden="1">
      <c r="A544">
        <f t="shared" si="68"/>
        <v>575</v>
      </c>
      <c r="B544" s="42" t="s">
        <v>24</v>
      </c>
      <c r="C544" s="313">
        <f>SUMIF('Employees Supported'!$A$2:$A$29,$B544,'Employees Supported'!$C$2:$C$29)</f>
        <v>1100</v>
      </c>
      <c r="E544" s="2">
        <f t="shared" si="75"/>
        <v>50</v>
      </c>
      <c r="F544" t="str">
        <f t="shared" si="74"/>
        <v>Reserved-50</v>
      </c>
      <c r="G544" t="str">
        <f t="shared" si="69"/>
        <v>SFDReserved-50</v>
      </c>
      <c r="H544" s="2" t="s">
        <v>67</v>
      </c>
      <c r="O544" s="2" t="s">
        <v>2678</v>
      </c>
      <c r="P544" s="3" t="str">
        <f t="shared" si="70"/>
        <v>NR</v>
      </c>
      <c r="R544" s="127">
        <f t="shared" si="71"/>
        <v>0</v>
      </c>
    </row>
    <row r="545" spans="1:18" hidden="1">
      <c r="A545">
        <f t="shared" si="68"/>
        <v>576</v>
      </c>
      <c r="B545" s="42" t="s">
        <v>28</v>
      </c>
      <c r="C545" s="313">
        <f>SUMIF('Employees Supported'!$A$2:$A$29,$B545,'Employees Supported'!$C$2:$C$29)</f>
        <v>1100</v>
      </c>
      <c r="E545" s="2">
        <f t="shared" si="75"/>
        <v>50</v>
      </c>
      <c r="F545" t="str">
        <f t="shared" si="74"/>
        <v>Reserved-50</v>
      </c>
      <c r="G545" t="str">
        <f t="shared" si="69"/>
        <v>SDOTReserved-50</v>
      </c>
      <c r="H545" s="2" t="s">
        <v>67</v>
      </c>
      <c r="O545" s="2" t="s">
        <v>2678</v>
      </c>
      <c r="P545" s="3" t="str">
        <f t="shared" si="70"/>
        <v>NR</v>
      </c>
      <c r="R545" s="127">
        <f t="shared" si="71"/>
        <v>0</v>
      </c>
    </row>
    <row r="546" spans="1:18" hidden="1">
      <c r="A546">
        <f t="shared" si="68"/>
        <v>577</v>
      </c>
      <c r="B546" s="42" t="s">
        <v>33</v>
      </c>
      <c r="C546" s="313">
        <f>SUMIF('Employees Supported'!$A$2:$A$29,$B546,'Employees Supported'!$C$2:$C$29)</f>
        <v>400</v>
      </c>
      <c r="E546" s="2">
        <f t="shared" si="75"/>
        <v>50</v>
      </c>
      <c r="F546" t="str">
        <f t="shared" si="74"/>
        <v>Reserved-50</v>
      </c>
      <c r="G546" t="str">
        <f t="shared" si="69"/>
        <v>SCLReserved-50</v>
      </c>
      <c r="H546" s="2" t="s">
        <v>67</v>
      </c>
      <c r="O546" s="2" t="s">
        <v>2678</v>
      </c>
      <c r="P546" s="3" t="str">
        <f t="shared" si="70"/>
        <v>NR</v>
      </c>
      <c r="R546" s="127">
        <f t="shared" si="71"/>
        <v>0</v>
      </c>
    </row>
    <row r="547" spans="1:18" hidden="1">
      <c r="A547">
        <f t="shared" si="68"/>
        <v>578</v>
      </c>
      <c r="B547" s="42" t="s">
        <v>31</v>
      </c>
      <c r="C547" s="313">
        <f>SUMIF('Employees Supported'!$A$2:$A$29,$B547,'Employees Supported'!$C$2:$C$29)</f>
        <v>700</v>
      </c>
      <c r="E547" s="2">
        <f t="shared" si="75"/>
        <v>50</v>
      </c>
      <c r="F547" t="str">
        <f t="shared" si="74"/>
        <v>Reserved-50</v>
      </c>
      <c r="G547" t="str">
        <f t="shared" si="69"/>
        <v>SeaITReserved-50</v>
      </c>
      <c r="H547" s="2" t="s">
        <v>67</v>
      </c>
      <c r="O547" s="2" t="s">
        <v>2678</v>
      </c>
      <c r="P547" s="3" t="str">
        <f t="shared" si="70"/>
        <v>NR</v>
      </c>
      <c r="R547" s="127">
        <f t="shared" si="71"/>
        <v>0</v>
      </c>
    </row>
    <row r="548" spans="1:18" hidden="1">
      <c r="A548">
        <f t="shared" si="68"/>
        <v>579</v>
      </c>
      <c r="B548" s="42" t="s">
        <v>29</v>
      </c>
      <c r="C548" s="313">
        <f>SUMIF('Employees Supported'!$A$2:$A$29,$B548,'Employees Supported'!$C$2:$C$29)</f>
        <v>550</v>
      </c>
      <c r="E548" s="2">
        <f t="shared" si="75"/>
        <v>50</v>
      </c>
      <c r="F548" t="str">
        <f t="shared" si="74"/>
        <v>Reserved-50</v>
      </c>
      <c r="G548" t="str">
        <f t="shared" si="69"/>
        <v>SDCIReserved-50</v>
      </c>
      <c r="H548" s="2" t="s">
        <v>67</v>
      </c>
      <c r="O548" s="2" t="s">
        <v>2678</v>
      </c>
      <c r="P548" s="3" t="str">
        <f t="shared" si="70"/>
        <v>NR</v>
      </c>
      <c r="R548" s="127">
        <f t="shared" si="71"/>
        <v>0</v>
      </c>
    </row>
    <row r="549" spans="1:18" hidden="1">
      <c r="A549">
        <f t="shared" si="68"/>
        <v>580</v>
      </c>
      <c r="B549" s="42" t="s">
        <v>27</v>
      </c>
      <c r="C549" s="313">
        <f>SUMIF('Employees Supported'!$A$2:$A$29,$B549,'Employees Supported'!$C$2:$C$29)</f>
        <v>400</v>
      </c>
      <c r="E549" s="2">
        <f t="shared" si="75"/>
        <v>50</v>
      </c>
      <c r="F549" t="str">
        <f t="shared" si="74"/>
        <v>Reserved-50</v>
      </c>
      <c r="G549" t="str">
        <f t="shared" si="69"/>
        <v>SPUReserved-50</v>
      </c>
      <c r="H549" s="2" t="s">
        <v>67</v>
      </c>
      <c r="O549" s="2" t="s">
        <v>2678</v>
      </c>
      <c r="P549" s="3" t="str">
        <f t="shared" si="70"/>
        <v>NR</v>
      </c>
      <c r="R549" s="127">
        <f t="shared" si="71"/>
        <v>0</v>
      </c>
    </row>
    <row r="550" spans="1:18" hidden="1">
      <c r="A550">
        <f t="shared" si="68"/>
        <v>581</v>
      </c>
      <c r="B550" s="42" t="s">
        <v>30</v>
      </c>
      <c r="C550" s="313">
        <f>SUMIF('Employees Supported'!$A$2:$A$29,$B550,'Employees Supported'!$C$2:$C$29)</f>
        <v>300</v>
      </c>
      <c r="E550" s="2">
        <f t="shared" si="75"/>
        <v>50</v>
      </c>
      <c r="F550" t="str">
        <f t="shared" si="74"/>
        <v>Reserved-50</v>
      </c>
      <c r="G550" t="str">
        <f t="shared" si="69"/>
        <v>LibrariesReserved-50</v>
      </c>
      <c r="H550" s="2" t="s">
        <v>67</v>
      </c>
      <c r="O550" s="2" t="s">
        <v>2678</v>
      </c>
      <c r="P550" s="3" t="str">
        <f t="shared" si="70"/>
        <v>NR</v>
      </c>
      <c r="R550" s="127">
        <f t="shared" si="71"/>
        <v>0</v>
      </c>
    </row>
    <row r="551" spans="1:18" hidden="1">
      <c r="A551">
        <f t="shared" si="68"/>
        <v>582</v>
      </c>
      <c r="B551" s="42" t="s">
        <v>26</v>
      </c>
      <c r="C551" s="313">
        <f>SUMIF('Employees Supported'!$A$2:$A$29,$B551,'Employees Supported'!$C$2:$C$29)</f>
        <v>400</v>
      </c>
      <c r="E551" s="2">
        <f t="shared" si="75"/>
        <v>50</v>
      </c>
      <c r="F551" t="str">
        <f t="shared" si="74"/>
        <v>Reserved-50</v>
      </c>
      <c r="G551" t="str">
        <f t="shared" si="69"/>
        <v>ParksReserved-50</v>
      </c>
      <c r="H551" s="2" t="s">
        <v>67</v>
      </c>
      <c r="O551" s="2" t="s">
        <v>2678</v>
      </c>
      <c r="P551" s="3" t="str">
        <f t="shared" si="70"/>
        <v>NR</v>
      </c>
      <c r="R551" s="127">
        <f t="shared" si="71"/>
        <v>0</v>
      </c>
    </row>
    <row r="552" spans="1:18" hidden="1">
      <c r="A552">
        <f t="shared" si="68"/>
        <v>583</v>
      </c>
      <c r="B552" s="42" t="s">
        <v>32</v>
      </c>
      <c r="C552" s="313">
        <f>SUMIF('Employees Supported'!$A$2:$A$29,$B552,'Employees Supported'!$C$2:$C$29)</f>
        <v>400</v>
      </c>
      <c r="E552" s="2">
        <f t="shared" si="75"/>
        <v>50</v>
      </c>
      <c r="F552" t="str">
        <f t="shared" si="74"/>
        <v>Reserved-50</v>
      </c>
      <c r="G552" t="str">
        <f t="shared" si="69"/>
        <v>Seattle CtrReserved-50</v>
      </c>
      <c r="H552" s="2" t="s">
        <v>67</v>
      </c>
      <c r="O552" s="2" t="s">
        <v>2678</v>
      </c>
      <c r="P552" s="3" t="str">
        <f t="shared" si="70"/>
        <v>NR</v>
      </c>
      <c r="R552" s="127">
        <f t="shared" si="71"/>
        <v>0</v>
      </c>
    </row>
    <row r="553" spans="1:18">
      <c r="A553">
        <f t="shared" si="68"/>
        <v>584</v>
      </c>
      <c r="B553" s="42" t="s">
        <v>23</v>
      </c>
      <c r="C553" s="313">
        <v>6500</v>
      </c>
      <c r="E553" s="2">
        <f>+E542+1</f>
        <v>51</v>
      </c>
      <c r="F553" t="str">
        <f t="shared" si="74"/>
        <v>Reserved-51</v>
      </c>
      <c r="G553" t="str">
        <f t="shared" si="69"/>
        <v>FAS-CentralizedReserved-51</v>
      </c>
      <c r="H553" s="2" t="s">
        <v>67</v>
      </c>
      <c r="O553" s="2" t="s">
        <v>2678</v>
      </c>
      <c r="P553" s="3" t="str">
        <f t="shared" si="70"/>
        <v>NR</v>
      </c>
      <c r="R553" s="127">
        <f t="shared" si="71"/>
        <v>0</v>
      </c>
    </row>
    <row r="554" spans="1:18" hidden="1">
      <c r="A554">
        <f t="shared" si="68"/>
        <v>585</v>
      </c>
      <c r="B554" s="42" t="s">
        <v>25</v>
      </c>
      <c r="C554" s="313">
        <f>SUMIF('Employees Supported'!$A$2:$A$29,$B554,'Employees Supported'!$C$2:$C$29)</f>
        <v>1500</v>
      </c>
      <c r="E554" s="2">
        <f t="shared" si="75"/>
        <v>51</v>
      </c>
      <c r="F554" t="str">
        <f t="shared" si="74"/>
        <v>Reserved-51</v>
      </c>
      <c r="G554" t="str">
        <f t="shared" si="69"/>
        <v>SPDReserved-51</v>
      </c>
      <c r="H554" s="2" t="s">
        <v>67</v>
      </c>
      <c r="O554" s="2" t="s">
        <v>2678</v>
      </c>
      <c r="P554" s="3" t="str">
        <f t="shared" si="70"/>
        <v>NR</v>
      </c>
      <c r="R554" s="127">
        <f t="shared" si="71"/>
        <v>0</v>
      </c>
    </row>
    <row r="555" spans="1:18" hidden="1">
      <c r="A555">
        <f t="shared" si="68"/>
        <v>586</v>
      </c>
      <c r="B555" s="42" t="s">
        <v>24</v>
      </c>
      <c r="C555" s="313">
        <f>SUMIF('Employees Supported'!$A$2:$A$29,$B555,'Employees Supported'!$C$2:$C$29)</f>
        <v>1100</v>
      </c>
      <c r="E555" s="2">
        <f t="shared" si="75"/>
        <v>51</v>
      </c>
      <c r="F555" t="str">
        <f t="shared" si="74"/>
        <v>Reserved-51</v>
      </c>
      <c r="G555" t="str">
        <f t="shared" si="69"/>
        <v>SFDReserved-51</v>
      </c>
      <c r="H555" s="2" t="s">
        <v>67</v>
      </c>
      <c r="O555" s="2" t="s">
        <v>2678</v>
      </c>
      <c r="P555" s="3" t="str">
        <f t="shared" si="70"/>
        <v>NR</v>
      </c>
      <c r="R555" s="127">
        <f t="shared" si="71"/>
        <v>0</v>
      </c>
    </row>
    <row r="556" spans="1:18" hidden="1">
      <c r="A556">
        <f t="shared" si="68"/>
        <v>587</v>
      </c>
      <c r="B556" s="42" t="s">
        <v>28</v>
      </c>
      <c r="C556" s="313">
        <f>SUMIF('Employees Supported'!$A$2:$A$29,$B556,'Employees Supported'!$C$2:$C$29)</f>
        <v>1100</v>
      </c>
      <c r="E556" s="2">
        <f t="shared" si="75"/>
        <v>51</v>
      </c>
      <c r="F556" t="str">
        <f t="shared" si="74"/>
        <v>Reserved-51</v>
      </c>
      <c r="G556" t="str">
        <f t="shared" si="69"/>
        <v>SDOTReserved-51</v>
      </c>
      <c r="H556" s="2" t="s">
        <v>67</v>
      </c>
      <c r="O556" s="2" t="s">
        <v>2678</v>
      </c>
      <c r="P556" s="3" t="str">
        <f t="shared" si="70"/>
        <v>NR</v>
      </c>
      <c r="R556" s="127">
        <f t="shared" si="71"/>
        <v>0</v>
      </c>
    </row>
    <row r="557" spans="1:18" hidden="1">
      <c r="A557">
        <f t="shared" si="68"/>
        <v>588</v>
      </c>
      <c r="B557" s="42" t="s">
        <v>33</v>
      </c>
      <c r="C557" s="313">
        <f>SUMIF('Employees Supported'!$A$2:$A$29,$B557,'Employees Supported'!$C$2:$C$29)</f>
        <v>400</v>
      </c>
      <c r="E557" s="2">
        <f t="shared" si="75"/>
        <v>51</v>
      </c>
      <c r="F557" t="str">
        <f t="shared" si="74"/>
        <v>Reserved-51</v>
      </c>
      <c r="G557" t="str">
        <f t="shared" si="69"/>
        <v>SCLReserved-51</v>
      </c>
      <c r="H557" s="2" t="s">
        <v>67</v>
      </c>
      <c r="O557" s="2" t="s">
        <v>2678</v>
      </c>
      <c r="P557" s="3" t="str">
        <f t="shared" si="70"/>
        <v>NR</v>
      </c>
      <c r="R557" s="127">
        <f t="shared" si="71"/>
        <v>0</v>
      </c>
    </row>
    <row r="558" spans="1:18" hidden="1">
      <c r="A558">
        <f t="shared" si="68"/>
        <v>589</v>
      </c>
      <c r="B558" s="42" t="s">
        <v>31</v>
      </c>
      <c r="C558" s="313">
        <f>SUMIF('Employees Supported'!$A$2:$A$29,$B558,'Employees Supported'!$C$2:$C$29)</f>
        <v>700</v>
      </c>
      <c r="E558" s="2">
        <f t="shared" si="75"/>
        <v>51</v>
      </c>
      <c r="F558" t="str">
        <f t="shared" si="74"/>
        <v>Reserved-51</v>
      </c>
      <c r="G558" t="str">
        <f t="shared" si="69"/>
        <v>SeaITReserved-51</v>
      </c>
      <c r="H558" s="2" t="s">
        <v>67</v>
      </c>
      <c r="O558" s="2" t="s">
        <v>2678</v>
      </c>
      <c r="P558" s="3" t="str">
        <f t="shared" si="70"/>
        <v>NR</v>
      </c>
      <c r="R558" s="127">
        <f t="shared" si="71"/>
        <v>0</v>
      </c>
    </row>
    <row r="559" spans="1:18" hidden="1">
      <c r="A559">
        <f t="shared" si="68"/>
        <v>590</v>
      </c>
      <c r="B559" s="42" t="s">
        <v>29</v>
      </c>
      <c r="C559" s="313">
        <f>SUMIF('Employees Supported'!$A$2:$A$29,$B559,'Employees Supported'!$C$2:$C$29)</f>
        <v>550</v>
      </c>
      <c r="E559" s="2">
        <f t="shared" si="75"/>
        <v>51</v>
      </c>
      <c r="F559" t="str">
        <f t="shared" si="74"/>
        <v>Reserved-51</v>
      </c>
      <c r="G559" t="str">
        <f t="shared" si="69"/>
        <v>SDCIReserved-51</v>
      </c>
      <c r="H559" s="2" t="s">
        <v>67</v>
      </c>
      <c r="O559" s="2" t="s">
        <v>2678</v>
      </c>
      <c r="P559" s="3" t="str">
        <f t="shared" si="70"/>
        <v>NR</v>
      </c>
      <c r="R559" s="127">
        <f t="shared" si="71"/>
        <v>0</v>
      </c>
    </row>
    <row r="560" spans="1:18" hidden="1">
      <c r="A560">
        <f t="shared" si="68"/>
        <v>591</v>
      </c>
      <c r="B560" s="42" t="s">
        <v>27</v>
      </c>
      <c r="C560" s="313">
        <f>SUMIF('Employees Supported'!$A$2:$A$29,$B560,'Employees Supported'!$C$2:$C$29)</f>
        <v>400</v>
      </c>
      <c r="E560" s="2">
        <f t="shared" si="75"/>
        <v>51</v>
      </c>
      <c r="F560" t="str">
        <f t="shared" si="74"/>
        <v>Reserved-51</v>
      </c>
      <c r="G560" t="str">
        <f t="shared" si="69"/>
        <v>SPUReserved-51</v>
      </c>
      <c r="H560" s="2" t="s">
        <v>67</v>
      </c>
      <c r="O560" s="2" t="s">
        <v>2678</v>
      </c>
      <c r="P560" s="3" t="str">
        <f t="shared" si="70"/>
        <v>NR</v>
      </c>
      <c r="R560" s="127">
        <f t="shared" si="71"/>
        <v>0</v>
      </c>
    </row>
    <row r="561" spans="1:18" hidden="1">
      <c r="A561">
        <f t="shared" si="68"/>
        <v>592</v>
      </c>
      <c r="B561" s="42" t="s">
        <v>30</v>
      </c>
      <c r="C561" s="313">
        <f>SUMIF('Employees Supported'!$A$2:$A$29,$B561,'Employees Supported'!$C$2:$C$29)</f>
        <v>300</v>
      </c>
      <c r="E561" s="2">
        <f t="shared" si="75"/>
        <v>51</v>
      </c>
      <c r="F561" t="str">
        <f t="shared" si="74"/>
        <v>Reserved-51</v>
      </c>
      <c r="G561" t="str">
        <f t="shared" si="69"/>
        <v>LibrariesReserved-51</v>
      </c>
      <c r="H561" s="2" t="s">
        <v>67</v>
      </c>
      <c r="O561" s="2" t="s">
        <v>2678</v>
      </c>
      <c r="P561" s="3" t="str">
        <f t="shared" si="70"/>
        <v>NR</v>
      </c>
      <c r="R561" s="127">
        <f t="shared" si="71"/>
        <v>0</v>
      </c>
    </row>
    <row r="562" spans="1:18" hidden="1">
      <c r="A562">
        <f t="shared" si="68"/>
        <v>593</v>
      </c>
      <c r="B562" s="42" t="s">
        <v>26</v>
      </c>
      <c r="C562" s="313">
        <f>SUMIF('Employees Supported'!$A$2:$A$29,$B562,'Employees Supported'!$C$2:$C$29)</f>
        <v>400</v>
      </c>
      <c r="E562" s="2">
        <f t="shared" si="75"/>
        <v>51</v>
      </c>
      <c r="F562" t="str">
        <f t="shared" si="74"/>
        <v>Reserved-51</v>
      </c>
      <c r="G562" t="str">
        <f t="shared" si="69"/>
        <v>ParksReserved-51</v>
      </c>
      <c r="H562" s="2" t="s">
        <v>67</v>
      </c>
      <c r="O562" s="2" t="s">
        <v>2678</v>
      </c>
      <c r="P562" s="3" t="str">
        <f t="shared" si="70"/>
        <v>NR</v>
      </c>
      <c r="R562" s="127">
        <f t="shared" si="71"/>
        <v>0</v>
      </c>
    </row>
    <row r="563" spans="1:18" hidden="1">
      <c r="A563">
        <f t="shared" si="68"/>
        <v>594</v>
      </c>
      <c r="B563" s="42" t="s">
        <v>32</v>
      </c>
      <c r="C563" s="313">
        <f>SUMIF('Employees Supported'!$A$2:$A$29,$B563,'Employees Supported'!$C$2:$C$29)</f>
        <v>400</v>
      </c>
      <c r="E563" s="2">
        <f t="shared" si="75"/>
        <v>51</v>
      </c>
      <c r="F563" t="str">
        <f t="shared" si="74"/>
        <v>Reserved-51</v>
      </c>
      <c r="G563" t="str">
        <f t="shared" si="69"/>
        <v>Seattle CtrReserved-51</v>
      </c>
      <c r="H563" s="2" t="s">
        <v>67</v>
      </c>
      <c r="O563" s="2" t="s">
        <v>2678</v>
      </c>
      <c r="P563" s="3" t="str">
        <f t="shared" si="70"/>
        <v>NR</v>
      </c>
      <c r="R563" s="127">
        <f t="shared" si="71"/>
        <v>0</v>
      </c>
    </row>
    <row r="564" spans="1:18">
      <c r="A564">
        <f t="shared" si="68"/>
        <v>595</v>
      </c>
      <c r="B564" s="42" t="s">
        <v>23</v>
      </c>
      <c r="C564" s="313">
        <v>6500</v>
      </c>
      <c r="E564" s="2">
        <f>+E553+1</f>
        <v>52</v>
      </c>
      <c r="F564" t="str">
        <f t="shared" si="74"/>
        <v>Reserved-52</v>
      </c>
      <c r="G564" t="str">
        <f t="shared" si="69"/>
        <v>FAS-CentralizedReserved-52</v>
      </c>
      <c r="H564" s="2" t="s">
        <v>67</v>
      </c>
      <c r="O564" s="2" t="s">
        <v>2678</v>
      </c>
      <c r="P564" s="3" t="str">
        <f t="shared" si="70"/>
        <v>NR</v>
      </c>
      <c r="R564" s="127">
        <f t="shared" si="71"/>
        <v>0</v>
      </c>
    </row>
    <row r="565" spans="1:18" hidden="1">
      <c r="A565">
        <f t="shared" si="68"/>
        <v>596</v>
      </c>
      <c r="B565" s="42" t="s">
        <v>25</v>
      </c>
      <c r="C565" s="313">
        <f>SUMIF('Employees Supported'!$A$2:$A$29,$B565,'Employees Supported'!$C$2:$C$29)</f>
        <v>1500</v>
      </c>
      <c r="E565" s="2">
        <f t="shared" si="75"/>
        <v>52</v>
      </c>
      <c r="F565" t="str">
        <f t="shared" si="74"/>
        <v>Reserved-52</v>
      </c>
      <c r="G565" t="str">
        <f t="shared" si="69"/>
        <v>SPDReserved-52</v>
      </c>
      <c r="H565" s="2" t="s">
        <v>67</v>
      </c>
      <c r="O565" s="2" t="s">
        <v>2678</v>
      </c>
      <c r="P565" s="3" t="str">
        <f t="shared" si="70"/>
        <v>NR</v>
      </c>
      <c r="R565" s="127">
        <f t="shared" si="71"/>
        <v>0</v>
      </c>
    </row>
    <row r="566" spans="1:18" hidden="1">
      <c r="A566">
        <f t="shared" si="68"/>
        <v>597</v>
      </c>
      <c r="B566" s="42" t="s">
        <v>24</v>
      </c>
      <c r="C566" s="313">
        <f>SUMIF('Employees Supported'!$A$2:$A$29,$B566,'Employees Supported'!$C$2:$C$29)</f>
        <v>1100</v>
      </c>
      <c r="E566" s="2">
        <f t="shared" si="75"/>
        <v>52</v>
      </c>
      <c r="F566" t="str">
        <f t="shared" si="74"/>
        <v>Reserved-52</v>
      </c>
      <c r="G566" t="str">
        <f t="shared" si="69"/>
        <v>SFDReserved-52</v>
      </c>
      <c r="H566" s="2" t="s">
        <v>67</v>
      </c>
      <c r="O566" s="2" t="s">
        <v>2678</v>
      </c>
      <c r="P566" s="3" t="str">
        <f t="shared" si="70"/>
        <v>NR</v>
      </c>
      <c r="R566" s="127">
        <f t="shared" si="71"/>
        <v>0</v>
      </c>
    </row>
    <row r="567" spans="1:18" hidden="1">
      <c r="A567">
        <f t="shared" ref="A567:A630" si="76">+A566+1</f>
        <v>598</v>
      </c>
      <c r="B567" s="42" t="s">
        <v>28</v>
      </c>
      <c r="C567" s="313">
        <f>SUMIF('Employees Supported'!$A$2:$A$29,$B567,'Employees Supported'!$C$2:$C$29)</f>
        <v>1100</v>
      </c>
      <c r="E567" s="2">
        <f t="shared" si="75"/>
        <v>52</v>
      </c>
      <c r="F567" t="str">
        <f t="shared" si="74"/>
        <v>Reserved-52</v>
      </c>
      <c r="G567" t="str">
        <f t="shared" si="69"/>
        <v>SDOTReserved-52</v>
      </c>
      <c r="H567" s="2" t="s">
        <v>67</v>
      </c>
      <c r="O567" s="2" t="s">
        <v>2678</v>
      </c>
      <c r="P567" s="3" t="str">
        <f t="shared" si="70"/>
        <v>NR</v>
      </c>
      <c r="R567" s="127">
        <f t="shared" si="71"/>
        <v>0</v>
      </c>
    </row>
    <row r="568" spans="1:18" hidden="1">
      <c r="A568">
        <f t="shared" si="76"/>
        <v>599</v>
      </c>
      <c r="B568" s="42" t="s">
        <v>33</v>
      </c>
      <c r="C568" s="313">
        <f>SUMIF('Employees Supported'!$A$2:$A$29,$B568,'Employees Supported'!$C$2:$C$29)</f>
        <v>400</v>
      </c>
      <c r="E568" s="2">
        <f t="shared" si="75"/>
        <v>52</v>
      </c>
      <c r="F568" t="str">
        <f t="shared" si="74"/>
        <v>Reserved-52</v>
      </c>
      <c r="G568" t="str">
        <f t="shared" ref="G568:G631" si="77">_xlfn.SINGLE(_xlfn.CONCAT(B568,F568))</f>
        <v>SCLReserved-52</v>
      </c>
      <c r="H568" s="2" t="s">
        <v>67</v>
      </c>
      <c r="O568" s="2" t="s">
        <v>2678</v>
      </c>
      <c r="P568" s="3" t="str">
        <f t="shared" ref="P568:P631" si="78">IF(O568="NR","NR",((((C568+D568)*I568)*90)+(J568*90)+(((C568+D568)*K568)*3)+(L568*3)+((C568+D568)*M568)+N568))</f>
        <v>NR</v>
      </c>
      <c r="R568" s="127">
        <f t="shared" ref="R568:R631" si="79">SUM(P568)/90</f>
        <v>0</v>
      </c>
    </row>
    <row r="569" spans="1:18" hidden="1">
      <c r="A569">
        <f t="shared" si="76"/>
        <v>600</v>
      </c>
      <c r="B569" s="42" t="s">
        <v>31</v>
      </c>
      <c r="C569" s="313">
        <f>SUMIF('Employees Supported'!$A$2:$A$29,$B569,'Employees Supported'!$C$2:$C$29)</f>
        <v>700</v>
      </c>
      <c r="E569" s="2">
        <f t="shared" si="75"/>
        <v>52</v>
      </c>
      <c r="F569" t="str">
        <f t="shared" si="74"/>
        <v>Reserved-52</v>
      </c>
      <c r="G569" t="str">
        <f t="shared" si="77"/>
        <v>SeaITReserved-52</v>
      </c>
      <c r="H569" s="2" t="s">
        <v>67</v>
      </c>
      <c r="O569" s="2" t="s">
        <v>2678</v>
      </c>
      <c r="P569" s="3" t="str">
        <f t="shared" si="78"/>
        <v>NR</v>
      </c>
      <c r="R569" s="127">
        <f t="shared" si="79"/>
        <v>0</v>
      </c>
    </row>
    <row r="570" spans="1:18" hidden="1">
      <c r="A570">
        <f t="shared" si="76"/>
        <v>601</v>
      </c>
      <c r="B570" s="42" t="s">
        <v>29</v>
      </c>
      <c r="C570" s="313">
        <f>SUMIF('Employees Supported'!$A$2:$A$29,$B570,'Employees Supported'!$C$2:$C$29)</f>
        <v>550</v>
      </c>
      <c r="E570" s="2">
        <f t="shared" si="75"/>
        <v>52</v>
      </c>
      <c r="F570" t="str">
        <f t="shared" si="74"/>
        <v>Reserved-52</v>
      </c>
      <c r="G570" t="str">
        <f t="shared" si="77"/>
        <v>SDCIReserved-52</v>
      </c>
      <c r="H570" s="2" t="s">
        <v>67</v>
      </c>
      <c r="O570" s="2" t="s">
        <v>2678</v>
      </c>
      <c r="P570" s="3" t="str">
        <f t="shared" si="78"/>
        <v>NR</v>
      </c>
      <c r="R570" s="127">
        <f t="shared" si="79"/>
        <v>0</v>
      </c>
    </row>
    <row r="571" spans="1:18" hidden="1">
      <c r="A571">
        <f t="shared" si="76"/>
        <v>602</v>
      </c>
      <c r="B571" s="42" t="s">
        <v>27</v>
      </c>
      <c r="C571" s="313">
        <f>SUMIF('Employees Supported'!$A$2:$A$29,$B571,'Employees Supported'!$C$2:$C$29)</f>
        <v>400</v>
      </c>
      <c r="E571" s="2">
        <f t="shared" si="75"/>
        <v>52</v>
      </c>
      <c r="F571" t="str">
        <f t="shared" si="74"/>
        <v>Reserved-52</v>
      </c>
      <c r="G571" t="str">
        <f t="shared" si="77"/>
        <v>SPUReserved-52</v>
      </c>
      <c r="H571" s="2" t="s">
        <v>67</v>
      </c>
      <c r="O571" s="2" t="s">
        <v>2678</v>
      </c>
      <c r="P571" s="3" t="str">
        <f t="shared" si="78"/>
        <v>NR</v>
      </c>
      <c r="R571" s="127">
        <f t="shared" si="79"/>
        <v>0</v>
      </c>
    </row>
    <row r="572" spans="1:18" hidden="1">
      <c r="A572">
        <f t="shared" si="76"/>
        <v>603</v>
      </c>
      <c r="B572" s="42" t="s">
        <v>30</v>
      </c>
      <c r="C572" s="313">
        <f>SUMIF('Employees Supported'!$A$2:$A$29,$B572,'Employees Supported'!$C$2:$C$29)</f>
        <v>300</v>
      </c>
      <c r="E572" s="2">
        <f t="shared" si="75"/>
        <v>52</v>
      </c>
      <c r="F572" t="str">
        <f t="shared" si="74"/>
        <v>Reserved-52</v>
      </c>
      <c r="G572" t="str">
        <f t="shared" si="77"/>
        <v>LibrariesReserved-52</v>
      </c>
      <c r="H572" s="2" t="s">
        <v>67</v>
      </c>
      <c r="O572" s="2" t="s">
        <v>2678</v>
      </c>
      <c r="P572" s="3" t="str">
        <f t="shared" si="78"/>
        <v>NR</v>
      </c>
      <c r="R572" s="127">
        <f t="shared" si="79"/>
        <v>0</v>
      </c>
    </row>
    <row r="573" spans="1:18" hidden="1">
      <c r="A573">
        <f t="shared" si="76"/>
        <v>604</v>
      </c>
      <c r="B573" s="42" t="s">
        <v>26</v>
      </c>
      <c r="C573" s="313">
        <f>SUMIF('Employees Supported'!$A$2:$A$29,$B573,'Employees Supported'!$C$2:$C$29)</f>
        <v>400</v>
      </c>
      <c r="E573" s="2">
        <f t="shared" si="75"/>
        <v>52</v>
      </c>
      <c r="F573" t="str">
        <f t="shared" si="74"/>
        <v>Reserved-52</v>
      </c>
      <c r="G573" t="str">
        <f t="shared" si="77"/>
        <v>ParksReserved-52</v>
      </c>
      <c r="H573" s="2" t="s">
        <v>67</v>
      </c>
      <c r="O573" s="2" t="s">
        <v>2678</v>
      </c>
      <c r="P573" s="3" t="str">
        <f t="shared" si="78"/>
        <v>NR</v>
      </c>
      <c r="R573" s="127">
        <f t="shared" si="79"/>
        <v>0</v>
      </c>
    </row>
    <row r="574" spans="1:18" hidden="1">
      <c r="A574">
        <f t="shared" si="76"/>
        <v>605</v>
      </c>
      <c r="B574" s="42" t="s">
        <v>32</v>
      </c>
      <c r="C574" s="313">
        <f>SUMIF('Employees Supported'!$A$2:$A$29,$B574,'Employees Supported'!$C$2:$C$29)</f>
        <v>400</v>
      </c>
      <c r="E574" s="2">
        <f t="shared" si="75"/>
        <v>52</v>
      </c>
      <c r="F574" t="str">
        <f t="shared" si="74"/>
        <v>Reserved-52</v>
      </c>
      <c r="G574" t="str">
        <f t="shared" si="77"/>
        <v>Seattle CtrReserved-52</v>
      </c>
      <c r="H574" s="2" t="s">
        <v>67</v>
      </c>
      <c r="O574" s="2" t="s">
        <v>2678</v>
      </c>
      <c r="P574" s="3" t="str">
        <f t="shared" si="78"/>
        <v>NR</v>
      </c>
      <c r="R574" s="127">
        <f t="shared" si="79"/>
        <v>0</v>
      </c>
    </row>
    <row r="575" spans="1:18">
      <c r="A575">
        <f t="shared" si="76"/>
        <v>606</v>
      </c>
      <c r="B575" s="42" t="s">
        <v>23</v>
      </c>
      <c r="C575" s="313">
        <v>6500</v>
      </c>
      <c r="E575" s="2">
        <f>+E564+1</f>
        <v>53</v>
      </c>
      <c r="F575" t="str">
        <f t="shared" si="74"/>
        <v>Reserved-53</v>
      </c>
      <c r="G575" t="str">
        <f t="shared" si="77"/>
        <v>FAS-CentralizedReserved-53</v>
      </c>
      <c r="H575" s="2" t="s">
        <v>67</v>
      </c>
      <c r="O575" s="2" t="s">
        <v>2678</v>
      </c>
      <c r="P575" s="3" t="str">
        <f t="shared" si="78"/>
        <v>NR</v>
      </c>
      <c r="R575" s="127">
        <f t="shared" si="79"/>
        <v>0</v>
      </c>
    </row>
    <row r="576" spans="1:18" hidden="1">
      <c r="A576">
        <f t="shared" si="76"/>
        <v>607</v>
      </c>
      <c r="B576" s="42" t="s">
        <v>25</v>
      </c>
      <c r="C576" s="313">
        <f>SUMIF('Employees Supported'!$A$2:$A$29,$B576,'Employees Supported'!$C$2:$C$29)</f>
        <v>1500</v>
      </c>
      <c r="E576" s="2">
        <f t="shared" si="75"/>
        <v>53</v>
      </c>
      <c r="F576" t="str">
        <f t="shared" si="74"/>
        <v>Reserved-53</v>
      </c>
      <c r="G576" t="str">
        <f t="shared" si="77"/>
        <v>SPDReserved-53</v>
      </c>
      <c r="H576" s="2" t="s">
        <v>67</v>
      </c>
      <c r="O576" s="2" t="s">
        <v>2678</v>
      </c>
      <c r="P576" s="3" t="str">
        <f t="shared" si="78"/>
        <v>NR</v>
      </c>
      <c r="R576" s="127">
        <f t="shared" si="79"/>
        <v>0</v>
      </c>
    </row>
    <row r="577" spans="1:18" hidden="1">
      <c r="A577">
        <f t="shared" si="76"/>
        <v>608</v>
      </c>
      <c r="B577" s="42" t="s">
        <v>24</v>
      </c>
      <c r="C577" s="313">
        <f>SUMIF('Employees Supported'!$A$2:$A$29,$B577,'Employees Supported'!$C$2:$C$29)</f>
        <v>1100</v>
      </c>
      <c r="E577" s="2">
        <f t="shared" si="75"/>
        <v>53</v>
      </c>
      <c r="F577" t="str">
        <f t="shared" si="74"/>
        <v>Reserved-53</v>
      </c>
      <c r="G577" t="str">
        <f t="shared" si="77"/>
        <v>SFDReserved-53</v>
      </c>
      <c r="H577" s="2" t="s">
        <v>67</v>
      </c>
      <c r="O577" s="2" t="s">
        <v>2678</v>
      </c>
      <c r="P577" s="3" t="str">
        <f t="shared" si="78"/>
        <v>NR</v>
      </c>
      <c r="R577" s="127">
        <f t="shared" si="79"/>
        <v>0</v>
      </c>
    </row>
    <row r="578" spans="1:18" hidden="1">
      <c r="A578">
        <f t="shared" si="76"/>
        <v>609</v>
      </c>
      <c r="B578" s="42" t="s">
        <v>28</v>
      </c>
      <c r="C578" s="313">
        <f>SUMIF('Employees Supported'!$A$2:$A$29,$B578,'Employees Supported'!$C$2:$C$29)</f>
        <v>1100</v>
      </c>
      <c r="E578" s="2">
        <f t="shared" si="75"/>
        <v>53</v>
      </c>
      <c r="F578" t="str">
        <f t="shared" si="74"/>
        <v>Reserved-53</v>
      </c>
      <c r="G578" t="str">
        <f t="shared" si="77"/>
        <v>SDOTReserved-53</v>
      </c>
      <c r="H578" s="2" t="s">
        <v>67</v>
      </c>
      <c r="O578" s="2" t="s">
        <v>2678</v>
      </c>
      <c r="P578" s="3" t="str">
        <f t="shared" si="78"/>
        <v>NR</v>
      </c>
      <c r="R578" s="127">
        <f t="shared" si="79"/>
        <v>0</v>
      </c>
    </row>
    <row r="579" spans="1:18" hidden="1">
      <c r="A579">
        <f t="shared" si="76"/>
        <v>610</v>
      </c>
      <c r="B579" s="42" t="s">
        <v>33</v>
      </c>
      <c r="C579" s="313">
        <f>SUMIF('Employees Supported'!$A$2:$A$29,$B579,'Employees Supported'!$C$2:$C$29)</f>
        <v>400</v>
      </c>
      <c r="E579" s="2">
        <f t="shared" si="75"/>
        <v>53</v>
      </c>
      <c r="F579" t="str">
        <f t="shared" si="74"/>
        <v>Reserved-53</v>
      </c>
      <c r="G579" t="str">
        <f t="shared" si="77"/>
        <v>SCLReserved-53</v>
      </c>
      <c r="H579" s="2" t="s">
        <v>67</v>
      </c>
      <c r="O579" s="2" t="s">
        <v>2678</v>
      </c>
      <c r="P579" s="3" t="str">
        <f t="shared" si="78"/>
        <v>NR</v>
      </c>
      <c r="R579" s="127">
        <f t="shared" si="79"/>
        <v>0</v>
      </c>
    </row>
    <row r="580" spans="1:18" hidden="1">
      <c r="A580">
        <f t="shared" si="76"/>
        <v>611</v>
      </c>
      <c r="B580" s="42" t="s">
        <v>31</v>
      </c>
      <c r="C580" s="313">
        <f>SUMIF('Employees Supported'!$A$2:$A$29,$B580,'Employees Supported'!$C$2:$C$29)</f>
        <v>700</v>
      </c>
      <c r="E580" s="2">
        <f t="shared" si="75"/>
        <v>53</v>
      </c>
      <c r="F580" t="str">
        <f t="shared" si="74"/>
        <v>Reserved-53</v>
      </c>
      <c r="G580" t="str">
        <f t="shared" si="77"/>
        <v>SeaITReserved-53</v>
      </c>
      <c r="H580" s="2" t="s">
        <v>67</v>
      </c>
      <c r="O580" s="2" t="s">
        <v>2678</v>
      </c>
      <c r="P580" s="3" t="str">
        <f t="shared" si="78"/>
        <v>NR</v>
      </c>
      <c r="R580" s="127">
        <f t="shared" si="79"/>
        <v>0</v>
      </c>
    </row>
    <row r="581" spans="1:18" hidden="1">
      <c r="A581">
        <f t="shared" si="76"/>
        <v>612</v>
      </c>
      <c r="B581" s="42" t="s">
        <v>29</v>
      </c>
      <c r="C581" s="313">
        <f>SUMIF('Employees Supported'!$A$2:$A$29,$B581,'Employees Supported'!$C$2:$C$29)</f>
        <v>550</v>
      </c>
      <c r="E581" s="2">
        <f t="shared" si="75"/>
        <v>53</v>
      </c>
      <c r="F581" t="str">
        <f t="shared" si="74"/>
        <v>Reserved-53</v>
      </c>
      <c r="G581" t="str">
        <f t="shared" si="77"/>
        <v>SDCIReserved-53</v>
      </c>
      <c r="H581" s="2" t="s">
        <v>67</v>
      </c>
      <c r="O581" s="2" t="s">
        <v>2678</v>
      </c>
      <c r="P581" s="3" t="str">
        <f t="shared" si="78"/>
        <v>NR</v>
      </c>
      <c r="R581" s="127">
        <f t="shared" si="79"/>
        <v>0</v>
      </c>
    </row>
    <row r="582" spans="1:18" hidden="1">
      <c r="A582">
        <f t="shared" si="76"/>
        <v>613</v>
      </c>
      <c r="B582" s="42" t="s">
        <v>27</v>
      </c>
      <c r="C582" s="313">
        <f>SUMIF('Employees Supported'!$A$2:$A$29,$B582,'Employees Supported'!$C$2:$C$29)</f>
        <v>400</v>
      </c>
      <c r="E582" s="2">
        <f t="shared" si="75"/>
        <v>53</v>
      </c>
      <c r="F582" t="str">
        <f t="shared" si="74"/>
        <v>Reserved-53</v>
      </c>
      <c r="G582" t="str">
        <f t="shared" si="77"/>
        <v>SPUReserved-53</v>
      </c>
      <c r="H582" s="2" t="s">
        <v>67</v>
      </c>
      <c r="O582" s="2" t="s">
        <v>2678</v>
      </c>
      <c r="P582" s="3" t="str">
        <f t="shared" si="78"/>
        <v>NR</v>
      </c>
      <c r="R582" s="127">
        <f t="shared" si="79"/>
        <v>0</v>
      </c>
    </row>
    <row r="583" spans="1:18" hidden="1">
      <c r="A583">
        <f t="shared" si="76"/>
        <v>614</v>
      </c>
      <c r="B583" s="42" t="s">
        <v>30</v>
      </c>
      <c r="C583" s="313">
        <f>SUMIF('Employees Supported'!$A$2:$A$29,$B583,'Employees Supported'!$C$2:$C$29)</f>
        <v>300</v>
      </c>
      <c r="E583" s="2">
        <f t="shared" si="75"/>
        <v>53</v>
      </c>
      <c r="F583" t="str">
        <f t="shared" si="74"/>
        <v>Reserved-53</v>
      </c>
      <c r="G583" t="str">
        <f t="shared" si="77"/>
        <v>LibrariesReserved-53</v>
      </c>
      <c r="H583" s="2" t="s">
        <v>67</v>
      </c>
      <c r="O583" s="2" t="s">
        <v>2678</v>
      </c>
      <c r="P583" s="3" t="str">
        <f t="shared" si="78"/>
        <v>NR</v>
      </c>
      <c r="R583" s="127">
        <f t="shared" si="79"/>
        <v>0</v>
      </c>
    </row>
    <row r="584" spans="1:18" hidden="1">
      <c r="A584">
        <f t="shared" si="76"/>
        <v>615</v>
      </c>
      <c r="B584" s="42" t="s">
        <v>26</v>
      </c>
      <c r="C584" s="313">
        <f>SUMIF('Employees Supported'!$A$2:$A$29,$B584,'Employees Supported'!$C$2:$C$29)</f>
        <v>400</v>
      </c>
      <c r="E584" s="2">
        <f t="shared" si="75"/>
        <v>53</v>
      </c>
      <c r="F584" t="str">
        <f t="shared" si="74"/>
        <v>Reserved-53</v>
      </c>
      <c r="G584" t="str">
        <f t="shared" si="77"/>
        <v>ParksReserved-53</v>
      </c>
      <c r="H584" s="2" t="s">
        <v>67</v>
      </c>
      <c r="O584" s="2" t="s">
        <v>2678</v>
      </c>
      <c r="P584" s="3" t="str">
        <f t="shared" si="78"/>
        <v>NR</v>
      </c>
      <c r="R584" s="127">
        <f t="shared" si="79"/>
        <v>0</v>
      </c>
    </row>
    <row r="585" spans="1:18" hidden="1">
      <c r="A585">
        <f t="shared" si="76"/>
        <v>616</v>
      </c>
      <c r="B585" s="42" t="s">
        <v>32</v>
      </c>
      <c r="C585" s="313">
        <f>SUMIF('Employees Supported'!$A$2:$A$29,$B585,'Employees Supported'!$C$2:$C$29)</f>
        <v>400</v>
      </c>
      <c r="E585" s="2">
        <f t="shared" si="75"/>
        <v>53</v>
      </c>
      <c r="F585" t="str">
        <f t="shared" si="74"/>
        <v>Reserved-53</v>
      </c>
      <c r="G585" t="str">
        <f t="shared" si="77"/>
        <v>Seattle CtrReserved-53</v>
      </c>
      <c r="H585" s="2" t="s">
        <v>67</v>
      </c>
      <c r="O585" s="2" t="s">
        <v>2678</v>
      </c>
      <c r="P585" s="3" t="str">
        <f t="shared" si="78"/>
        <v>NR</v>
      </c>
      <c r="R585" s="127">
        <f t="shared" si="79"/>
        <v>0</v>
      </c>
    </row>
    <row r="586" spans="1:18">
      <c r="A586">
        <f t="shared" si="76"/>
        <v>617</v>
      </c>
      <c r="B586" s="42" t="s">
        <v>23</v>
      </c>
      <c r="C586" s="313">
        <v>6500</v>
      </c>
      <c r="E586" s="2">
        <f>+E575+1</f>
        <v>54</v>
      </c>
      <c r="F586" t="str">
        <f t="shared" si="74"/>
        <v>Reserved-54</v>
      </c>
      <c r="G586" t="str">
        <f t="shared" si="77"/>
        <v>FAS-CentralizedReserved-54</v>
      </c>
      <c r="H586" s="2" t="s">
        <v>67</v>
      </c>
      <c r="O586" s="2" t="s">
        <v>2678</v>
      </c>
      <c r="P586" s="3" t="str">
        <f t="shared" si="78"/>
        <v>NR</v>
      </c>
      <c r="R586" s="127">
        <f t="shared" si="79"/>
        <v>0</v>
      </c>
    </row>
    <row r="587" spans="1:18" hidden="1">
      <c r="A587">
        <f t="shared" si="76"/>
        <v>618</v>
      </c>
      <c r="B587" s="42" t="s">
        <v>25</v>
      </c>
      <c r="C587" s="313">
        <f>SUMIF('Employees Supported'!$A$2:$A$29,$B587,'Employees Supported'!$C$2:$C$29)</f>
        <v>1500</v>
      </c>
      <c r="E587" s="2">
        <f t="shared" si="75"/>
        <v>54</v>
      </c>
      <c r="F587" t="str">
        <f t="shared" ref="F587:F650" si="80">_xlfn.SINGLE(_xlfn.CONCAT("Reserved-",E587))</f>
        <v>Reserved-54</v>
      </c>
      <c r="G587" t="str">
        <f t="shared" si="77"/>
        <v>SPDReserved-54</v>
      </c>
      <c r="H587" s="2" t="s">
        <v>67</v>
      </c>
      <c r="O587" s="2" t="s">
        <v>2678</v>
      </c>
      <c r="P587" s="3" t="str">
        <f t="shared" si="78"/>
        <v>NR</v>
      </c>
      <c r="R587" s="127">
        <f t="shared" si="79"/>
        <v>0</v>
      </c>
    </row>
    <row r="588" spans="1:18" hidden="1">
      <c r="A588">
        <f t="shared" si="76"/>
        <v>619</v>
      </c>
      <c r="B588" s="42" t="s">
        <v>24</v>
      </c>
      <c r="C588" s="313">
        <f>SUMIF('Employees Supported'!$A$2:$A$29,$B588,'Employees Supported'!$C$2:$C$29)</f>
        <v>1100</v>
      </c>
      <c r="E588" s="2">
        <f t="shared" si="75"/>
        <v>54</v>
      </c>
      <c r="F588" t="str">
        <f t="shared" si="80"/>
        <v>Reserved-54</v>
      </c>
      <c r="G588" t="str">
        <f t="shared" si="77"/>
        <v>SFDReserved-54</v>
      </c>
      <c r="H588" s="2" t="s">
        <v>67</v>
      </c>
      <c r="O588" s="2" t="s">
        <v>2678</v>
      </c>
      <c r="P588" s="3" t="str">
        <f t="shared" si="78"/>
        <v>NR</v>
      </c>
      <c r="R588" s="127">
        <f t="shared" si="79"/>
        <v>0</v>
      </c>
    </row>
    <row r="589" spans="1:18" hidden="1">
      <c r="A589">
        <f t="shared" si="76"/>
        <v>620</v>
      </c>
      <c r="B589" s="42" t="s">
        <v>28</v>
      </c>
      <c r="C589" s="313">
        <f>SUMIF('Employees Supported'!$A$2:$A$29,$B589,'Employees Supported'!$C$2:$C$29)</f>
        <v>1100</v>
      </c>
      <c r="E589" s="2">
        <f t="shared" si="75"/>
        <v>54</v>
      </c>
      <c r="F589" t="str">
        <f t="shared" si="80"/>
        <v>Reserved-54</v>
      </c>
      <c r="G589" t="str">
        <f t="shared" si="77"/>
        <v>SDOTReserved-54</v>
      </c>
      <c r="H589" s="2" t="s">
        <v>67</v>
      </c>
      <c r="O589" s="2" t="s">
        <v>2678</v>
      </c>
      <c r="P589" s="3" t="str">
        <f t="shared" si="78"/>
        <v>NR</v>
      </c>
      <c r="R589" s="127">
        <f t="shared" si="79"/>
        <v>0</v>
      </c>
    </row>
    <row r="590" spans="1:18" hidden="1">
      <c r="A590">
        <f t="shared" si="76"/>
        <v>621</v>
      </c>
      <c r="B590" s="42" t="s">
        <v>33</v>
      </c>
      <c r="C590" s="313">
        <f>SUMIF('Employees Supported'!$A$2:$A$29,$B590,'Employees Supported'!$C$2:$C$29)</f>
        <v>400</v>
      </c>
      <c r="E590" s="2">
        <f t="shared" si="75"/>
        <v>54</v>
      </c>
      <c r="F590" t="str">
        <f t="shared" si="80"/>
        <v>Reserved-54</v>
      </c>
      <c r="G590" t="str">
        <f t="shared" si="77"/>
        <v>SCLReserved-54</v>
      </c>
      <c r="H590" s="2" t="s">
        <v>67</v>
      </c>
      <c r="O590" s="2" t="s">
        <v>2678</v>
      </c>
      <c r="P590" s="3" t="str">
        <f t="shared" si="78"/>
        <v>NR</v>
      </c>
      <c r="R590" s="127">
        <f t="shared" si="79"/>
        <v>0</v>
      </c>
    </row>
    <row r="591" spans="1:18" hidden="1">
      <c r="A591">
        <f t="shared" si="76"/>
        <v>622</v>
      </c>
      <c r="B591" s="42" t="s">
        <v>31</v>
      </c>
      <c r="C591" s="313">
        <f>SUMIF('Employees Supported'!$A$2:$A$29,$B591,'Employees Supported'!$C$2:$C$29)</f>
        <v>700</v>
      </c>
      <c r="E591" s="2">
        <f t="shared" si="75"/>
        <v>54</v>
      </c>
      <c r="F591" t="str">
        <f t="shared" si="80"/>
        <v>Reserved-54</v>
      </c>
      <c r="G591" t="str">
        <f t="shared" si="77"/>
        <v>SeaITReserved-54</v>
      </c>
      <c r="H591" s="2" t="s">
        <v>67</v>
      </c>
      <c r="O591" s="2" t="s">
        <v>2678</v>
      </c>
      <c r="P591" s="3" t="str">
        <f t="shared" si="78"/>
        <v>NR</v>
      </c>
      <c r="R591" s="127">
        <f t="shared" si="79"/>
        <v>0</v>
      </c>
    </row>
    <row r="592" spans="1:18" hidden="1">
      <c r="A592">
        <f t="shared" si="76"/>
        <v>623</v>
      </c>
      <c r="B592" s="42" t="s">
        <v>29</v>
      </c>
      <c r="C592" s="313">
        <f>SUMIF('Employees Supported'!$A$2:$A$29,$B592,'Employees Supported'!$C$2:$C$29)</f>
        <v>550</v>
      </c>
      <c r="E592" s="2">
        <f t="shared" si="75"/>
        <v>54</v>
      </c>
      <c r="F592" t="str">
        <f t="shared" si="80"/>
        <v>Reserved-54</v>
      </c>
      <c r="G592" t="str">
        <f t="shared" si="77"/>
        <v>SDCIReserved-54</v>
      </c>
      <c r="H592" s="2" t="s">
        <v>67</v>
      </c>
      <c r="O592" s="2" t="s">
        <v>2678</v>
      </c>
      <c r="P592" s="3" t="str">
        <f t="shared" si="78"/>
        <v>NR</v>
      </c>
      <c r="R592" s="127">
        <f t="shared" si="79"/>
        <v>0</v>
      </c>
    </row>
    <row r="593" spans="1:18" hidden="1">
      <c r="A593">
        <f t="shared" si="76"/>
        <v>624</v>
      </c>
      <c r="B593" s="42" t="s">
        <v>27</v>
      </c>
      <c r="C593" s="313">
        <f>SUMIF('Employees Supported'!$A$2:$A$29,$B593,'Employees Supported'!$C$2:$C$29)</f>
        <v>400</v>
      </c>
      <c r="E593" s="2">
        <f t="shared" si="75"/>
        <v>54</v>
      </c>
      <c r="F593" t="str">
        <f t="shared" si="80"/>
        <v>Reserved-54</v>
      </c>
      <c r="G593" t="str">
        <f t="shared" si="77"/>
        <v>SPUReserved-54</v>
      </c>
      <c r="H593" s="2" t="s">
        <v>67</v>
      </c>
      <c r="O593" s="2" t="s">
        <v>2678</v>
      </c>
      <c r="P593" s="3" t="str">
        <f t="shared" si="78"/>
        <v>NR</v>
      </c>
      <c r="R593" s="127">
        <f t="shared" si="79"/>
        <v>0</v>
      </c>
    </row>
    <row r="594" spans="1:18" hidden="1">
      <c r="A594">
        <f t="shared" si="76"/>
        <v>625</v>
      </c>
      <c r="B594" s="42" t="s">
        <v>30</v>
      </c>
      <c r="C594" s="313">
        <f>SUMIF('Employees Supported'!$A$2:$A$29,$B594,'Employees Supported'!$C$2:$C$29)</f>
        <v>300</v>
      </c>
      <c r="E594" s="2">
        <f t="shared" si="75"/>
        <v>54</v>
      </c>
      <c r="F594" t="str">
        <f t="shared" si="80"/>
        <v>Reserved-54</v>
      </c>
      <c r="G594" t="str">
        <f t="shared" si="77"/>
        <v>LibrariesReserved-54</v>
      </c>
      <c r="H594" s="2" t="s">
        <v>67</v>
      </c>
      <c r="O594" s="2" t="s">
        <v>2678</v>
      </c>
      <c r="P594" s="3" t="str">
        <f t="shared" si="78"/>
        <v>NR</v>
      </c>
      <c r="R594" s="127">
        <f t="shared" si="79"/>
        <v>0</v>
      </c>
    </row>
    <row r="595" spans="1:18" hidden="1">
      <c r="A595">
        <f t="shared" si="76"/>
        <v>626</v>
      </c>
      <c r="B595" s="42" t="s">
        <v>26</v>
      </c>
      <c r="C595" s="313">
        <f>SUMIF('Employees Supported'!$A$2:$A$29,$B595,'Employees Supported'!$C$2:$C$29)</f>
        <v>400</v>
      </c>
      <c r="E595" s="2">
        <f t="shared" si="75"/>
        <v>54</v>
      </c>
      <c r="F595" t="str">
        <f t="shared" si="80"/>
        <v>Reserved-54</v>
      </c>
      <c r="G595" t="str">
        <f t="shared" si="77"/>
        <v>ParksReserved-54</v>
      </c>
      <c r="H595" s="2" t="s">
        <v>67</v>
      </c>
      <c r="O595" s="2" t="s">
        <v>2678</v>
      </c>
      <c r="P595" s="3" t="str">
        <f t="shared" si="78"/>
        <v>NR</v>
      </c>
      <c r="R595" s="127">
        <f t="shared" si="79"/>
        <v>0</v>
      </c>
    </row>
    <row r="596" spans="1:18" hidden="1">
      <c r="A596">
        <f t="shared" si="76"/>
        <v>627</v>
      </c>
      <c r="B596" s="42" t="s">
        <v>32</v>
      </c>
      <c r="C596" s="313">
        <f>SUMIF('Employees Supported'!$A$2:$A$29,$B596,'Employees Supported'!$C$2:$C$29)</f>
        <v>400</v>
      </c>
      <c r="E596" s="2">
        <f t="shared" si="75"/>
        <v>54</v>
      </c>
      <c r="F596" t="str">
        <f t="shared" si="80"/>
        <v>Reserved-54</v>
      </c>
      <c r="G596" t="str">
        <f t="shared" si="77"/>
        <v>Seattle CtrReserved-54</v>
      </c>
      <c r="H596" s="2" t="s">
        <v>67</v>
      </c>
      <c r="O596" s="2" t="s">
        <v>2678</v>
      </c>
      <c r="P596" s="3" t="str">
        <f t="shared" si="78"/>
        <v>NR</v>
      </c>
      <c r="R596" s="127">
        <f t="shared" si="79"/>
        <v>0</v>
      </c>
    </row>
    <row r="597" spans="1:18">
      <c r="A597">
        <f t="shared" si="76"/>
        <v>628</v>
      </c>
      <c r="B597" s="42" t="s">
        <v>23</v>
      </c>
      <c r="C597" s="313">
        <v>6500</v>
      </c>
      <c r="E597" s="2">
        <f>+E586+1</f>
        <v>55</v>
      </c>
      <c r="F597" t="str">
        <f t="shared" si="80"/>
        <v>Reserved-55</v>
      </c>
      <c r="G597" t="str">
        <f t="shared" si="77"/>
        <v>FAS-CentralizedReserved-55</v>
      </c>
      <c r="H597" s="2" t="s">
        <v>67</v>
      </c>
      <c r="O597" s="2" t="s">
        <v>2678</v>
      </c>
      <c r="P597" s="3" t="str">
        <f t="shared" si="78"/>
        <v>NR</v>
      </c>
      <c r="R597" s="127">
        <f t="shared" si="79"/>
        <v>0</v>
      </c>
    </row>
    <row r="598" spans="1:18" hidden="1">
      <c r="A598">
        <f t="shared" si="76"/>
        <v>629</v>
      </c>
      <c r="B598" s="42" t="s">
        <v>25</v>
      </c>
      <c r="C598" s="313">
        <f>SUMIF('Employees Supported'!$A$2:$A$29,$B598,'Employees Supported'!$C$2:$C$29)</f>
        <v>1500</v>
      </c>
      <c r="E598" s="2">
        <f t="shared" si="75"/>
        <v>55</v>
      </c>
      <c r="F598" t="str">
        <f t="shared" si="80"/>
        <v>Reserved-55</v>
      </c>
      <c r="G598" t="str">
        <f t="shared" si="77"/>
        <v>SPDReserved-55</v>
      </c>
      <c r="H598" s="2" t="s">
        <v>67</v>
      </c>
      <c r="O598" s="2" t="s">
        <v>2678</v>
      </c>
      <c r="P598" s="3" t="str">
        <f t="shared" si="78"/>
        <v>NR</v>
      </c>
      <c r="R598" s="127">
        <f t="shared" si="79"/>
        <v>0</v>
      </c>
    </row>
    <row r="599" spans="1:18" hidden="1">
      <c r="A599">
        <f t="shared" si="76"/>
        <v>630</v>
      </c>
      <c r="B599" s="42" t="s">
        <v>24</v>
      </c>
      <c r="C599" s="313">
        <f>SUMIF('Employees Supported'!$A$2:$A$29,$B599,'Employees Supported'!$C$2:$C$29)</f>
        <v>1100</v>
      </c>
      <c r="E599" s="2">
        <f t="shared" si="75"/>
        <v>55</v>
      </c>
      <c r="F599" t="str">
        <f t="shared" si="80"/>
        <v>Reserved-55</v>
      </c>
      <c r="G599" t="str">
        <f t="shared" si="77"/>
        <v>SFDReserved-55</v>
      </c>
      <c r="H599" s="2" t="s">
        <v>67</v>
      </c>
      <c r="O599" s="2" t="s">
        <v>2678</v>
      </c>
      <c r="P599" s="3" t="str">
        <f t="shared" si="78"/>
        <v>NR</v>
      </c>
      <c r="R599" s="127">
        <f t="shared" si="79"/>
        <v>0</v>
      </c>
    </row>
    <row r="600" spans="1:18" hidden="1">
      <c r="A600">
        <f t="shared" si="76"/>
        <v>631</v>
      </c>
      <c r="B600" s="42" t="s">
        <v>28</v>
      </c>
      <c r="C600" s="313">
        <f>SUMIF('Employees Supported'!$A$2:$A$29,$B600,'Employees Supported'!$C$2:$C$29)</f>
        <v>1100</v>
      </c>
      <c r="E600" s="2">
        <f t="shared" si="75"/>
        <v>55</v>
      </c>
      <c r="F600" t="str">
        <f t="shared" si="80"/>
        <v>Reserved-55</v>
      </c>
      <c r="G600" t="str">
        <f t="shared" si="77"/>
        <v>SDOTReserved-55</v>
      </c>
      <c r="H600" s="2" t="s">
        <v>67</v>
      </c>
      <c r="O600" s="2" t="s">
        <v>2678</v>
      </c>
      <c r="P600" s="3" t="str">
        <f t="shared" si="78"/>
        <v>NR</v>
      </c>
      <c r="R600" s="127">
        <f t="shared" si="79"/>
        <v>0</v>
      </c>
    </row>
    <row r="601" spans="1:18" hidden="1">
      <c r="A601">
        <f t="shared" si="76"/>
        <v>632</v>
      </c>
      <c r="B601" s="42" t="s">
        <v>33</v>
      </c>
      <c r="C601" s="313">
        <f>SUMIF('Employees Supported'!$A$2:$A$29,$B601,'Employees Supported'!$C$2:$C$29)</f>
        <v>400</v>
      </c>
      <c r="E601" s="2">
        <f t="shared" si="75"/>
        <v>55</v>
      </c>
      <c r="F601" t="str">
        <f t="shared" si="80"/>
        <v>Reserved-55</v>
      </c>
      <c r="G601" t="str">
        <f t="shared" si="77"/>
        <v>SCLReserved-55</v>
      </c>
      <c r="H601" s="2" t="s">
        <v>67</v>
      </c>
      <c r="O601" s="2" t="s">
        <v>2678</v>
      </c>
      <c r="P601" s="3" t="str">
        <f t="shared" si="78"/>
        <v>NR</v>
      </c>
      <c r="R601" s="127">
        <f t="shared" si="79"/>
        <v>0</v>
      </c>
    </row>
    <row r="602" spans="1:18" hidden="1">
      <c r="A602">
        <f t="shared" si="76"/>
        <v>633</v>
      </c>
      <c r="B602" s="42" t="s">
        <v>31</v>
      </c>
      <c r="C602" s="313">
        <f>SUMIF('Employees Supported'!$A$2:$A$29,$B602,'Employees Supported'!$C$2:$C$29)</f>
        <v>700</v>
      </c>
      <c r="E602" s="2">
        <f t="shared" si="75"/>
        <v>55</v>
      </c>
      <c r="F602" t="str">
        <f t="shared" si="80"/>
        <v>Reserved-55</v>
      </c>
      <c r="G602" t="str">
        <f t="shared" si="77"/>
        <v>SeaITReserved-55</v>
      </c>
      <c r="H602" s="2" t="s">
        <v>67</v>
      </c>
      <c r="O602" s="2" t="s">
        <v>2678</v>
      </c>
      <c r="P602" s="3" t="str">
        <f t="shared" si="78"/>
        <v>NR</v>
      </c>
      <c r="R602" s="127">
        <f t="shared" si="79"/>
        <v>0</v>
      </c>
    </row>
    <row r="603" spans="1:18" hidden="1">
      <c r="A603">
        <f t="shared" si="76"/>
        <v>634</v>
      </c>
      <c r="B603" s="42" t="s">
        <v>29</v>
      </c>
      <c r="C603" s="313">
        <f>SUMIF('Employees Supported'!$A$2:$A$29,$B603,'Employees Supported'!$C$2:$C$29)</f>
        <v>550</v>
      </c>
      <c r="E603" s="2">
        <f t="shared" si="75"/>
        <v>55</v>
      </c>
      <c r="F603" t="str">
        <f t="shared" si="80"/>
        <v>Reserved-55</v>
      </c>
      <c r="G603" t="str">
        <f t="shared" si="77"/>
        <v>SDCIReserved-55</v>
      </c>
      <c r="H603" s="2" t="s">
        <v>67</v>
      </c>
      <c r="O603" s="2" t="s">
        <v>2678</v>
      </c>
      <c r="P603" s="3" t="str">
        <f t="shared" si="78"/>
        <v>NR</v>
      </c>
      <c r="R603" s="127">
        <f t="shared" si="79"/>
        <v>0</v>
      </c>
    </row>
    <row r="604" spans="1:18" hidden="1">
      <c r="A604">
        <f t="shared" si="76"/>
        <v>635</v>
      </c>
      <c r="B604" s="42" t="s">
        <v>27</v>
      </c>
      <c r="C604" s="313">
        <f>SUMIF('Employees Supported'!$A$2:$A$29,$B604,'Employees Supported'!$C$2:$C$29)</f>
        <v>400</v>
      </c>
      <c r="E604" s="2">
        <f t="shared" si="75"/>
        <v>55</v>
      </c>
      <c r="F604" t="str">
        <f t="shared" si="80"/>
        <v>Reserved-55</v>
      </c>
      <c r="G604" t="str">
        <f t="shared" si="77"/>
        <v>SPUReserved-55</v>
      </c>
      <c r="H604" s="2" t="s">
        <v>67</v>
      </c>
      <c r="O604" s="2" t="s">
        <v>2678</v>
      </c>
      <c r="P604" s="3" t="str">
        <f t="shared" si="78"/>
        <v>NR</v>
      </c>
      <c r="R604" s="127">
        <f t="shared" si="79"/>
        <v>0</v>
      </c>
    </row>
    <row r="605" spans="1:18" hidden="1">
      <c r="A605">
        <f t="shared" si="76"/>
        <v>636</v>
      </c>
      <c r="B605" s="42" t="s">
        <v>30</v>
      </c>
      <c r="C605" s="313">
        <f>SUMIF('Employees Supported'!$A$2:$A$29,$B605,'Employees Supported'!$C$2:$C$29)</f>
        <v>300</v>
      </c>
      <c r="E605" s="2">
        <f t="shared" si="75"/>
        <v>55</v>
      </c>
      <c r="F605" t="str">
        <f t="shared" si="80"/>
        <v>Reserved-55</v>
      </c>
      <c r="G605" t="str">
        <f t="shared" si="77"/>
        <v>LibrariesReserved-55</v>
      </c>
      <c r="H605" s="2" t="s">
        <v>67</v>
      </c>
      <c r="O605" s="2" t="s">
        <v>2678</v>
      </c>
      <c r="P605" s="3" t="str">
        <f t="shared" si="78"/>
        <v>NR</v>
      </c>
      <c r="R605" s="127">
        <f t="shared" si="79"/>
        <v>0</v>
      </c>
    </row>
    <row r="606" spans="1:18" hidden="1">
      <c r="A606">
        <f t="shared" si="76"/>
        <v>637</v>
      </c>
      <c r="B606" s="42" t="s">
        <v>26</v>
      </c>
      <c r="C606" s="313">
        <f>SUMIF('Employees Supported'!$A$2:$A$29,$B606,'Employees Supported'!$C$2:$C$29)</f>
        <v>400</v>
      </c>
      <c r="E606" s="2">
        <f t="shared" si="75"/>
        <v>55</v>
      </c>
      <c r="F606" t="str">
        <f t="shared" si="80"/>
        <v>Reserved-55</v>
      </c>
      <c r="G606" t="str">
        <f t="shared" si="77"/>
        <v>ParksReserved-55</v>
      </c>
      <c r="H606" s="2" t="s">
        <v>67</v>
      </c>
      <c r="O606" s="2" t="s">
        <v>2678</v>
      </c>
      <c r="P606" s="3" t="str">
        <f t="shared" si="78"/>
        <v>NR</v>
      </c>
      <c r="R606" s="127">
        <f t="shared" si="79"/>
        <v>0</v>
      </c>
    </row>
    <row r="607" spans="1:18" hidden="1">
      <c r="A607">
        <f t="shared" si="76"/>
        <v>638</v>
      </c>
      <c r="B607" s="42" t="s">
        <v>32</v>
      </c>
      <c r="C607" s="313">
        <f>SUMIF('Employees Supported'!$A$2:$A$29,$B607,'Employees Supported'!$C$2:$C$29)</f>
        <v>400</v>
      </c>
      <c r="E607" s="2">
        <f t="shared" ref="E607" si="81">+E596+1</f>
        <v>55</v>
      </c>
      <c r="F607" t="str">
        <f t="shared" si="80"/>
        <v>Reserved-55</v>
      </c>
      <c r="G607" t="str">
        <f t="shared" si="77"/>
        <v>Seattle CtrReserved-55</v>
      </c>
      <c r="H607" s="2" t="s">
        <v>67</v>
      </c>
      <c r="O607" s="2" t="s">
        <v>2678</v>
      </c>
      <c r="P607" s="3" t="str">
        <f t="shared" si="78"/>
        <v>NR</v>
      </c>
      <c r="R607" s="127">
        <f t="shared" si="79"/>
        <v>0</v>
      </c>
    </row>
    <row r="608" spans="1:18">
      <c r="A608">
        <f t="shared" si="76"/>
        <v>639</v>
      </c>
      <c r="B608" s="42" t="s">
        <v>23</v>
      </c>
      <c r="C608" s="313">
        <v>6500</v>
      </c>
      <c r="E608" s="2">
        <f>+E597+1</f>
        <v>56</v>
      </c>
      <c r="F608" t="str">
        <f t="shared" si="80"/>
        <v>Reserved-56</v>
      </c>
      <c r="G608" t="str">
        <f t="shared" si="77"/>
        <v>FAS-CentralizedReserved-56</v>
      </c>
      <c r="H608" s="2" t="s">
        <v>67</v>
      </c>
      <c r="O608" s="2" t="s">
        <v>2678</v>
      </c>
      <c r="P608" s="3" t="str">
        <f t="shared" si="78"/>
        <v>NR</v>
      </c>
      <c r="R608" s="127">
        <f t="shared" si="79"/>
        <v>0</v>
      </c>
    </row>
    <row r="609" spans="1:18" hidden="1">
      <c r="A609">
        <f t="shared" si="76"/>
        <v>640</v>
      </c>
      <c r="B609" s="42" t="s">
        <v>25</v>
      </c>
      <c r="C609" s="313">
        <f>SUMIF('Employees Supported'!$A$2:$A$29,$B609,'Employees Supported'!$C$2:$C$29)</f>
        <v>1500</v>
      </c>
      <c r="E609" s="2">
        <f t="shared" ref="E609:E629" si="82">+E598+1</f>
        <v>56</v>
      </c>
      <c r="F609" t="str">
        <f t="shared" si="80"/>
        <v>Reserved-56</v>
      </c>
      <c r="G609" t="str">
        <f t="shared" si="77"/>
        <v>SPDReserved-56</v>
      </c>
      <c r="H609" s="2" t="s">
        <v>67</v>
      </c>
      <c r="O609" s="2" t="s">
        <v>2678</v>
      </c>
      <c r="P609" s="3" t="str">
        <f t="shared" si="78"/>
        <v>NR</v>
      </c>
      <c r="R609" s="127">
        <f t="shared" si="79"/>
        <v>0</v>
      </c>
    </row>
    <row r="610" spans="1:18" hidden="1">
      <c r="A610">
        <f t="shared" si="76"/>
        <v>641</v>
      </c>
      <c r="B610" s="42" t="s">
        <v>24</v>
      </c>
      <c r="C610" s="313">
        <f>SUMIF('Employees Supported'!$A$2:$A$29,$B610,'Employees Supported'!$C$2:$C$29)</f>
        <v>1100</v>
      </c>
      <c r="E610" s="2">
        <f t="shared" si="82"/>
        <v>56</v>
      </c>
      <c r="F610" t="str">
        <f t="shared" si="80"/>
        <v>Reserved-56</v>
      </c>
      <c r="G610" t="str">
        <f t="shared" si="77"/>
        <v>SFDReserved-56</v>
      </c>
      <c r="H610" s="2" t="s">
        <v>67</v>
      </c>
      <c r="O610" s="2" t="s">
        <v>2678</v>
      </c>
      <c r="P610" s="3" t="str">
        <f t="shared" si="78"/>
        <v>NR</v>
      </c>
      <c r="R610" s="127">
        <f t="shared" si="79"/>
        <v>0</v>
      </c>
    </row>
    <row r="611" spans="1:18" hidden="1">
      <c r="A611">
        <f t="shared" si="76"/>
        <v>642</v>
      </c>
      <c r="B611" s="42" t="s">
        <v>28</v>
      </c>
      <c r="C611" s="313">
        <f>SUMIF('Employees Supported'!$A$2:$A$29,$B611,'Employees Supported'!$C$2:$C$29)</f>
        <v>1100</v>
      </c>
      <c r="E611" s="2">
        <f t="shared" si="82"/>
        <v>56</v>
      </c>
      <c r="F611" t="str">
        <f t="shared" si="80"/>
        <v>Reserved-56</v>
      </c>
      <c r="G611" t="str">
        <f t="shared" si="77"/>
        <v>SDOTReserved-56</v>
      </c>
      <c r="H611" s="2" t="s">
        <v>67</v>
      </c>
      <c r="O611" s="2" t="s">
        <v>2678</v>
      </c>
      <c r="P611" s="3" t="str">
        <f t="shared" si="78"/>
        <v>NR</v>
      </c>
      <c r="R611" s="127">
        <f t="shared" si="79"/>
        <v>0</v>
      </c>
    </row>
    <row r="612" spans="1:18" hidden="1">
      <c r="A612">
        <f t="shared" si="76"/>
        <v>643</v>
      </c>
      <c r="B612" s="42" t="s">
        <v>33</v>
      </c>
      <c r="C612" s="313">
        <f>SUMIF('Employees Supported'!$A$2:$A$29,$B612,'Employees Supported'!$C$2:$C$29)</f>
        <v>400</v>
      </c>
      <c r="E612" s="2">
        <f t="shared" si="82"/>
        <v>56</v>
      </c>
      <c r="F612" t="str">
        <f t="shared" si="80"/>
        <v>Reserved-56</v>
      </c>
      <c r="G612" t="str">
        <f t="shared" si="77"/>
        <v>SCLReserved-56</v>
      </c>
      <c r="H612" s="2" t="s">
        <v>67</v>
      </c>
      <c r="O612" s="2" t="s">
        <v>2678</v>
      </c>
      <c r="P612" s="3" t="str">
        <f t="shared" si="78"/>
        <v>NR</v>
      </c>
      <c r="R612" s="127">
        <f t="shared" si="79"/>
        <v>0</v>
      </c>
    </row>
    <row r="613" spans="1:18" hidden="1">
      <c r="A613">
        <f t="shared" si="76"/>
        <v>644</v>
      </c>
      <c r="B613" s="42" t="s">
        <v>31</v>
      </c>
      <c r="C613" s="313">
        <f>SUMIF('Employees Supported'!$A$2:$A$29,$B613,'Employees Supported'!$C$2:$C$29)</f>
        <v>700</v>
      </c>
      <c r="E613" s="2">
        <f t="shared" si="82"/>
        <v>56</v>
      </c>
      <c r="F613" t="str">
        <f t="shared" si="80"/>
        <v>Reserved-56</v>
      </c>
      <c r="G613" t="str">
        <f t="shared" si="77"/>
        <v>SeaITReserved-56</v>
      </c>
      <c r="H613" s="2" t="s">
        <v>67</v>
      </c>
      <c r="O613" s="2" t="s">
        <v>2678</v>
      </c>
      <c r="P613" s="3" t="str">
        <f t="shared" si="78"/>
        <v>NR</v>
      </c>
      <c r="R613" s="127">
        <f t="shared" si="79"/>
        <v>0</v>
      </c>
    </row>
    <row r="614" spans="1:18" hidden="1">
      <c r="A614">
        <f t="shared" si="76"/>
        <v>645</v>
      </c>
      <c r="B614" s="42" t="s">
        <v>29</v>
      </c>
      <c r="C614" s="313">
        <f>SUMIF('Employees Supported'!$A$2:$A$29,$B614,'Employees Supported'!$C$2:$C$29)</f>
        <v>550</v>
      </c>
      <c r="E614" s="2">
        <f t="shared" si="82"/>
        <v>56</v>
      </c>
      <c r="F614" t="str">
        <f t="shared" si="80"/>
        <v>Reserved-56</v>
      </c>
      <c r="G614" t="str">
        <f t="shared" si="77"/>
        <v>SDCIReserved-56</v>
      </c>
      <c r="H614" s="2" t="s">
        <v>67</v>
      </c>
      <c r="O614" s="2" t="s">
        <v>2678</v>
      </c>
      <c r="P614" s="3" t="str">
        <f t="shared" si="78"/>
        <v>NR</v>
      </c>
      <c r="R614" s="127">
        <f t="shared" si="79"/>
        <v>0</v>
      </c>
    </row>
    <row r="615" spans="1:18" hidden="1">
      <c r="A615">
        <f t="shared" si="76"/>
        <v>646</v>
      </c>
      <c r="B615" s="42" t="s">
        <v>27</v>
      </c>
      <c r="C615" s="313">
        <f>SUMIF('Employees Supported'!$A$2:$A$29,$B615,'Employees Supported'!$C$2:$C$29)</f>
        <v>400</v>
      </c>
      <c r="E615" s="2">
        <f t="shared" si="82"/>
        <v>56</v>
      </c>
      <c r="F615" t="str">
        <f t="shared" si="80"/>
        <v>Reserved-56</v>
      </c>
      <c r="G615" t="str">
        <f t="shared" si="77"/>
        <v>SPUReserved-56</v>
      </c>
      <c r="H615" s="2" t="s">
        <v>67</v>
      </c>
      <c r="O615" s="2" t="s">
        <v>2678</v>
      </c>
      <c r="P615" s="3" t="str">
        <f t="shared" si="78"/>
        <v>NR</v>
      </c>
      <c r="R615" s="127">
        <f t="shared" si="79"/>
        <v>0</v>
      </c>
    </row>
    <row r="616" spans="1:18" hidden="1">
      <c r="A616">
        <f t="shared" si="76"/>
        <v>647</v>
      </c>
      <c r="B616" s="42" t="s">
        <v>30</v>
      </c>
      <c r="C616" s="313">
        <f>SUMIF('Employees Supported'!$A$2:$A$29,$B616,'Employees Supported'!$C$2:$C$29)</f>
        <v>300</v>
      </c>
      <c r="E616" s="2">
        <f t="shared" si="82"/>
        <v>56</v>
      </c>
      <c r="F616" t="str">
        <f t="shared" si="80"/>
        <v>Reserved-56</v>
      </c>
      <c r="G616" t="str">
        <f t="shared" si="77"/>
        <v>LibrariesReserved-56</v>
      </c>
      <c r="H616" s="2" t="s">
        <v>67</v>
      </c>
      <c r="O616" s="2" t="s">
        <v>2678</v>
      </c>
      <c r="P616" s="3" t="str">
        <f t="shared" si="78"/>
        <v>NR</v>
      </c>
      <c r="R616" s="127">
        <f t="shared" si="79"/>
        <v>0</v>
      </c>
    </row>
    <row r="617" spans="1:18" hidden="1">
      <c r="A617">
        <f t="shared" si="76"/>
        <v>648</v>
      </c>
      <c r="B617" s="42" t="s">
        <v>26</v>
      </c>
      <c r="C617" s="313">
        <f>SUMIF('Employees Supported'!$A$2:$A$29,$B617,'Employees Supported'!$C$2:$C$29)</f>
        <v>400</v>
      </c>
      <c r="E617" s="2">
        <f t="shared" si="82"/>
        <v>56</v>
      </c>
      <c r="F617" t="str">
        <f t="shared" si="80"/>
        <v>Reserved-56</v>
      </c>
      <c r="G617" t="str">
        <f t="shared" si="77"/>
        <v>ParksReserved-56</v>
      </c>
      <c r="H617" s="2" t="s">
        <v>67</v>
      </c>
      <c r="O617" s="2" t="s">
        <v>2678</v>
      </c>
      <c r="P617" s="3" t="str">
        <f t="shared" si="78"/>
        <v>NR</v>
      </c>
      <c r="R617" s="127">
        <f t="shared" si="79"/>
        <v>0</v>
      </c>
    </row>
    <row r="618" spans="1:18" hidden="1">
      <c r="A618">
        <f t="shared" si="76"/>
        <v>649</v>
      </c>
      <c r="B618" s="42" t="s">
        <v>32</v>
      </c>
      <c r="C618" s="313">
        <f>SUMIF('Employees Supported'!$A$2:$A$29,$B618,'Employees Supported'!$C$2:$C$29)</f>
        <v>400</v>
      </c>
      <c r="E618" s="2">
        <f t="shared" si="82"/>
        <v>56</v>
      </c>
      <c r="F618" t="str">
        <f t="shared" si="80"/>
        <v>Reserved-56</v>
      </c>
      <c r="G618" t="str">
        <f t="shared" si="77"/>
        <v>Seattle CtrReserved-56</v>
      </c>
      <c r="H618" s="2" t="s">
        <v>67</v>
      </c>
      <c r="O618" s="2" t="s">
        <v>2678</v>
      </c>
      <c r="P618" s="3" t="str">
        <f t="shared" si="78"/>
        <v>NR</v>
      </c>
      <c r="R618" s="127">
        <f t="shared" si="79"/>
        <v>0</v>
      </c>
    </row>
    <row r="619" spans="1:18">
      <c r="A619">
        <f t="shared" si="76"/>
        <v>650</v>
      </c>
      <c r="B619" s="42" t="s">
        <v>23</v>
      </c>
      <c r="C619" s="313">
        <v>6500</v>
      </c>
      <c r="E619" s="2">
        <f>+E608+1</f>
        <v>57</v>
      </c>
      <c r="F619" t="str">
        <f t="shared" si="80"/>
        <v>Reserved-57</v>
      </c>
      <c r="G619" t="str">
        <f t="shared" si="77"/>
        <v>FAS-CentralizedReserved-57</v>
      </c>
      <c r="H619" s="2" t="s">
        <v>67</v>
      </c>
      <c r="O619" s="2" t="s">
        <v>2678</v>
      </c>
      <c r="P619" s="3" t="str">
        <f t="shared" si="78"/>
        <v>NR</v>
      </c>
      <c r="R619" s="127">
        <f t="shared" si="79"/>
        <v>0</v>
      </c>
    </row>
    <row r="620" spans="1:18" hidden="1">
      <c r="A620">
        <f t="shared" si="76"/>
        <v>651</v>
      </c>
      <c r="B620" s="42" t="s">
        <v>25</v>
      </c>
      <c r="C620" s="313">
        <f>SUMIF('Employees Supported'!$A$2:$A$29,$B620,'Employees Supported'!$C$2:$C$29)</f>
        <v>1500</v>
      </c>
      <c r="E620" s="2">
        <f t="shared" si="82"/>
        <v>57</v>
      </c>
      <c r="F620" t="str">
        <f t="shared" si="80"/>
        <v>Reserved-57</v>
      </c>
      <c r="G620" t="str">
        <f t="shared" si="77"/>
        <v>SPDReserved-57</v>
      </c>
      <c r="H620" s="2" t="s">
        <v>67</v>
      </c>
      <c r="O620" s="2" t="s">
        <v>2678</v>
      </c>
      <c r="P620" s="3" t="str">
        <f t="shared" si="78"/>
        <v>NR</v>
      </c>
      <c r="R620" s="127">
        <f t="shared" si="79"/>
        <v>0</v>
      </c>
    </row>
    <row r="621" spans="1:18" hidden="1">
      <c r="A621">
        <f t="shared" si="76"/>
        <v>652</v>
      </c>
      <c r="B621" s="42" t="s">
        <v>24</v>
      </c>
      <c r="C621" s="313">
        <f>SUMIF('Employees Supported'!$A$2:$A$29,$B621,'Employees Supported'!$C$2:$C$29)</f>
        <v>1100</v>
      </c>
      <c r="E621" s="2">
        <f t="shared" si="82"/>
        <v>57</v>
      </c>
      <c r="F621" t="str">
        <f t="shared" si="80"/>
        <v>Reserved-57</v>
      </c>
      <c r="G621" t="str">
        <f t="shared" si="77"/>
        <v>SFDReserved-57</v>
      </c>
      <c r="H621" s="2" t="s">
        <v>67</v>
      </c>
      <c r="O621" s="2" t="s">
        <v>2678</v>
      </c>
      <c r="P621" s="3" t="str">
        <f t="shared" si="78"/>
        <v>NR</v>
      </c>
      <c r="R621" s="127">
        <f t="shared" si="79"/>
        <v>0</v>
      </c>
    </row>
    <row r="622" spans="1:18" hidden="1">
      <c r="A622">
        <f t="shared" si="76"/>
        <v>653</v>
      </c>
      <c r="B622" s="42" t="s">
        <v>28</v>
      </c>
      <c r="C622" s="313">
        <f>SUMIF('Employees Supported'!$A$2:$A$29,$B622,'Employees Supported'!$C$2:$C$29)</f>
        <v>1100</v>
      </c>
      <c r="E622" s="2">
        <f t="shared" si="82"/>
        <v>57</v>
      </c>
      <c r="F622" t="str">
        <f t="shared" si="80"/>
        <v>Reserved-57</v>
      </c>
      <c r="G622" t="str">
        <f t="shared" si="77"/>
        <v>SDOTReserved-57</v>
      </c>
      <c r="H622" s="2" t="s">
        <v>67</v>
      </c>
      <c r="O622" s="2" t="s">
        <v>2678</v>
      </c>
      <c r="P622" s="3" t="str">
        <f t="shared" si="78"/>
        <v>NR</v>
      </c>
      <c r="R622" s="127">
        <f t="shared" si="79"/>
        <v>0</v>
      </c>
    </row>
    <row r="623" spans="1:18" hidden="1">
      <c r="A623">
        <f t="shared" si="76"/>
        <v>654</v>
      </c>
      <c r="B623" s="42" t="s">
        <v>33</v>
      </c>
      <c r="C623" s="313">
        <f>SUMIF('Employees Supported'!$A$2:$A$29,$B623,'Employees Supported'!$C$2:$C$29)</f>
        <v>400</v>
      </c>
      <c r="E623" s="2">
        <f t="shared" si="82"/>
        <v>57</v>
      </c>
      <c r="F623" t="str">
        <f t="shared" si="80"/>
        <v>Reserved-57</v>
      </c>
      <c r="G623" t="str">
        <f t="shared" si="77"/>
        <v>SCLReserved-57</v>
      </c>
      <c r="H623" s="2" t="s">
        <v>67</v>
      </c>
      <c r="O623" s="2" t="s">
        <v>2678</v>
      </c>
      <c r="P623" s="3" t="str">
        <f t="shared" si="78"/>
        <v>NR</v>
      </c>
      <c r="R623" s="127">
        <f t="shared" si="79"/>
        <v>0</v>
      </c>
    </row>
    <row r="624" spans="1:18" hidden="1">
      <c r="A624">
        <f t="shared" si="76"/>
        <v>655</v>
      </c>
      <c r="B624" s="42" t="s">
        <v>31</v>
      </c>
      <c r="C624" s="313">
        <f>SUMIF('Employees Supported'!$A$2:$A$29,$B624,'Employees Supported'!$C$2:$C$29)</f>
        <v>700</v>
      </c>
      <c r="E624" s="2">
        <f t="shared" si="82"/>
        <v>57</v>
      </c>
      <c r="F624" t="str">
        <f t="shared" si="80"/>
        <v>Reserved-57</v>
      </c>
      <c r="G624" t="str">
        <f t="shared" si="77"/>
        <v>SeaITReserved-57</v>
      </c>
      <c r="H624" s="2" t="s">
        <v>67</v>
      </c>
      <c r="O624" s="2" t="s">
        <v>2678</v>
      </c>
      <c r="P624" s="3" t="str">
        <f t="shared" si="78"/>
        <v>NR</v>
      </c>
      <c r="R624" s="127">
        <f t="shared" si="79"/>
        <v>0</v>
      </c>
    </row>
    <row r="625" spans="1:18" hidden="1">
      <c r="A625">
        <f t="shared" si="76"/>
        <v>656</v>
      </c>
      <c r="B625" s="42" t="s">
        <v>29</v>
      </c>
      <c r="C625" s="313">
        <f>SUMIF('Employees Supported'!$A$2:$A$29,$B625,'Employees Supported'!$C$2:$C$29)</f>
        <v>550</v>
      </c>
      <c r="E625" s="2">
        <f t="shared" si="82"/>
        <v>57</v>
      </c>
      <c r="F625" t="str">
        <f t="shared" si="80"/>
        <v>Reserved-57</v>
      </c>
      <c r="G625" t="str">
        <f t="shared" si="77"/>
        <v>SDCIReserved-57</v>
      </c>
      <c r="H625" s="2" t="s">
        <v>67</v>
      </c>
      <c r="O625" s="2" t="s">
        <v>2678</v>
      </c>
      <c r="P625" s="3" t="str">
        <f t="shared" si="78"/>
        <v>NR</v>
      </c>
      <c r="R625" s="127">
        <f t="shared" si="79"/>
        <v>0</v>
      </c>
    </row>
    <row r="626" spans="1:18" hidden="1">
      <c r="A626">
        <f t="shared" si="76"/>
        <v>657</v>
      </c>
      <c r="B626" s="42" t="s">
        <v>27</v>
      </c>
      <c r="C626" s="313">
        <f>SUMIF('Employees Supported'!$A$2:$A$29,$B626,'Employees Supported'!$C$2:$C$29)</f>
        <v>400</v>
      </c>
      <c r="E626" s="2">
        <f t="shared" si="82"/>
        <v>57</v>
      </c>
      <c r="F626" t="str">
        <f t="shared" si="80"/>
        <v>Reserved-57</v>
      </c>
      <c r="G626" t="str">
        <f t="shared" si="77"/>
        <v>SPUReserved-57</v>
      </c>
      <c r="H626" s="2" t="s">
        <v>67</v>
      </c>
      <c r="O626" s="2" t="s">
        <v>2678</v>
      </c>
      <c r="P626" s="3" t="str">
        <f t="shared" si="78"/>
        <v>NR</v>
      </c>
      <c r="R626" s="127">
        <f t="shared" si="79"/>
        <v>0</v>
      </c>
    </row>
    <row r="627" spans="1:18" hidden="1">
      <c r="A627">
        <f t="shared" si="76"/>
        <v>658</v>
      </c>
      <c r="B627" s="42" t="s">
        <v>30</v>
      </c>
      <c r="C627" s="313">
        <f>SUMIF('Employees Supported'!$A$2:$A$29,$B627,'Employees Supported'!$C$2:$C$29)</f>
        <v>300</v>
      </c>
      <c r="E627" s="2">
        <f t="shared" si="82"/>
        <v>57</v>
      </c>
      <c r="F627" t="str">
        <f t="shared" si="80"/>
        <v>Reserved-57</v>
      </c>
      <c r="G627" t="str">
        <f t="shared" si="77"/>
        <v>LibrariesReserved-57</v>
      </c>
      <c r="H627" s="2" t="s">
        <v>67</v>
      </c>
      <c r="O627" s="2" t="s">
        <v>2678</v>
      </c>
      <c r="P627" s="3" t="str">
        <f t="shared" si="78"/>
        <v>NR</v>
      </c>
      <c r="R627" s="127">
        <f t="shared" si="79"/>
        <v>0</v>
      </c>
    </row>
    <row r="628" spans="1:18" hidden="1">
      <c r="A628">
        <f t="shared" si="76"/>
        <v>659</v>
      </c>
      <c r="B628" s="42" t="s">
        <v>26</v>
      </c>
      <c r="C628" s="313">
        <f>SUMIF('Employees Supported'!$A$2:$A$29,$B628,'Employees Supported'!$C$2:$C$29)</f>
        <v>400</v>
      </c>
      <c r="E628" s="2">
        <f t="shared" si="82"/>
        <v>57</v>
      </c>
      <c r="F628" t="str">
        <f t="shared" si="80"/>
        <v>Reserved-57</v>
      </c>
      <c r="G628" t="str">
        <f t="shared" si="77"/>
        <v>ParksReserved-57</v>
      </c>
      <c r="H628" s="2" t="s">
        <v>67</v>
      </c>
      <c r="O628" s="2" t="s">
        <v>2678</v>
      </c>
      <c r="P628" s="3" t="str">
        <f t="shared" si="78"/>
        <v>NR</v>
      </c>
      <c r="R628" s="127">
        <f t="shared" si="79"/>
        <v>0</v>
      </c>
    </row>
    <row r="629" spans="1:18" hidden="1">
      <c r="A629">
        <f t="shared" si="76"/>
        <v>660</v>
      </c>
      <c r="B629" s="42" t="s">
        <v>32</v>
      </c>
      <c r="C629" s="313">
        <f>SUMIF('Employees Supported'!$A$2:$A$29,$B629,'Employees Supported'!$C$2:$C$29)</f>
        <v>400</v>
      </c>
      <c r="E629" s="2">
        <f t="shared" si="82"/>
        <v>57</v>
      </c>
      <c r="F629" t="str">
        <f t="shared" si="80"/>
        <v>Reserved-57</v>
      </c>
      <c r="G629" t="str">
        <f t="shared" si="77"/>
        <v>Seattle CtrReserved-57</v>
      </c>
      <c r="H629" s="2" t="s">
        <v>67</v>
      </c>
      <c r="O629" s="2" t="s">
        <v>2678</v>
      </c>
      <c r="P629" s="3" t="str">
        <f t="shared" si="78"/>
        <v>NR</v>
      </c>
      <c r="R629" s="127">
        <f t="shared" si="79"/>
        <v>0</v>
      </c>
    </row>
    <row r="630" spans="1:18">
      <c r="A630">
        <f t="shared" si="76"/>
        <v>661</v>
      </c>
      <c r="B630" s="42" t="s">
        <v>23</v>
      </c>
      <c r="C630" s="313">
        <v>6500</v>
      </c>
      <c r="E630" s="2">
        <f>+E619+1</f>
        <v>58</v>
      </c>
      <c r="F630" t="str">
        <f t="shared" si="80"/>
        <v>Reserved-58</v>
      </c>
      <c r="G630" t="str">
        <f t="shared" si="77"/>
        <v>FAS-CentralizedReserved-58</v>
      </c>
      <c r="H630" s="2" t="s">
        <v>67</v>
      </c>
      <c r="O630" s="2" t="s">
        <v>2678</v>
      </c>
      <c r="P630" s="3" t="str">
        <f t="shared" si="78"/>
        <v>NR</v>
      </c>
      <c r="R630" s="127">
        <f t="shared" si="79"/>
        <v>0</v>
      </c>
    </row>
    <row r="631" spans="1:18" hidden="1">
      <c r="A631">
        <f t="shared" ref="A631:A694" si="83">+A630+1</f>
        <v>662</v>
      </c>
      <c r="B631" s="42" t="s">
        <v>25</v>
      </c>
      <c r="C631" s="313">
        <f>SUMIF('Employees Supported'!$A$2:$A$29,$B631,'Employees Supported'!$C$2:$C$29)</f>
        <v>1500</v>
      </c>
      <c r="E631" s="2">
        <f t="shared" ref="E631:E694" si="84">+E620+1</f>
        <v>58</v>
      </c>
      <c r="F631" t="str">
        <f t="shared" si="80"/>
        <v>Reserved-58</v>
      </c>
      <c r="G631" t="str">
        <f t="shared" si="77"/>
        <v>SPDReserved-58</v>
      </c>
      <c r="H631" s="2" t="s">
        <v>67</v>
      </c>
      <c r="O631" s="2" t="s">
        <v>2678</v>
      </c>
      <c r="P631" s="3" t="str">
        <f t="shared" si="78"/>
        <v>NR</v>
      </c>
      <c r="R631" s="127">
        <f t="shared" si="79"/>
        <v>0</v>
      </c>
    </row>
    <row r="632" spans="1:18" hidden="1">
      <c r="A632">
        <f t="shared" si="83"/>
        <v>663</v>
      </c>
      <c r="B632" s="42" t="s">
        <v>24</v>
      </c>
      <c r="C632" s="313">
        <f>SUMIF('Employees Supported'!$A$2:$A$29,$B632,'Employees Supported'!$C$2:$C$29)</f>
        <v>1100</v>
      </c>
      <c r="E632" s="2">
        <f t="shared" si="84"/>
        <v>58</v>
      </c>
      <c r="F632" t="str">
        <f t="shared" si="80"/>
        <v>Reserved-58</v>
      </c>
      <c r="G632" t="str">
        <f t="shared" ref="G632:G695" si="85">_xlfn.SINGLE(_xlfn.CONCAT(B632,F632))</f>
        <v>SFDReserved-58</v>
      </c>
      <c r="H632" s="2" t="s">
        <v>67</v>
      </c>
      <c r="O632" s="2" t="s">
        <v>2678</v>
      </c>
      <c r="P632" s="3" t="str">
        <f t="shared" ref="P632:P695" si="86">IF(O632="NR","NR",((((C632+D632)*I632)*90)+(J632*90)+(((C632+D632)*K632)*3)+(L632*3)+((C632+D632)*M632)+N632))</f>
        <v>NR</v>
      </c>
      <c r="R632" s="127">
        <f t="shared" ref="R632:R695" si="87">SUM(P632)/90</f>
        <v>0</v>
      </c>
    </row>
    <row r="633" spans="1:18" hidden="1">
      <c r="A633">
        <f t="shared" si="83"/>
        <v>664</v>
      </c>
      <c r="B633" s="42" t="s">
        <v>28</v>
      </c>
      <c r="C633" s="313">
        <f>SUMIF('Employees Supported'!$A$2:$A$29,$B633,'Employees Supported'!$C$2:$C$29)</f>
        <v>1100</v>
      </c>
      <c r="E633" s="2">
        <f t="shared" si="84"/>
        <v>58</v>
      </c>
      <c r="F633" t="str">
        <f t="shared" si="80"/>
        <v>Reserved-58</v>
      </c>
      <c r="G633" t="str">
        <f t="shared" si="85"/>
        <v>SDOTReserved-58</v>
      </c>
      <c r="H633" s="2" t="s">
        <v>67</v>
      </c>
      <c r="O633" s="2" t="s">
        <v>2678</v>
      </c>
      <c r="P633" s="3" t="str">
        <f t="shared" si="86"/>
        <v>NR</v>
      </c>
      <c r="R633" s="127">
        <f t="shared" si="87"/>
        <v>0</v>
      </c>
    </row>
    <row r="634" spans="1:18" hidden="1">
      <c r="A634">
        <f t="shared" si="83"/>
        <v>665</v>
      </c>
      <c r="B634" s="42" t="s">
        <v>33</v>
      </c>
      <c r="C634" s="313">
        <f>SUMIF('Employees Supported'!$A$2:$A$29,$B634,'Employees Supported'!$C$2:$C$29)</f>
        <v>400</v>
      </c>
      <c r="E634" s="2">
        <f t="shared" si="84"/>
        <v>58</v>
      </c>
      <c r="F634" t="str">
        <f t="shared" si="80"/>
        <v>Reserved-58</v>
      </c>
      <c r="G634" t="str">
        <f t="shared" si="85"/>
        <v>SCLReserved-58</v>
      </c>
      <c r="H634" s="2" t="s">
        <v>67</v>
      </c>
      <c r="O634" s="2" t="s">
        <v>2678</v>
      </c>
      <c r="P634" s="3" t="str">
        <f t="shared" si="86"/>
        <v>NR</v>
      </c>
      <c r="R634" s="127">
        <f t="shared" si="87"/>
        <v>0</v>
      </c>
    </row>
    <row r="635" spans="1:18" hidden="1">
      <c r="A635">
        <f t="shared" si="83"/>
        <v>666</v>
      </c>
      <c r="B635" s="42" t="s">
        <v>31</v>
      </c>
      <c r="C635" s="313">
        <f>SUMIF('Employees Supported'!$A$2:$A$29,$B635,'Employees Supported'!$C$2:$C$29)</f>
        <v>700</v>
      </c>
      <c r="E635" s="2">
        <f t="shared" si="84"/>
        <v>58</v>
      </c>
      <c r="F635" t="str">
        <f t="shared" si="80"/>
        <v>Reserved-58</v>
      </c>
      <c r="G635" t="str">
        <f t="shared" si="85"/>
        <v>SeaITReserved-58</v>
      </c>
      <c r="H635" s="2" t="s">
        <v>67</v>
      </c>
      <c r="O635" s="2" t="s">
        <v>2678</v>
      </c>
      <c r="P635" s="3" t="str">
        <f t="shared" si="86"/>
        <v>NR</v>
      </c>
      <c r="R635" s="127">
        <f t="shared" si="87"/>
        <v>0</v>
      </c>
    </row>
    <row r="636" spans="1:18" hidden="1">
      <c r="A636">
        <f t="shared" si="83"/>
        <v>667</v>
      </c>
      <c r="B636" s="42" t="s">
        <v>29</v>
      </c>
      <c r="C636" s="313">
        <f>SUMIF('Employees Supported'!$A$2:$A$29,$B636,'Employees Supported'!$C$2:$C$29)</f>
        <v>550</v>
      </c>
      <c r="E636" s="2">
        <f t="shared" si="84"/>
        <v>58</v>
      </c>
      <c r="F636" t="str">
        <f t="shared" si="80"/>
        <v>Reserved-58</v>
      </c>
      <c r="G636" t="str">
        <f t="shared" si="85"/>
        <v>SDCIReserved-58</v>
      </c>
      <c r="H636" s="2" t="s">
        <v>67</v>
      </c>
      <c r="O636" s="2" t="s">
        <v>2678</v>
      </c>
      <c r="P636" s="3" t="str">
        <f t="shared" si="86"/>
        <v>NR</v>
      </c>
      <c r="R636" s="127">
        <f t="shared" si="87"/>
        <v>0</v>
      </c>
    </row>
    <row r="637" spans="1:18" hidden="1">
      <c r="A637">
        <f t="shared" si="83"/>
        <v>668</v>
      </c>
      <c r="B637" s="42" t="s">
        <v>27</v>
      </c>
      <c r="C637" s="313">
        <f>SUMIF('Employees Supported'!$A$2:$A$29,$B637,'Employees Supported'!$C$2:$C$29)</f>
        <v>400</v>
      </c>
      <c r="E637" s="2">
        <f t="shared" si="84"/>
        <v>58</v>
      </c>
      <c r="F637" t="str">
        <f t="shared" si="80"/>
        <v>Reserved-58</v>
      </c>
      <c r="G637" t="str">
        <f t="shared" si="85"/>
        <v>SPUReserved-58</v>
      </c>
      <c r="H637" s="2" t="s">
        <v>67</v>
      </c>
      <c r="O637" s="2" t="s">
        <v>2678</v>
      </c>
      <c r="P637" s="3" t="str">
        <f t="shared" si="86"/>
        <v>NR</v>
      </c>
      <c r="R637" s="127">
        <f t="shared" si="87"/>
        <v>0</v>
      </c>
    </row>
    <row r="638" spans="1:18" hidden="1">
      <c r="A638">
        <f t="shared" si="83"/>
        <v>669</v>
      </c>
      <c r="B638" s="42" t="s">
        <v>30</v>
      </c>
      <c r="C638" s="313">
        <f>SUMIF('Employees Supported'!$A$2:$A$29,$B638,'Employees Supported'!$C$2:$C$29)</f>
        <v>300</v>
      </c>
      <c r="E638" s="2">
        <f t="shared" si="84"/>
        <v>58</v>
      </c>
      <c r="F638" t="str">
        <f t="shared" si="80"/>
        <v>Reserved-58</v>
      </c>
      <c r="G638" t="str">
        <f t="shared" si="85"/>
        <v>LibrariesReserved-58</v>
      </c>
      <c r="H638" s="2" t="s">
        <v>67</v>
      </c>
      <c r="O638" s="2" t="s">
        <v>2678</v>
      </c>
      <c r="P638" s="3" t="str">
        <f t="shared" si="86"/>
        <v>NR</v>
      </c>
      <c r="R638" s="127">
        <f t="shared" si="87"/>
        <v>0</v>
      </c>
    </row>
    <row r="639" spans="1:18" hidden="1">
      <c r="A639">
        <f t="shared" si="83"/>
        <v>670</v>
      </c>
      <c r="B639" s="42" t="s">
        <v>26</v>
      </c>
      <c r="C639" s="313">
        <f>SUMIF('Employees Supported'!$A$2:$A$29,$B639,'Employees Supported'!$C$2:$C$29)</f>
        <v>400</v>
      </c>
      <c r="E639" s="2">
        <f t="shared" si="84"/>
        <v>58</v>
      </c>
      <c r="F639" t="str">
        <f t="shared" si="80"/>
        <v>Reserved-58</v>
      </c>
      <c r="G639" t="str">
        <f t="shared" si="85"/>
        <v>ParksReserved-58</v>
      </c>
      <c r="H639" s="2" t="s">
        <v>67</v>
      </c>
      <c r="O639" s="2" t="s">
        <v>2678</v>
      </c>
      <c r="P639" s="3" t="str">
        <f t="shared" si="86"/>
        <v>NR</v>
      </c>
      <c r="R639" s="127">
        <f t="shared" si="87"/>
        <v>0</v>
      </c>
    </row>
    <row r="640" spans="1:18" hidden="1">
      <c r="A640">
        <f t="shared" si="83"/>
        <v>671</v>
      </c>
      <c r="B640" s="42" t="s">
        <v>32</v>
      </c>
      <c r="C640" s="313">
        <f>SUMIF('Employees Supported'!$A$2:$A$29,$B640,'Employees Supported'!$C$2:$C$29)</f>
        <v>400</v>
      </c>
      <c r="E640" s="2">
        <f t="shared" si="84"/>
        <v>58</v>
      </c>
      <c r="F640" t="str">
        <f t="shared" si="80"/>
        <v>Reserved-58</v>
      </c>
      <c r="G640" t="str">
        <f t="shared" si="85"/>
        <v>Seattle CtrReserved-58</v>
      </c>
      <c r="H640" s="2" t="s">
        <v>67</v>
      </c>
      <c r="O640" s="2" t="s">
        <v>2678</v>
      </c>
      <c r="P640" s="3" t="str">
        <f t="shared" si="86"/>
        <v>NR</v>
      </c>
      <c r="R640" s="127">
        <f t="shared" si="87"/>
        <v>0</v>
      </c>
    </row>
    <row r="641" spans="1:18">
      <c r="A641">
        <f t="shared" si="83"/>
        <v>672</v>
      </c>
      <c r="B641" s="42" t="s">
        <v>23</v>
      </c>
      <c r="C641" s="313">
        <v>6500</v>
      </c>
      <c r="E641" s="2">
        <f>+E630+1</f>
        <v>59</v>
      </c>
      <c r="F641" t="str">
        <f t="shared" si="80"/>
        <v>Reserved-59</v>
      </c>
      <c r="G641" t="str">
        <f t="shared" si="85"/>
        <v>FAS-CentralizedReserved-59</v>
      </c>
      <c r="H641" s="2" t="s">
        <v>67</v>
      </c>
      <c r="O641" s="2" t="s">
        <v>2678</v>
      </c>
      <c r="P641" s="3" t="str">
        <f t="shared" si="86"/>
        <v>NR</v>
      </c>
      <c r="R641" s="127">
        <f t="shared" si="87"/>
        <v>0</v>
      </c>
    </row>
    <row r="642" spans="1:18" hidden="1">
      <c r="A642">
        <f t="shared" si="83"/>
        <v>673</v>
      </c>
      <c r="B642" s="42" t="s">
        <v>25</v>
      </c>
      <c r="C642" s="313">
        <f>SUMIF('Employees Supported'!$A$2:$A$29,$B642,'Employees Supported'!$C$2:$C$29)</f>
        <v>1500</v>
      </c>
      <c r="E642" s="2">
        <f t="shared" si="84"/>
        <v>59</v>
      </c>
      <c r="F642" t="str">
        <f t="shared" si="80"/>
        <v>Reserved-59</v>
      </c>
      <c r="G642" t="str">
        <f t="shared" si="85"/>
        <v>SPDReserved-59</v>
      </c>
      <c r="H642" s="2" t="s">
        <v>67</v>
      </c>
      <c r="O642" s="2" t="s">
        <v>2678</v>
      </c>
      <c r="P642" s="3" t="str">
        <f t="shared" si="86"/>
        <v>NR</v>
      </c>
      <c r="R642" s="127">
        <f t="shared" si="87"/>
        <v>0</v>
      </c>
    </row>
    <row r="643" spans="1:18" hidden="1">
      <c r="A643">
        <f t="shared" si="83"/>
        <v>674</v>
      </c>
      <c r="B643" s="42" t="s">
        <v>24</v>
      </c>
      <c r="C643" s="313">
        <f>SUMIF('Employees Supported'!$A$2:$A$29,$B643,'Employees Supported'!$C$2:$C$29)</f>
        <v>1100</v>
      </c>
      <c r="E643" s="2">
        <f t="shared" si="84"/>
        <v>59</v>
      </c>
      <c r="F643" t="str">
        <f t="shared" si="80"/>
        <v>Reserved-59</v>
      </c>
      <c r="G643" t="str">
        <f t="shared" si="85"/>
        <v>SFDReserved-59</v>
      </c>
      <c r="H643" s="2" t="s">
        <v>67</v>
      </c>
      <c r="O643" s="2" t="s">
        <v>2678</v>
      </c>
      <c r="P643" s="3" t="str">
        <f t="shared" si="86"/>
        <v>NR</v>
      </c>
      <c r="R643" s="127">
        <f t="shared" si="87"/>
        <v>0</v>
      </c>
    </row>
    <row r="644" spans="1:18" hidden="1">
      <c r="A644">
        <f t="shared" si="83"/>
        <v>675</v>
      </c>
      <c r="B644" s="42" t="s">
        <v>28</v>
      </c>
      <c r="C644" s="313">
        <f>SUMIF('Employees Supported'!$A$2:$A$29,$B644,'Employees Supported'!$C$2:$C$29)</f>
        <v>1100</v>
      </c>
      <c r="E644" s="2">
        <f t="shared" si="84"/>
        <v>59</v>
      </c>
      <c r="F644" t="str">
        <f t="shared" si="80"/>
        <v>Reserved-59</v>
      </c>
      <c r="G644" t="str">
        <f t="shared" si="85"/>
        <v>SDOTReserved-59</v>
      </c>
      <c r="H644" s="2" t="s">
        <v>67</v>
      </c>
      <c r="O644" s="2" t="s">
        <v>2678</v>
      </c>
      <c r="P644" s="3" t="str">
        <f t="shared" si="86"/>
        <v>NR</v>
      </c>
      <c r="R644" s="127">
        <f t="shared" si="87"/>
        <v>0</v>
      </c>
    </row>
    <row r="645" spans="1:18" hidden="1">
      <c r="A645">
        <f t="shared" si="83"/>
        <v>676</v>
      </c>
      <c r="B645" s="42" t="s">
        <v>33</v>
      </c>
      <c r="C645" s="313">
        <f>SUMIF('Employees Supported'!$A$2:$A$29,$B645,'Employees Supported'!$C$2:$C$29)</f>
        <v>400</v>
      </c>
      <c r="E645" s="2">
        <f t="shared" si="84"/>
        <v>59</v>
      </c>
      <c r="F645" t="str">
        <f t="shared" si="80"/>
        <v>Reserved-59</v>
      </c>
      <c r="G645" t="str">
        <f t="shared" si="85"/>
        <v>SCLReserved-59</v>
      </c>
      <c r="H645" s="2" t="s">
        <v>67</v>
      </c>
      <c r="O645" s="2" t="s">
        <v>2678</v>
      </c>
      <c r="P645" s="3" t="str">
        <f t="shared" si="86"/>
        <v>NR</v>
      </c>
      <c r="R645" s="127">
        <f t="shared" si="87"/>
        <v>0</v>
      </c>
    </row>
    <row r="646" spans="1:18" hidden="1">
      <c r="A646">
        <f t="shared" si="83"/>
        <v>677</v>
      </c>
      <c r="B646" s="42" t="s">
        <v>31</v>
      </c>
      <c r="C646" s="313">
        <f>SUMIF('Employees Supported'!$A$2:$A$29,$B646,'Employees Supported'!$C$2:$C$29)</f>
        <v>700</v>
      </c>
      <c r="E646" s="2">
        <f t="shared" si="84"/>
        <v>59</v>
      </c>
      <c r="F646" t="str">
        <f t="shared" si="80"/>
        <v>Reserved-59</v>
      </c>
      <c r="G646" t="str">
        <f t="shared" si="85"/>
        <v>SeaITReserved-59</v>
      </c>
      <c r="H646" s="2" t="s">
        <v>67</v>
      </c>
      <c r="O646" s="2" t="s">
        <v>2678</v>
      </c>
      <c r="P646" s="3" t="str">
        <f t="shared" si="86"/>
        <v>NR</v>
      </c>
      <c r="R646" s="127">
        <f t="shared" si="87"/>
        <v>0</v>
      </c>
    </row>
    <row r="647" spans="1:18" hidden="1">
      <c r="A647">
        <f t="shared" si="83"/>
        <v>678</v>
      </c>
      <c r="B647" s="42" t="s">
        <v>29</v>
      </c>
      <c r="C647" s="313">
        <f>SUMIF('Employees Supported'!$A$2:$A$29,$B647,'Employees Supported'!$C$2:$C$29)</f>
        <v>550</v>
      </c>
      <c r="E647" s="2">
        <f t="shared" si="84"/>
        <v>59</v>
      </c>
      <c r="F647" t="str">
        <f t="shared" si="80"/>
        <v>Reserved-59</v>
      </c>
      <c r="G647" t="str">
        <f t="shared" si="85"/>
        <v>SDCIReserved-59</v>
      </c>
      <c r="H647" s="2" t="s">
        <v>67</v>
      </c>
      <c r="O647" s="2" t="s">
        <v>2678</v>
      </c>
      <c r="P647" s="3" t="str">
        <f t="shared" si="86"/>
        <v>NR</v>
      </c>
      <c r="R647" s="127">
        <f t="shared" si="87"/>
        <v>0</v>
      </c>
    </row>
    <row r="648" spans="1:18" hidden="1">
      <c r="A648">
        <f t="shared" si="83"/>
        <v>679</v>
      </c>
      <c r="B648" s="42" t="s">
        <v>27</v>
      </c>
      <c r="C648" s="313">
        <f>SUMIF('Employees Supported'!$A$2:$A$29,$B648,'Employees Supported'!$C$2:$C$29)</f>
        <v>400</v>
      </c>
      <c r="E648" s="2">
        <f t="shared" si="84"/>
        <v>59</v>
      </c>
      <c r="F648" t="str">
        <f t="shared" si="80"/>
        <v>Reserved-59</v>
      </c>
      <c r="G648" t="str">
        <f t="shared" si="85"/>
        <v>SPUReserved-59</v>
      </c>
      <c r="H648" s="2" t="s">
        <v>67</v>
      </c>
      <c r="O648" s="2" t="s">
        <v>2678</v>
      </c>
      <c r="P648" s="3" t="str">
        <f t="shared" si="86"/>
        <v>NR</v>
      </c>
      <c r="R648" s="127">
        <f t="shared" si="87"/>
        <v>0</v>
      </c>
    </row>
    <row r="649" spans="1:18" hidden="1">
      <c r="A649">
        <f t="shared" si="83"/>
        <v>680</v>
      </c>
      <c r="B649" s="42" t="s">
        <v>30</v>
      </c>
      <c r="C649" s="313">
        <f>SUMIF('Employees Supported'!$A$2:$A$29,$B649,'Employees Supported'!$C$2:$C$29)</f>
        <v>300</v>
      </c>
      <c r="E649" s="2">
        <f t="shared" si="84"/>
        <v>59</v>
      </c>
      <c r="F649" t="str">
        <f t="shared" si="80"/>
        <v>Reserved-59</v>
      </c>
      <c r="G649" t="str">
        <f t="shared" si="85"/>
        <v>LibrariesReserved-59</v>
      </c>
      <c r="H649" s="2" t="s">
        <v>67</v>
      </c>
      <c r="O649" s="2" t="s">
        <v>2678</v>
      </c>
      <c r="P649" s="3" t="str">
        <f t="shared" si="86"/>
        <v>NR</v>
      </c>
      <c r="R649" s="127">
        <f t="shared" si="87"/>
        <v>0</v>
      </c>
    </row>
    <row r="650" spans="1:18" hidden="1">
      <c r="A650">
        <f t="shared" si="83"/>
        <v>681</v>
      </c>
      <c r="B650" s="42" t="s">
        <v>26</v>
      </c>
      <c r="C650" s="313">
        <f>SUMIF('Employees Supported'!$A$2:$A$29,$B650,'Employees Supported'!$C$2:$C$29)</f>
        <v>400</v>
      </c>
      <c r="E650" s="2">
        <f t="shared" si="84"/>
        <v>59</v>
      </c>
      <c r="F650" t="str">
        <f t="shared" si="80"/>
        <v>Reserved-59</v>
      </c>
      <c r="G650" t="str">
        <f t="shared" si="85"/>
        <v>ParksReserved-59</v>
      </c>
      <c r="H650" s="2" t="s">
        <v>67</v>
      </c>
      <c r="O650" s="2" t="s">
        <v>2678</v>
      </c>
      <c r="P650" s="3" t="str">
        <f t="shared" si="86"/>
        <v>NR</v>
      </c>
      <c r="R650" s="127">
        <f t="shared" si="87"/>
        <v>0</v>
      </c>
    </row>
    <row r="651" spans="1:18" hidden="1">
      <c r="A651">
        <f t="shared" si="83"/>
        <v>682</v>
      </c>
      <c r="B651" s="42" t="s">
        <v>32</v>
      </c>
      <c r="C651" s="313">
        <f>SUMIF('Employees Supported'!$A$2:$A$29,$B651,'Employees Supported'!$C$2:$C$29)</f>
        <v>400</v>
      </c>
      <c r="E651" s="2">
        <f t="shared" si="84"/>
        <v>59</v>
      </c>
      <c r="F651" t="str">
        <f t="shared" ref="F651:F714" si="88">_xlfn.SINGLE(_xlfn.CONCAT("Reserved-",E651))</f>
        <v>Reserved-59</v>
      </c>
      <c r="G651" t="str">
        <f t="shared" si="85"/>
        <v>Seattle CtrReserved-59</v>
      </c>
      <c r="H651" s="2" t="s">
        <v>67</v>
      </c>
      <c r="O651" s="2" t="s">
        <v>2678</v>
      </c>
      <c r="P651" s="3" t="str">
        <f t="shared" si="86"/>
        <v>NR</v>
      </c>
      <c r="R651" s="127">
        <f t="shared" si="87"/>
        <v>0</v>
      </c>
    </row>
    <row r="652" spans="1:18">
      <c r="A652">
        <f t="shared" si="83"/>
        <v>683</v>
      </c>
      <c r="B652" s="42" t="s">
        <v>23</v>
      </c>
      <c r="C652" s="313">
        <v>6500</v>
      </c>
      <c r="E652" s="2">
        <f>+E641+1</f>
        <v>60</v>
      </c>
      <c r="F652" t="str">
        <f t="shared" si="88"/>
        <v>Reserved-60</v>
      </c>
      <c r="G652" t="str">
        <f t="shared" si="85"/>
        <v>FAS-CentralizedReserved-60</v>
      </c>
      <c r="H652" s="2" t="s">
        <v>67</v>
      </c>
      <c r="O652" s="2" t="s">
        <v>2678</v>
      </c>
      <c r="P652" s="3" t="str">
        <f t="shared" si="86"/>
        <v>NR</v>
      </c>
      <c r="R652" s="127">
        <f t="shared" si="87"/>
        <v>0</v>
      </c>
    </row>
    <row r="653" spans="1:18" hidden="1">
      <c r="A653">
        <f t="shared" si="83"/>
        <v>684</v>
      </c>
      <c r="B653" s="42" t="s">
        <v>25</v>
      </c>
      <c r="C653" s="313">
        <f>SUMIF('Employees Supported'!$A$2:$A$29,$B653,'Employees Supported'!$C$2:$C$29)</f>
        <v>1500</v>
      </c>
      <c r="E653" s="2">
        <f t="shared" si="84"/>
        <v>60</v>
      </c>
      <c r="F653" t="str">
        <f t="shared" si="88"/>
        <v>Reserved-60</v>
      </c>
      <c r="G653" t="str">
        <f t="shared" si="85"/>
        <v>SPDReserved-60</v>
      </c>
      <c r="H653" s="2" t="s">
        <v>67</v>
      </c>
      <c r="O653" s="2" t="s">
        <v>2678</v>
      </c>
      <c r="P653" s="3" t="str">
        <f t="shared" si="86"/>
        <v>NR</v>
      </c>
      <c r="R653" s="127">
        <f t="shared" si="87"/>
        <v>0</v>
      </c>
    </row>
    <row r="654" spans="1:18" hidden="1">
      <c r="A654">
        <f t="shared" si="83"/>
        <v>685</v>
      </c>
      <c r="B654" s="42" t="s">
        <v>24</v>
      </c>
      <c r="C654" s="313">
        <f>SUMIF('Employees Supported'!$A$2:$A$29,$B654,'Employees Supported'!$C$2:$C$29)</f>
        <v>1100</v>
      </c>
      <c r="E654" s="2">
        <f t="shared" si="84"/>
        <v>60</v>
      </c>
      <c r="F654" t="str">
        <f t="shared" si="88"/>
        <v>Reserved-60</v>
      </c>
      <c r="G654" t="str">
        <f t="shared" si="85"/>
        <v>SFDReserved-60</v>
      </c>
      <c r="H654" s="2" t="s">
        <v>67</v>
      </c>
      <c r="O654" s="2" t="s">
        <v>2678</v>
      </c>
      <c r="P654" s="3" t="str">
        <f t="shared" si="86"/>
        <v>NR</v>
      </c>
      <c r="R654" s="127">
        <f t="shared" si="87"/>
        <v>0</v>
      </c>
    </row>
    <row r="655" spans="1:18" hidden="1">
      <c r="A655">
        <f t="shared" si="83"/>
        <v>686</v>
      </c>
      <c r="B655" s="42" t="s">
        <v>28</v>
      </c>
      <c r="C655" s="313">
        <f>SUMIF('Employees Supported'!$A$2:$A$29,$B655,'Employees Supported'!$C$2:$C$29)</f>
        <v>1100</v>
      </c>
      <c r="E655" s="2">
        <f t="shared" si="84"/>
        <v>60</v>
      </c>
      <c r="F655" t="str">
        <f t="shared" si="88"/>
        <v>Reserved-60</v>
      </c>
      <c r="G655" t="str">
        <f t="shared" si="85"/>
        <v>SDOTReserved-60</v>
      </c>
      <c r="H655" s="2" t="s">
        <v>67</v>
      </c>
      <c r="O655" s="2" t="s">
        <v>2678</v>
      </c>
      <c r="P655" s="3" t="str">
        <f t="shared" si="86"/>
        <v>NR</v>
      </c>
      <c r="R655" s="127">
        <f t="shared" si="87"/>
        <v>0</v>
      </c>
    </row>
    <row r="656" spans="1:18" hidden="1">
      <c r="A656">
        <f t="shared" si="83"/>
        <v>687</v>
      </c>
      <c r="B656" s="42" t="s">
        <v>33</v>
      </c>
      <c r="C656" s="313">
        <f>SUMIF('Employees Supported'!$A$2:$A$29,$B656,'Employees Supported'!$C$2:$C$29)</f>
        <v>400</v>
      </c>
      <c r="E656" s="2">
        <f t="shared" si="84"/>
        <v>60</v>
      </c>
      <c r="F656" t="str">
        <f t="shared" si="88"/>
        <v>Reserved-60</v>
      </c>
      <c r="G656" t="str">
        <f t="shared" si="85"/>
        <v>SCLReserved-60</v>
      </c>
      <c r="H656" s="2" t="s">
        <v>67</v>
      </c>
      <c r="O656" s="2" t="s">
        <v>2678</v>
      </c>
      <c r="P656" s="3" t="str">
        <f t="shared" si="86"/>
        <v>NR</v>
      </c>
      <c r="R656" s="127">
        <f t="shared" si="87"/>
        <v>0</v>
      </c>
    </row>
    <row r="657" spans="1:18" hidden="1">
      <c r="A657">
        <f t="shared" si="83"/>
        <v>688</v>
      </c>
      <c r="B657" s="42" t="s">
        <v>31</v>
      </c>
      <c r="C657" s="313">
        <f>SUMIF('Employees Supported'!$A$2:$A$29,$B657,'Employees Supported'!$C$2:$C$29)</f>
        <v>700</v>
      </c>
      <c r="E657" s="2">
        <f t="shared" si="84"/>
        <v>60</v>
      </c>
      <c r="F657" t="str">
        <f t="shared" si="88"/>
        <v>Reserved-60</v>
      </c>
      <c r="G657" t="str">
        <f t="shared" si="85"/>
        <v>SeaITReserved-60</v>
      </c>
      <c r="H657" s="2" t="s">
        <v>67</v>
      </c>
      <c r="O657" s="2" t="s">
        <v>2678</v>
      </c>
      <c r="P657" s="3" t="str">
        <f t="shared" si="86"/>
        <v>NR</v>
      </c>
      <c r="R657" s="127">
        <f t="shared" si="87"/>
        <v>0</v>
      </c>
    </row>
    <row r="658" spans="1:18" hidden="1">
      <c r="A658">
        <f t="shared" si="83"/>
        <v>689</v>
      </c>
      <c r="B658" s="42" t="s">
        <v>29</v>
      </c>
      <c r="C658" s="313">
        <f>SUMIF('Employees Supported'!$A$2:$A$29,$B658,'Employees Supported'!$C$2:$C$29)</f>
        <v>550</v>
      </c>
      <c r="E658" s="2">
        <f t="shared" si="84"/>
        <v>60</v>
      </c>
      <c r="F658" t="str">
        <f t="shared" si="88"/>
        <v>Reserved-60</v>
      </c>
      <c r="G658" t="str">
        <f t="shared" si="85"/>
        <v>SDCIReserved-60</v>
      </c>
      <c r="H658" s="2" t="s">
        <v>67</v>
      </c>
      <c r="O658" s="2" t="s">
        <v>2678</v>
      </c>
      <c r="P658" s="3" t="str">
        <f t="shared" si="86"/>
        <v>NR</v>
      </c>
      <c r="R658" s="127">
        <f t="shared" si="87"/>
        <v>0</v>
      </c>
    </row>
    <row r="659" spans="1:18" hidden="1">
      <c r="A659">
        <f t="shared" si="83"/>
        <v>690</v>
      </c>
      <c r="B659" s="42" t="s">
        <v>27</v>
      </c>
      <c r="C659" s="313">
        <f>SUMIF('Employees Supported'!$A$2:$A$29,$B659,'Employees Supported'!$C$2:$C$29)</f>
        <v>400</v>
      </c>
      <c r="E659" s="2">
        <f t="shared" si="84"/>
        <v>60</v>
      </c>
      <c r="F659" t="str">
        <f t="shared" si="88"/>
        <v>Reserved-60</v>
      </c>
      <c r="G659" t="str">
        <f t="shared" si="85"/>
        <v>SPUReserved-60</v>
      </c>
      <c r="H659" s="2" t="s">
        <v>67</v>
      </c>
      <c r="O659" s="2" t="s">
        <v>2678</v>
      </c>
      <c r="P659" s="3" t="str">
        <f t="shared" si="86"/>
        <v>NR</v>
      </c>
      <c r="R659" s="127">
        <f t="shared" si="87"/>
        <v>0</v>
      </c>
    </row>
    <row r="660" spans="1:18" hidden="1">
      <c r="A660">
        <f t="shared" si="83"/>
        <v>691</v>
      </c>
      <c r="B660" s="42" t="s">
        <v>30</v>
      </c>
      <c r="C660" s="313">
        <f>SUMIF('Employees Supported'!$A$2:$A$29,$B660,'Employees Supported'!$C$2:$C$29)</f>
        <v>300</v>
      </c>
      <c r="E660" s="2">
        <f t="shared" si="84"/>
        <v>60</v>
      </c>
      <c r="F660" t="str">
        <f t="shared" si="88"/>
        <v>Reserved-60</v>
      </c>
      <c r="G660" t="str">
        <f t="shared" si="85"/>
        <v>LibrariesReserved-60</v>
      </c>
      <c r="H660" s="2" t="s">
        <v>67</v>
      </c>
      <c r="O660" s="2" t="s">
        <v>2678</v>
      </c>
      <c r="P660" s="3" t="str">
        <f t="shared" si="86"/>
        <v>NR</v>
      </c>
      <c r="R660" s="127">
        <f t="shared" si="87"/>
        <v>0</v>
      </c>
    </row>
    <row r="661" spans="1:18" hidden="1">
      <c r="A661">
        <f t="shared" si="83"/>
        <v>692</v>
      </c>
      <c r="B661" s="42" t="s">
        <v>26</v>
      </c>
      <c r="C661" s="313">
        <f>SUMIF('Employees Supported'!$A$2:$A$29,$B661,'Employees Supported'!$C$2:$C$29)</f>
        <v>400</v>
      </c>
      <c r="E661" s="2">
        <f t="shared" si="84"/>
        <v>60</v>
      </c>
      <c r="F661" t="str">
        <f t="shared" si="88"/>
        <v>Reserved-60</v>
      </c>
      <c r="G661" t="str">
        <f t="shared" si="85"/>
        <v>ParksReserved-60</v>
      </c>
      <c r="H661" s="2" t="s">
        <v>67</v>
      </c>
      <c r="O661" s="2" t="s">
        <v>2678</v>
      </c>
      <c r="P661" s="3" t="str">
        <f t="shared" si="86"/>
        <v>NR</v>
      </c>
      <c r="R661" s="127">
        <f t="shared" si="87"/>
        <v>0</v>
      </c>
    </row>
    <row r="662" spans="1:18" hidden="1">
      <c r="A662">
        <f t="shared" si="83"/>
        <v>693</v>
      </c>
      <c r="B662" s="42" t="s">
        <v>32</v>
      </c>
      <c r="C662" s="313">
        <f>SUMIF('Employees Supported'!$A$2:$A$29,$B662,'Employees Supported'!$C$2:$C$29)</f>
        <v>400</v>
      </c>
      <c r="E662" s="2">
        <f t="shared" si="84"/>
        <v>60</v>
      </c>
      <c r="F662" t="str">
        <f t="shared" si="88"/>
        <v>Reserved-60</v>
      </c>
      <c r="G662" t="str">
        <f t="shared" si="85"/>
        <v>Seattle CtrReserved-60</v>
      </c>
      <c r="H662" s="2" t="s">
        <v>67</v>
      </c>
      <c r="O662" s="2" t="s">
        <v>2678</v>
      </c>
      <c r="P662" s="3" t="str">
        <f t="shared" si="86"/>
        <v>NR</v>
      </c>
      <c r="R662" s="127">
        <f t="shared" si="87"/>
        <v>0</v>
      </c>
    </row>
    <row r="663" spans="1:18">
      <c r="A663">
        <f t="shared" si="83"/>
        <v>694</v>
      </c>
      <c r="B663" s="42" t="s">
        <v>23</v>
      </c>
      <c r="C663" s="313">
        <v>6500</v>
      </c>
      <c r="E663" s="2">
        <f>+E652+1</f>
        <v>61</v>
      </c>
      <c r="F663" t="str">
        <f t="shared" si="88"/>
        <v>Reserved-61</v>
      </c>
      <c r="G663" t="str">
        <f t="shared" si="85"/>
        <v>FAS-CentralizedReserved-61</v>
      </c>
      <c r="H663" s="2" t="s">
        <v>67</v>
      </c>
      <c r="O663" s="2" t="s">
        <v>2678</v>
      </c>
      <c r="P663" s="3" t="str">
        <f t="shared" si="86"/>
        <v>NR</v>
      </c>
      <c r="R663" s="127">
        <f t="shared" si="87"/>
        <v>0</v>
      </c>
    </row>
    <row r="664" spans="1:18" hidden="1">
      <c r="A664">
        <f t="shared" si="83"/>
        <v>695</v>
      </c>
      <c r="B664" s="42" t="s">
        <v>25</v>
      </c>
      <c r="C664" s="313">
        <f>SUMIF('Employees Supported'!$A$2:$A$29,$B664,'Employees Supported'!$C$2:$C$29)</f>
        <v>1500</v>
      </c>
      <c r="E664" s="2">
        <f t="shared" si="84"/>
        <v>61</v>
      </c>
      <c r="F664" t="str">
        <f t="shared" si="88"/>
        <v>Reserved-61</v>
      </c>
      <c r="G664" t="str">
        <f t="shared" si="85"/>
        <v>SPDReserved-61</v>
      </c>
      <c r="H664" s="2" t="s">
        <v>67</v>
      </c>
      <c r="O664" s="2" t="s">
        <v>2678</v>
      </c>
      <c r="P664" s="3" t="str">
        <f t="shared" si="86"/>
        <v>NR</v>
      </c>
      <c r="R664" s="127">
        <f t="shared" si="87"/>
        <v>0</v>
      </c>
    </row>
    <row r="665" spans="1:18" hidden="1">
      <c r="A665">
        <f t="shared" si="83"/>
        <v>696</v>
      </c>
      <c r="B665" s="42" t="s">
        <v>24</v>
      </c>
      <c r="C665" s="313">
        <f>SUMIF('Employees Supported'!$A$2:$A$29,$B665,'Employees Supported'!$C$2:$C$29)</f>
        <v>1100</v>
      </c>
      <c r="E665" s="2">
        <f t="shared" si="84"/>
        <v>61</v>
      </c>
      <c r="F665" t="str">
        <f t="shared" si="88"/>
        <v>Reserved-61</v>
      </c>
      <c r="G665" t="str">
        <f t="shared" si="85"/>
        <v>SFDReserved-61</v>
      </c>
      <c r="H665" s="2" t="s">
        <v>67</v>
      </c>
      <c r="O665" s="2" t="s">
        <v>2678</v>
      </c>
      <c r="P665" s="3" t="str">
        <f t="shared" si="86"/>
        <v>NR</v>
      </c>
      <c r="R665" s="127">
        <f t="shared" si="87"/>
        <v>0</v>
      </c>
    </row>
    <row r="666" spans="1:18" hidden="1">
      <c r="A666">
        <f t="shared" si="83"/>
        <v>697</v>
      </c>
      <c r="B666" s="42" t="s">
        <v>28</v>
      </c>
      <c r="C666" s="313">
        <f>SUMIF('Employees Supported'!$A$2:$A$29,$B666,'Employees Supported'!$C$2:$C$29)</f>
        <v>1100</v>
      </c>
      <c r="E666" s="2">
        <f t="shared" si="84"/>
        <v>61</v>
      </c>
      <c r="F666" t="str">
        <f t="shared" si="88"/>
        <v>Reserved-61</v>
      </c>
      <c r="G666" t="str">
        <f t="shared" si="85"/>
        <v>SDOTReserved-61</v>
      </c>
      <c r="H666" s="2" t="s">
        <v>67</v>
      </c>
      <c r="O666" s="2" t="s">
        <v>2678</v>
      </c>
      <c r="P666" s="3" t="str">
        <f t="shared" si="86"/>
        <v>NR</v>
      </c>
      <c r="R666" s="127">
        <f t="shared" si="87"/>
        <v>0</v>
      </c>
    </row>
    <row r="667" spans="1:18" hidden="1">
      <c r="A667">
        <f t="shared" si="83"/>
        <v>698</v>
      </c>
      <c r="B667" s="42" t="s">
        <v>33</v>
      </c>
      <c r="C667" s="313">
        <f>SUMIF('Employees Supported'!$A$2:$A$29,$B667,'Employees Supported'!$C$2:$C$29)</f>
        <v>400</v>
      </c>
      <c r="E667" s="2">
        <f t="shared" si="84"/>
        <v>61</v>
      </c>
      <c r="F667" t="str">
        <f t="shared" si="88"/>
        <v>Reserved-61</v>
      </c>
      <c r="G667" t="str">
        <f t="shared" si="85"/>
        <v>SCLReserved-61</v>
      </c>
      <c r="H667" s="2" t="s">
        <v>67</v>
      </c>
      <c r="O667" s="2" t="s">
        <v>2678</v>
      </c>
      <c r="P667" s="3" t="str">
        <f t="shared" si="86"/>
        <v>NR</v>
      </c>
      <c r="R667" s="127">
        <f t="shared" si="87"/>
        <v>0</v>
      </c>
    </row>
    <row r="668" spans="1:18" hidden="1">
      <c r="A668">
        <f t="shared" si="83"/>
        <v>699</v>
      </c>
      <c r="B668" s="42" t="s">
        <v>31</v>
      </c>
      <c r="C668" s="313">
        <f>SUMIF('Employees Supported'!$A$2:$A$29,$B668,'Employees Supported'!$C$2:$C$29)</f>
        <v>700</v>
      </c>
      <c r="E668" s="2">
        <f t="shared" si="84"/>
        <v>61</v>
      </c>
      <c r="F668" t="str">
        <f t="shared" si="88"/>
        <v>Reserved-61</v>
      </c>
      <c r="G668" t="str">
        <f t="shared" si="85"/>
        <v>SeaITReserved-61</v>
      </c>
      <c r="H668" s="2" t="s">
        <v>67</v>
      </c>
      <c r="O668" s="2" t="s">
        <v>2678</v>
      </c>
      <c r="P668" s="3" t="str">
        <f t="shared" si="86"/>
        <v>NR</v>
      </c>
      <c r="R668" s="127">
        <f t="shared" si="87"/>
        <v>0</v>
      </c>
    </row>
    <row r="669" spans="1:18" hidden="1">
      <c r="A669">
        <f t="shared" si="83"/>
        <v>700</v>
      </c>
      <c r="B669" s="42" t="s">
        <v>29</v>
      </c>
      <c r="C669" s="313">
        <f>SUMIF('Employees Supported'!$A$2:$A$29,$B669,'Employees Supported'!$C$2:$C$29)</f>
        <v>550</v>
      </c>
      <c r="E669" s="2">
        <f t="shared" si="84"/>
        <v>61</v>
      </c>
      <c r="F669" t="str">
        <f t="shared" si="88"/>
        <v>Reserved-61</v>
      </c>
      <c r="G669" t="str">
        <f t="shared" si="85"/>
        <v>SDCIReserved-61</v>
      </c>
      <c r="H669" s="2" t="s">
        <v>67</v>
      </c>
      <c r="O669" s="2" t="s">
        <v>2678</v>
      </c>
      <c r="P669" s="3" t="str">
        <f t="shared" si="86"/>
        <v>NR</v>
      </c>
      <c r="R669" s="127">
        <f t="shared" si="87"/>
        <v>0</v>
      </c>
    </row>
    <row r="670" spans="1:18" hidden="1">
      <c r="A670">
        <f t="shared" si="83"/>
        <v>701</v>
      </c>
      <c r="B670" s="42" t="s">
        <v>27</v>
      </c>
      <c r="C670" s="313">
        <f>SUMIF('Employees Supported'!$A$2:$A$29,$B670,'Employees Supported'!$C$2:$C$29)</f>
        <v>400</v>
      </c>
      <c r="E670" s="2">
        <f t="shared" si="84"/>
        <v>61</v>
      </c>
      <c r="F670" t="str">
        <f t="shared" si="88"/>
        <v>Reserved-61</v>
      </c>
      <c r="G670" t="str">
        <f t="shared" si="85"/>
        <v>SPUReserved-61</v>
      </c>
      <c r="H670" s="2" t="s">
        <v>67</v>
      </c>
      <c r="O670" s="2" t="s">
        <v>2678</v>
      </c>
      <c r="P670" s="3" t="str">
        <f t="shared" si="86"/>
        <v>NR</v>
      </c>
      <c r="R670" s="127">
        <f t="shared" si="87"/>
        <v>0</v>
      </c>
    </row>
    <row r="671" spans="1:18" hidden="1">
      <c r="A671">
        <f t="shared" si="83"/>
        <v>702</v>
      </c>
      <c r="B671" s="42" t="s">
        <v>30</v>
      </c>
      <c r="C671" s="313">
        <f>SUMIF('Employees Supported'!$A$2:$A$29,$B671,'Employees Supported'!$C$2:$C$29)</f>
        <v>300</v>
      </c>
      <c r="E671" s="2">
        <f t="shared" si="84"/>
        <v>61</v>
      </c>
      <c r="F671" t="str">
        <f t="shared" si="88"/>
        <v>Reserved-61</v>
      </c>
      <c r="G671" t="str">
        <f t="shared" si="85"/>
        <v>LibrariesReserved-61</v>
      </c>
      <c r="H671" s="2" t="s">
        <v>67</v>
      </c>
      <c r="O671" s="2" t="s">
        <v>2678</v>
      </c>
      <c r="P671" s="3" t="str">
        <f t="shared" si="86"/>
        <v>NR</v>
      </c>
      <c r="R671" s="127">
        <f t="shared" si="87"/>
        <v>0</v>
      </c>
    </row>
    <row r="672" spans="1:18" hidden="1">
      <c r="A672">
        <f t="shared" si="83"/>
        <v>703</v>
      </c>
      <c r="B672" s="42" t="s">
        <v>26</v>
      </c>
      <c r="C672" s="313">
        <f>SUMIF('Employees Supported'!$A$2:$A$29,$B672,'Employees Supported'!$C$2:$C$29)</f>
        <v>400</v>
      </c>
      <c r="E672" s="2">
        <f t="shared" si="84"/>
        <v>61</v>
      </c>
      <c r="F672" t="str">
        <f t="shared" si="88"/>
        <v>Reserved-61</v>
      </c>
      <c r="G672" t="str">
        <f t="shared" si="85"/>
        <v>ParksReserved-61</v>
      </c>
      <c r="H672" s="2" t="s">
        <v>67</v>
      </c>
      <c r="O672" s="2" t="s">
        <v>2678</v>
      </c>
      <c r="P672" s="3" t="str">
        <f t="shared" si="86"/>
        <v>NR</v>
      </c>
      <c r="R672" s="127">
        <f t="shared" si="87"/>
        <v>0</v>
      </c>
    </row>
    <row r="673" spans="1:18" hidden="1">
      <c r="A673">
        <f t="shared" si="83"/>
        <v>704</v>
      </c>
      <c r="B673" s="42" t="s">
        <v>32</v>
      </c>
      <c r="C673" s="313">
        <f>SUMIF('Employees Supported'!$A$2:$A$29,$B673,'Employees Supported'!$C$2:$C$29)</f>
        <v>400</v>
      </c>
      <c r="E673" s="2">
        <f t="shared" si="84"/>
        <v>61</v>
      </c>
      <c r="F673" t="str">
        <f t="shared" si="88"/>
        <v>Reserved-61</v>
      </c>
      <c r="G673" t="str">
        <f t="shared" si="85"/>
        <v>Seattle CtrReserved-61</v>
      </c>
      <c r="H673" s="2" t="s">
        <v>67</v>
      </c>
      <c r="O673" s="2" t="s">
        <v>2678</v>
      </c>
      <c r="P673" s="3" t="str">
        <f t="shared" si="86"/>
        <v>NR</v>
      </c>
      <c r="R673" s="127">
        <f t="shared" si="87"/>
        <v>0</v>
      </c>
    </row>
    <row r="674" spans="1:18">
      <c r="A674">
        <f t="shared" si="83"/>
        <v>705</v>
      </c>
      <c r="B674" s="42" t="s">
        <v>23</v>
      </c>
      <c r="C674" s="313">
        <v>6500</v>
      </c>
      <c r="E674" s="2">
        <f>+E663+1</f>
        <v>62</v>
      </c>
      <c r="F674" t="str">
        <f t="shared" si="88"/>
        <v>Reserved-62</v>
      </c>
      <c r="G674" t="str">
        <f t="shared" si="85"/>
        <v>FAS-CentralizedReserved-62</v>
      </c>
      <c r="H674" s="2" t="s">
        <v>67</v>
      </c>
      <c r="O674" s="2" t="s">
        <v>2678</v>
      </c>
      <c r="P674" s="3" t="str">
        <f t="shared" si="86"/>
        <v>NR</v>
      </c>
      <c r="R674" s="127">
        <f t="shared" si="87"/>
        <v>0</v>
      </c>
    </row>
    <row r="675" spans="1:18" hidden="1">
      <c r="A675">
        <f t="shared" si="83"/>
        <v>706</v>
      </c>
      <c r="B675" s="42" t="s">
        <v>25</v>
      </c>
      <c r="C675" s="313">
        <f>SUMIF('Employees Supported'!$A$2:$A$29,$B675,'Employees Supported'!$C$2:$C$29)</f>
        <v>1500</v>
      </c>
      <c r="E675" s="2">
        <f t="shared" si="84"/>
        <v>62</v>
      </c>
      <c r="F675" t="str">
        <f t="shared" si="88"/>
        <v>Reserved-62</v>
      </c>
      <c r="G675" t="str">
        <f t="shared" si="85"/>
        <v>SPDReserved-62</v>
      </c>
      <c r="H675" s="2" t="s">
        <v>67</v>
      </c>
      <c r="O675" s="2" t="s">
        <v>2678</v>
      </c>
      <c r="P675" s="3" t="str">
        <f t="shared" si="86"/>
        <v>NR</v>
      </c>
      <c r="R675" s="127">
        <f t="shared" si="87"/>
        <v>0</v>
      </c>
    </row>
    <row r="676" spans="1:18" hidden="1">
      <c r="A676">
        <f t="shared" si="83"/>
        <v>707</v>
      </c>
      <c r="B676" s="42" t="s">
        <v>24</v>
      </c>
      <c r="C676" s="313">
        <f>SUMIF('Employees Supported'!$A$2:$A$29,$B676,'Employees Supported'!$C$2:$C$29)</f>
        <v>1100</v>
      </c>
      <c r="E676" s="2">
        <f t="shared" si="84"/>
        <v>62</v>
      </c>
      <c r="F676" t="str">
        <f t="shared" si="88"/>
        <v>Reserved-62</v>
      </c>
      <c r="G676" t="str">
        <f t="shared" si="85"/>
        <v>SFDReserved-62</v>
      </c>
      <c r="H676" s="2" t="s">
        <v>67</v>
      </c>
      <c r="O676" s="2" t="s">
        <v>2678</v>
      </c>
      <c r="P676" s="3" t="str">
        <f t="shared" si="86"/>
        <v>NR</v>
      </c>
      <c r="R676" s="127">
        <f t="shared" si="87"/>
        <v>0</v>
      </c>
    </row>
    <row r="677" spans="1:18" hidden="1">
      <c r="A677">
        <f t="shared" si="83"/>
        <v>708</v>
      </c>
      <c r="B677" s="42" t="s">
        <v>28</v>
      </c>
      <c r="C677" s="313">
        <f>SUMIF('Employees Supported'!$A$2:$A$29,$B677,'Employees Supported'!$C$2:$C$29)</f>
        <v>1100</v>
      </c>
      <c r="E677" s="2">
        <f t="shared" si="84"/>
        <v>62</v>
      </c>
      <c r="F677" t="str">
        <f t="shared" si="88"/>
        <v>Reserved-62</v>
      </c>
      <c r="G677" t="str">
        <f t="shared" si="85"/>
        <v>SDOTReserved-62</v>
      </c>
      <c r="H677" s="2" t="s">
        <v>67</v>
      </c>
      <c r="O677" s="2" t="s">
        <v>2678</v>
      </c>
      <c r="P677" s="3" t="str">
        <f t="shared" si="86"/>
        <v>NR</v>
      </c>
      <c r="R677" s="127">
        <f t="shared" si="87"/>
        <v>0</v>
      </c>
    </row>
    <row r="678" spans="1:18" hidden="1">
      <c r="A678">
        <f t="shared" si="83"/>
        <v>709</v>
      </c>
      <c r="B678" s="42" t="s">
        <v>33</v>
      </c>
      <c r="C678" s="313">
        <f>SUMIF('Employees Supported'!$A$2:$A$29,$B678,'Employees Supported'!$C$2:$C$29)</f>
        <v>400</v>
      </c>
      <c r="E678" s="2">
        <f t="shared" si="84"/>
        <v>62</v>
      </c>
      <c r="F678" t="str">
        <f t="shared" si="88"/>
        <v>Reserved-62</v>
      </c>
      <c r="G678" t="str">
        <f t="shared" si="85"/>
        <v>SCLReserved-62</v>
      </c>
      <c r="H678" s="2" t="s">
        <v>67</v>
      </c>
      <c r="O678" s="2" t="s">
        <v>2678</v>
      </c>
      <c r="P678" s="3" t="str">
        <f t="shared" si="86"/>
        <v>NR</v>
      </c>
      <c r="R678" s="127">
        <f t="shared" si="87"/>
        <v>0</v>
      </c>
    </row>
    <row r="679" spans="1:18" hidden="1">
      <c r="A679">
        <f t="shared" si="83"/>
        <v>710</v>
      </c>
      <c r="B679" s="42" t="s">
        <v>31</v>
      </c>
      <c r="C679" s="313">
        <f>SUMIF('Employees Supported'!$A$2:$A$29,$B679,'Employees Supported'!$C$2:$C$29)</f>
        <v>700</v>
      </c>
      <c r="E679" s="2">
        <f t="shared" si="84"/>
        <v>62</v>
      </c>
      <c r="F679" t="str">
        <f t="shared" si="88"/>
        <v>Reserved-62</v>
      </c>
      <c r="G679" t="str">
        <f t="shared" si="85"/>
        <v>SeaITReserved-62</v>
      </c>
      <c r="H679" s="2" t="s">
        <v>67</v>
      </c>
      <c r="O679" s="2" t="s">
        <v>2678</v>
      </c>
      <c r="P679" s="3" t="str">
        <f t="shared" si="86"/>
        <v>NR</v>
      </c>
      <c r="R679" s="127">
        <f t="shared" si="87"/>
        <v>0</v>
      </c>
    </row>
    <row r="680" spans="1:18" hidden="1">
      <c r="A680">
        <f t="shared" si="83"/>
        <v>711</v>
      </c>
      <c r="B680" s="42" t="s">
        <v>29</v>
      </c>
      <c r="C680" s="313">
        <f>SUMIF('Employees Supported'!$A$2:$A$29,$B680,'Employees Supported'!$C$2:$C$29)</f>
        <v>550</v>
      </c>
      <c r="E680" s="2">
        <f t="shared" si="84"/>
        <v>62</v>
      </c>
      <c r="F680" t="str">
        <f t="shared" si="88"/>
        <v>Reserved-62</v>
      </c>
      <c r="G680" t="str">
        <f t="shared" si="85"/>
        <v>SDCIReserved-62</v>
      </c>
      <c r="H680" s="2" t="s">
        <v>67</v>
      </c>
      <c r="O680" s="2" t="s">
        <v>2678</v>
      </c>
      <c r="P680" s="3" t="str">
        <f t="shared" si="86"/>
        <v>NR</v>
      </c>
      <c r="R680" s="127">
        <f t="shared" si="87"/>
        <v>0</v>
      </c>
    </row>
    <row r="681" spans="1:18" hidden="1">
      <c r="A681">
        <f t="shared" si="83"/>
        <v>712</v>
      </c>
      <c r="B681" s="42" t="s">
        <v>27</v>
      </c>
      <c r="C681" s="313">
        <f>SUMIF('Employees Supported'!$A$2:$A$29,$B681,'Employees Supported'!$C$2:$C$29)</f>
        <v>400</v>
      </c>
      <c r="E681" s="2">
        <f t="shared" si="84"/>
        <v>62</v>
      </c>
      <c r="F681" t="str">
        <f t="shared" si="88"/>
        <v>Reserved-62</v>
      </c>
      <c r="G681" t="str">
        <f t="shared" si="85"/>
        <v>SPUReserved-62</v>
      </c>
      <c r="H681" s="2" t="s">
        <v>67</v>
      </c>
      <c r="O681" s="2" t="s">
        <v>2678</v>
      </c>
      <c r="P681" s="3" t="str">
        <f t="shared" si="86"/>
        <v>NR</v>
      </c>
      <c r="R681" s="127">
        <f t="shared" si="87"/>
        <v>0</v>
      </c>
    </row>
    <row r="682" spans="1:18" hidden="1">
      <c r="A682">
        <f t="shared" si="83"/>
        <v>713</v>
      </c>
      <c r="B682" s="42" t="s">
        <v>30</v>
      </c>
      <c r="C682" s="313">
        <f>SUMIF('Employees Supported'!$A$2:$A$29,$B682,'Employees Supported'!$C$2:$C$29)</f>
        <v>300</v>
      </c>
      <c r="E682" s="2">
        <f t="shared" si="84"/>
        <v>62</v>
      </c>
      <c r="F682" t="str">
        <f t="shared" si="88"/>
        <v>Reserved-62</v>
      </c>
      <c r="G682" t="str">
        <f t="shared" si="85"/>
        <v>LibrariesReserved-62</v>
      </c>
      <c r="H682" s="2" t="s">
        <v>67</v>
      </c>
      <c r="O682" s="2" t="s">
        <v>2678</v>
      </c>
      <c r="P682" s="3" t="str">
        <f t="shared" si="86"/>
        <v>NR</v>
      </c>
      <c r="R682" s="127">
        <f t="shared" si="87"/>
        <v>0</v>
      </c>
    </row>
    <row r="683" spans="1:18" hidden="1">
      <c r="A683">
        <f t="shared" si="83"/>
        <v>714</v>
      </c>
      <c r="B683" s="42" t="s">
        <v>26</v>
      </c>
      <c r="C683" s="313">
        <f>SUMIF('Employees Supported'!$A$2:$A$29,$B683,'Employees Supported'!$C$2:$C$29)</f>
        <v>400</v>
      </c>
      <c r="E683" s="2">
        <f t="shared" si="84"/>
        <v>62</v>
      </c>
      <c r="F683" t="str">
        <f t="shared" si="88"/>
        <v>Reserved-62</v>
      </c>
      <c r="G683" t="str">
        <f t="shared" si="85"/>
        <v>ParksReserved-62</v>
      </c>
      <c r="H683" s="2" t="s">
        <v>67</v>
      </c>
      <c r="O683" s="2" t="s">
        <v>2678</v>
      </c>
      <c r="P683" s="3" t="str">
        <f t="shared" si="86"/>
        <v>NR</v>
      </c>
      <c r="R683" s="127">
        <f t="shared" si="87"/>
        <v>0</v>
      </c>
    </row>
    <row r="684" spans="1:18" hidden="1">
      <c r="A684">
        <f t="shared" si="83"/>
        <v>715</v>
      </c>
      <c r="B684" s="42" t="s">
        <v>32</v>
      </c>
      <c r="C684" s="313">
        <f>SUMIF('Employees Supported'!$A$2:$A$29,$B684,'Employees Supported'!$C$2:$C$29)</f>
        <v>400</v>
      </c>
      <c r="E684" s="2">
        <f t="shared" si="84"/>
        <v>62</v>
      </c>
      <c r="F684" t="str">
        <f t="shared" si="88"/>
        <v>Reserved-62</v>
      </c>
      <c r="G684" t="str">
        <f t="shared" si="85"/>
        <v>Seattle CtrReserved-62</v>
      </c>
      <c r="H684" s="2" t="s">
        <v>67</v>
      </c>
      <c r="O684" s="2" t="s">
        <v>2678</v>
      </c>
      <c r="P684" s="3" t="str">
        <f t="shared" si="86"/>
        <v>NR</v>
      </c>
      <c r="R684" s="127">
        <f t="shared" si="87"/>
        <v>0</v>
      </c>
    </row>
    <row r="685" spans="1:18">
      <c r="A685">
        <f t="shared" si="83"/>
        <v>716</v>
      </c>
      <c r="B685" s="42" t="s">
        <v>23</v>
      </c>
      <c r="C685" s="313">
        <v>6500</v>
      </c>
      <c r="E685" s="2">
        <f>+E674+1</f>
        <v>63</v>
      </c>
      <c r="F685" t="str">
        <f t="shared" si="88"/>
        <v>Reserved-63</v>
      </c>
      <c r="G685" t="str">
        <f t="shared" si="85"/>
        <v>FAS-CentralizedReserved-63</v>
      </c>
      <c r="H685" s="2" t="s">
        <v>67</v>
      </c>
      <c r="O685" s="2" t="s">
        <v>2678</v>
      </c>
      <c r="P685" s="3" t="str">
        <f t="shared" si="86"/>
        <v>NR</v>
      </c>
      <c r="R685" s="127">
        <f t="shared" si="87"/>
        <v>0</v>
      </c>
    </row>
    <row r="686" spans="1:18" hidden="1">
      <c r="A686">
        <f t="shared" si="83"/>
        <v>717</v>
      </c>
      <c r="B686" s="42" t="s">
        <v>25</v>
      </c>
      <c r="C686" s="313">
        <f>SUMIF('Employees Supported'!$A$2:$A$29,$B686,'Employees Supported'!$C$2:$C$29)</f>
        <v>1500</v>
      </c>
      <c r="E686" s="2">
        <f t="shared" si="84"/>
        <v>63</v>
      </c>
      <c r="F686" t="str">
        <f t="shared" si="88"/>
        <v>Reserved-63</v>
      </c>
      <c r="G686" t="str">
        <f t="shared" si="85"/>
        <v>SPDReserved-63</v>
      </c>
      <c r="H686" s="2" t="s">
        <v>67</v>
      </c>
      <c r="O686" s="2" t="s">
        <v>2678</v>
      </c>
      <c r="P686" s="3" t="str">
        <f t="shared" si="86"/>
        <v>NR</v>
      </c>
      <c r="R686" s="127">
        <f t="shared" si="87"/>
        <v>0</v>
      </c>
    </row>
    <row r="687" spans="1:18" hidden="1">
      <c r="A687">
        <f t="shared" si="83"/>
        <v>718</v>
      </c>
      <c r="B687" s="42" t="s">
        <v>24</v>
      </c>
      <c r="C687" s="313">
        <f>SUMIF('Employees Supported'!$A$2:$A$29,$B687,'Employees Supported'!$C$2:$C$29)</f>
        <v>1100</v>
      </c>
      <c r="E687" s="2">
        <f t="shared" si="84"/>
        <v>63</v>
      </c>
      <c r="F687" t="str">
        <f t="shared" si="88"/>
        <v>Reserved-63</v>
      </c>
      <c r="G687" t="str">
        <f t="shared" si="85"/>
        <v>SFDReserved-63</v>
      </c>
      <c r="H687" s="2" t="s">
        <v>67</v>
      </c>
      <c r="O687" s="2" t="s">
        <v>2678</v>
      </c>
      <c r="P687" s="3" t="str">
        <f t="shared" si="86"/>
        <v>NR</v>
      </c>
      <c r="R687" s="127">
        <f t="shared" si="87"/>
        <v>0</v>
      </c>
    </row>
    <row r="688" spans="1:18" hidden="1">
      <c r="A688">
        <f t="shared" si="83"/>
        <v>719</v>
      </c>
      <c r="B688" s="42" t="s">
        <v>28</v>
      </c>
      <c r="C688" s="313">
        <f>SUMIF('Employees Supported'!$A$2:$A$29,$B688,'Employees Supported'!$C$2:$C$29)</f>
        <v>1100</v>
      </c>
      <c r="E688" s="2">
        <f t="shared" si="84"/>
        <v>63</v>
      </c>
      <c r="F688" t="str">
        <f t="shared" si="88"/>
        <v>Reserved-63</v>
      </c>
      <c r="G688" t="str">
        <f t="shared" si="85"/>
        <v>SDOTReserved-63</v>
      </c>
      <c r="H688" s="2" t="s">
        <v>67</v>
      </c>
      <c r="O688" s="2" t="s">
        <v>2678</v>
      </c>
      <c r="P688" s="3" t="str">
        <f t="shared" si="86"/>
        <v>NR</v>
      </c>
      <c r="R688" s="127">
        <f t="shared" si="87"/>
        <v>0</v>
      </c>
    </row>
    <row r="689" spans="1:18" hidden="1">
      <c r="A689">
        <f t="shared" si="83"/>
        <v>720</v>
      </c>
      <c r="B689" s="42" t="s">
        <v>33</v>
      </c>
      <c r="C689" s="313">
        <f>SUMIF('Employees Supported'!$A$2:$A$29,$B689,'Employees Supported'!$C$2:$C$29)</f>
        <v>400</v>
      </c>
      <c r="E689" s="2">
        <f t="shared" si="84"/>
        <v>63</v>
      </c>
      <c r="F689" t="str">
        <f t="shared" si="88"/>
        <v>Reserved-63</v>
      </c>
      <c r="G689" t="str">
        <f t="shared" si="85"/>
        <v>SCLReserved-63</v>
      </c>
      <c r="H689" s="2" t="s">
        <v>67</v>
      </c>
      <c r="O689" s="2" t="s">
        <v>2678</v>
      </c>
      <c r="P689" s="3" t="str">
        <f t="shared" si="86"/>
        <v>NR</v>
      </c>
      <c r="R689" s="127">
        <f t="shared" si="87"/>
        <v>0</v>
      </c>
    </row>
    <row r="690" spans="1:18" hidden="1">
      <c r="A690">
        <f t="shared" si="83"/>
        <v>721</v>
      </c>
      <c r="B690" s="42" t="s">
        <v>31</v>
      </c>
      <c r="C690" s="313">
        <f>SUMIF('Employees Supported'!$A$2:$A$29,$B690,'Employees Supported'!$C$2:$C$29)</f>
        <v>700</v>
      </c>
      <c r="E690" s="2">
        <f t="shared" si="84"/>
        <v>63</v>
      </c>
      <c r="F690" t="str">
        <f t="shared" si="88"/>
        <v>Reserved-63</v>
      </c>
      <c r="G690" t="str">
        <f t="shared" si="85"/>
        <v>SeaITReserved-63</v>
      </c>
      <c r="H690" s="2" t="s">
        <v>67</v>
      </c>
      <c r="O690" s="2" t="s">
        <v>2678</v>
      </c>
      <c r="P690" s="3" t="str">
        <f t="shared" si="86"/>
        <v>NR</v>
      </c>
      <c r="R690" s="127">
        <f t="shared" si="87"/>
        <v>0</v>
      </c>
    </row>
    <row r="691" spans="1:18" hidden="1">
      <c r="A691">
        <f t="shared" si="83"/>
        <v>722</v>
      </c>
      <c r="B691" s="42" t="s">
        <v>29</v>
      </c>
      <c r="C691" s="313">
        <f>SUMIF('Employees Supported'!$A$2:$A$29,$B691,'Employees Supported'!$C$2:$C$29)</f>
        <v>550</v>
      </c>
      <c r="E691" s="2">
        <f t="shared" si="84"/>
        <v>63</v>
      </c>
      <c r="F691" t="str">
        <f t="shared" si="88"/>
        <v>Reserved-63</v>
      </c>
      <c r="G691" t="str">
        <f t="shared" si="85"/>
        <v>SDCIReserved-63</v>
      </c>
      <c r="H691" s="2" t="s">
        <v>67</v>
      </c>
      <c r="O691" s="2" t="s">
        <v>2678</v>
      </c>
      <c r="P691" s="3" t="str">
        <f t="shared" si="86"/>
        <v>NR</v>
      </c>
      <c r="R691" s="127">
        <f t="shared" si="87"/>
        <v>0</v>
      </c>
    </row>
    <row r="692" spans="1:18" hidden="1">
      <c r="A692">
        <f t="shared" si="83"/>
        <v>723</v>
      </c>
      <c r="B692" s="42" t="s">
        <v>27</v>
      </c>
      <c r="C692" s="313">
        <f>SUMIF('Employees Supported'!$A$2:$A$29,$B692,'Employees Supported'!$C$2:$C$29)</f>
        <v>400</v>
      </c>
      <c r="E692" s="2">
        <f t="shared" si="84"/>
        <v>63</v>
      </c>
      <c r="F692" t="str">
        <f t="shared" si="88"/>
        <v>Reserved-63</v>
      </c>
      <c r="G692" t="str">
        <f t="shared" si="85"/>
        <v>SPUReserved-63</v>
      </c>
      <c r="H692" s="2" t="s">
        <v>67</v>
      </c>
      <c r="O692" s="2" t="s">
        <v>2678</v>
      </c>
      <c r="P692" s="3" t="str">
        <f t="shared" si="86"/>
        <v>NR</v>
      </c>
      <c r="R692" s="127">
        <f t="shared" si="87"/>
        <v>0</v>
      </c>
    </row>
    <row r="693" spans="1:18" hidden="1">
      <c r="A693">
        <f t="shared" si="83"/>
        <v>724</v>
      </c>
      <c r="B693" s="42" t="s">
        <v>30</v>
      </c>
      <c r="C693" s="313">
        <f>SUMIF('Employees Supported'!$A$2:$A$29,$B693,'Employees Supported'!$C$2:$C$29)</f>
        <v>300</v>
      </c>
      <c r="E693" s="2">
        <f t="shared" si="84"/>
        <v>63</v>
      </c>
      <c r="F693" t="str">
        <f t="shared" si="88"/>
        <v>Reserved-63</v>
      </c>
      <c r="G693" t="str">
        <f t="shared" si="85"/>
        <v>LibrariesReserved-63</v>
      </c>
      <c r="H693" s="2" t="s">
        <v>67</v>
      </c>
      <c r="O693" s="2" t="s">
        <v>2678</v>
      </c>
      <c r="P693" s="3" t="str">
        <f t="shared" si="86"/>
        <v>NR</v>
      </c>
      <c r="R693" s="127">
        <f t="shared" si="87"/>
        <v>0</v>
      </c>
    </row>
    <row r="694" spans="1:18" hidden="1">
      <c r="A694">
        <f t="shared" si="83"/>
        <v>725</v>
      </c>
      <c r="B694" s="42" t="s">
        <v>26</v>
      </c>
      <c r="C694" s="313">
        <f>SUMIF('Employees Supported'!$A$2:$A$29,$B694,'Employees Supported'!$C$2:$C$29)</f>
        <v>400</v>
      </c>
      <c r="E694" s="2">
        <f t="shared" si="84"/>
        <v>63</v>
      </c>
      <c r="F694" t="str">
        <f t="shared" si="88"/>
        <v>Reserved-63</v>
      </c>
      <c r="G694" t="str">
        <f t="shared" si="85"/>
        <v>ParksReserved-63</v>
      </c>
      <c r="H694" s="2" t="s">
        <v>67</v>
      </c>
      <c r="O694" s="2" t="s">
        <v>2678</v>
      </c>
      <c r="P694" s="3" t="str">
        <f t="shared" si="86"/>
        <v>NR</v>
      </c>
      <c r="R694" s="127">
        <f t="shared" si="87"/>
        <v>0</v>
      </c>
    </row>
    <row r="695" spans="1:18" hidden="1">
      <c r="A695">
        <f t="shared" ref="A695:A758" si="89">+A694+1</f>
        <v>726</v>
      </c>
      <c r="B695" s="42" t="s">
        <v>32</v>
      </c>
      <c r="C695" s="313">
        <f>SUMIF('Employees Supported'!$A$2:$A$29,$B695,'Employees Supported'!$C$2:$C$29)</f>
        <v>400</v>
      </c>
      <c r="E695" s="2">
        <f t="shared" ref="E695" si="90">+E684+1</f>
        <v>63</v>
      </c>
      <c r="F695" t="str">
        <f t="shared" si="88"/>
        <v>Reserved-63</v>
      </c>
      <c r="G695" t="str">
        <f t="shared" si="85"/>
        <v>Seattle CtrReserved-63</v>
      </c>
      <c r="H695" s="2" t="s">
        <v>67</v>
      </c>
      <c r="O695" s="2" t="s">
        <v>2678</v>
      </c>
      <c r="P695" s="3" t="str">
        <f t="shared" si="86"/>
        <v>NR</v>
      </c>
      <c r="R695" s="127">
        <f t="shared" si="87"/>
        <v>0</v>
      </c>
    </row>
    <row r="696" spans="1:18">
      <c r="A696">
        <f t="shared" si="89"/>
        <v>727</v>
      </c>
      <c r="B696" s="42" t="s">
        <v>23</v>
      </c>
      <c r="C696" s="313">
        <v>6500</v>
      </c>
      <c r="E696" s="2">
        <f>+E685+1</f>
        <v>64</v>
      </c>
      <c r="F696" t="str">
        <f t="shared" si="88"/>
        <v>Reserved-64</v>
      </c>
      <c r="G696" t="str">
        <f t="shared" ref="G696:G759" si="91">_xlfn.SINGLE(_xlfn.CONCAT(B696,F696))</f>
        <v>FAS-CentralizedReserved-64</v>
      </c>
      <c r="H696" s="2" t="s">
        <v>67</v>
      </c>
      <c r="O696" s="2" t="s">
        <v>2678</v>
      </c>
      <c r="P696" s="3" t="str">
        <f t="shared" ref="P696:P759" si="92">IF(O696="NR","NR",((((C696+D696)*I696)*90)+(J696*90)+(((C696+D696)*K696)*3)+(L696*3)+((C696+D696)*M696)+N696))</f>
        <v>NR</v>
      </c>
      <c r="R696" s="127">
        <f t="shared" ref="R696:R759" si="93">SUM(P696)/90</f>
        <v>0</v>
      </c>
    </row>
    <row r="697" spans="1:18" hidden="1">
      <c r="A697">
        <f t="shared" si="89"/>
        <v>728</v>
      </c>
      <c r="B697" s="42" t="s">
        <v>25</v>
      </c>
      <c r="C697" s="313">
        <f>SUMIF('Employees Supported'!$A$2:$A$29,$B697,'Employees Supported'!$C$2:$C$29)</f>
        <v>1500</v>
      </c>
      <c r="E697" s="2">
        <f t="shared" ref="E697:E717" si="94">+E686+1</f>
        <v>64</v>
      </c>
      <c r="F697" t="str">
        <f t="shared" si="88"/>
        <v>Reserved-64</v>
      </c>
      <c r="G697" t="str">
        <f t="shared" si="91"/>
        <v>SPDReserved-64</v>
      </c>
      <c r="H697" s="2" t="s">
        <v>67</v>
      </c>
      <c r="O697" s="2" t="s">
        <v>2678</v>
      </c>
      <c r="P697" s="3" t="str">
        <f t="shared" si="92"/>
        <v>NR</v>
      </c>
      <c r="R697" s="127">
        <f t="shared" si="93"/>
        <v>0</v>
      </c>
    </row>
    <row r="698" spans="1:18" hidden="1">
      <c r="A698">
        <f t="shared" si="89"/>
        <v>729</v>
      </c>
      <c r="B698" s="42" t="s">
        <v>24</v>
      </c>
      <c r="C698" s="313">
        <f>SUMIF('Employees Supported'!$A$2:$A$29,$B698,'Employees Supported'!$C$2:$C$29)</f>
        <v>1100</v>
      </c>
      <c r="E698" s="2">
        <f t="shared" si="94"/>
        <v>64</v>
      </c>
      <c r="F698" t="str">
        <f t="shared" si="88"/>
        <v>Reserved-64</v>
      </c>
      <c r="G698" t="str">
        <f t="shared" si="91"/>
        <v>SFDReserved-64</v>
      </c>
      <c r="H698" s="2" t="s">
        <v>67</v>
      </c>
      <c r="O698" s="2" t="s">
        <v>2678</v>
      </c>
      <c r="P698" s="3" t="str">
        <f t="shared" si="92"/>
        <v>NR</v>
      </c>
      <c r="R698" s="127">
        <f t="shared" si="93"/>
        <v>0</v>
      </c>
    </row>
    <row r="699" spans="1:18" hidden="1">
      <c r="A699">
        <f t="shared" si="89"/>
        <v>730</v>
      </c>
      <c r="B699" s="42" t="s">
        <v>28</v>
      </c>
      <c r="C699" s="313">
        <f>SUMIF('Employees Supported'!$A$2:$A$29,$B699,'Employees Supported'!$C$2:$C$29)</f>
        <v>1100</v>
      </c>
      <c r="E699" s="2">
        <f t="shared" si="94"/>
        <v>64</v>
      </c>
      <c r="F699" t="str">
        <f t="shared" si="88"/>
        <v>Reserved-64</v>
      </c>
      <c r="G699" t="str">
        <f t="shared" si="91"/>
        <v>SDOTReserved-64</v>
      </c>
      <c r="H699" s="2" t="s">
        <v>67</v>
      </c>
      <c r="O699" s="2" t="s">
        <v>2678</v>
      </c>
      <c r="P699" s="3" t="str">
        <f t="shared" si="92"/>
        <v>NR</v>
      </c>
      <c r="R699" s="127">
        <f t="shared" si="93"/>
        <v>0</v>
      </c>
    </row>
    <row r="700" spans="1:18" hidden="1">
      <c r="A700">
        <f t="shared" si="89"/>
        <v>731</v>
      </c>
      <c r="B700" s="42" t="s">
        <v>33</v>
      </c>
      <c r="C700" s="313">
        <f>SUMIF('Employees Supported'!$A$2:$A$29,$B700,'Employees Supported'!$C$2:$C$29)</f>
        <v>400</v>
      </c>
      <c r="E700" s="2">
        <f t="shared" si="94"/>
        <v>64</v>
      </c>
      <c r="F700" t="str">
        <f t="shared" si="88"/>
        <v>Reserved-64</v>
      </c>
      <c r="G700" t="str">
        <f t="shared" si="91"/>
        <v>SCLReserved-64</v>
      </c>
      <c r="H700" s="2" t="s">
        <v>67</v>
      </c>
      <c r="O700" s="2" t="s">
        <v>2678</v>
      </c>
      <c r="P700" s="3" t="str">
        <f t="shared" si="92"/>
        <v>NR</v>
      </c>
      <c r="R700" s="127">
        <f t="shared" si="93"/>
        <v>0</v>
      </c>
    </row>
    <row r="701" spans="1:18" hidden="1">
      <c r="A701">
        <f t="shared" si="89"/>
        <v>732</v>
      </c>
      <c r="B701" s="42" t="s">
        <v>31</v>
      </c>
      <c r="C701" s="313">
        <f>SUMIF('Employees Supported'!$A$2:$A$29,$B701,'Employees Supported'!$C$2:$C$29)</f>
        <v>700</v>
      </c>
      <c r="E701" s="2">
        <f t="shared" si="94"/>
        <v>64</v>
      </c>
      <c r="F701" t="str">
        <f t="shared" si="88"/>
        <v>Reserved-64</v>
      </c>
      <c r="G701" t="str">
        <f t="shared" si="91"/>
        <v>SeaITReserved-64</v>
      </c>
      <c r="H701" s="2" t="s">
        <v>67</v>
      </c>
      <c r="O701" s="2" t="s">
        <v>2678</v>
      </c>
      <c r="P701" s="3" t="str">
        <f t="shared" si="92"/>
        <v>NR</v>
      </c>
      <c r="R701" s="127">
        <f t="shared" si="93"/>
        <v>0</v>
      </c>
    </row>
    <row r="702" spans="1:18" hidden="1">
      <c r="A702">
        <f t="shared" si="89"/>
        <v>733</v>
      </c>
      <c r="B702" s="42" t="s">
        <v>29</v>
      </c>
      <c r="C702" s="313">
        <f>SUMIF('Employees Supported'!$A$2:$A$29,$B702,'Employees Supported'!$C$2:$C$29)</f>
        <v>550</v>
      </c>
      <c r="E702" s="2">
        <f t="shared" si="94"/>
        <v>64</v>
      </c>
      <c r="F702" t="str">
        <f t="shared" si="88"/>
        <v>Reserved-64</v>
      </c>
      <c r="G702" t="str">
        <f t="shared" si="91"/>
        <v>SDCIReserved-64</v>
      </c>
      <c r="H702" s="2" t="s">
        <v>67</v>
      </c>
      <c r="O702" s="2" t="s">
        <v>2678</v>
      </c>
      <c r="P702" s="3" t="str">
        <f t="shared" si="92"/>
        <v>NR</v>
      </c>
      <c r="R702" s="127">
        <f t="shared" si="93"/>
        <v>0</v>
      </c>
    </row>
    <row r="703" spans="1:18" hidden="1">
      <c r="A703">
        <f t="shared" si="89"/>
        <v>734</v>
      </c>
      <c r="B703" s="42" t="s">
        <v>27</v>
      </c>
      <c r="C703" s="313">
        <f>SUMIF('Employees Supported'!$A$2:$A$29,$B703,'Employees Supported'!$C$2:$C$29)</f>
        <v>400</v>
      </c>
      <c r="E703" s="2">
        <f t="shared" si="94"/>
        <v>64</v>
      </c>
      <c r="F703" t="str">
        <f t="shared" si="88"/>
        <v>Reserved-64</v>
      </c>
      <c r="G703" t="str">
        <f t="shared" si="91"/>
        <v>SPUReserved-64</v>
      </c>
      <c r="H703" s="2" t="s">
        <v>67</v>
      </c>
      <c r="O703" s="2" t="s">
        <v>2678</v>
      </c>
      <c r="P703" s="3" t="str">
        <f t="shared" si="92"/>
        <v>NR</v>
      </c>
      <c r="R703" s="127">
        <f t="shared" si="93"/>
        <v>0</v>
      </c>
    </row>
    <row r="704" spans="1:18" hidden="1">
      <c r="A704">
        <f t="shared" si="89"/>
        <v>735</v>
      </c>
      <c r="B704" s="42" t="s">
        <v>30</v>
      </c>
      <c r="C704" s="313">
        <f>SUMIF('Employees Supported'!$A$2:$A$29,$B704,'Employees Supported'!$C$2:$C$29)</f>
        <v>300</v>
      </c>
      <c r="E704" s="2">
        <f t="shared" si="94"/>
        <v>64</v>
      </c>
      <c r="F704" t="str">
        <f t="shared" si="88"/>
        <v>Reserved-64</v>
      </c>
      <c r="G704" t="str">
        <f t="shared" si="91"/>
        <v>LibrariesReserved-64</v>
      </c>
      <c r="H704" s="2" t="s">
        <v>67</v>
      </c>
      <c r="O704" s="2" t="s">
        <v>2678</v>
      </c>
      <c r="P704" s="3" t="str">
        <f t="shared" si="92"/>
        <v>NR</v>
      </c>
      <c r="R704" s="127">
        <f t="shared" si="93"/>
        <v>0</v>
      </c>
    </row>
    <row r="705" spans="1:18" hidden="1">
      <c r="A705">
        <f t="shared" si="89"/>
        <v>736</v>
      </c>
      <c r="B705" s="42" t="s">
        <v>26</v>
      </c>
      <c r="C705" s="313">
        <f>SUMIF('Employees Supported'!$A$2:$A$29,$B705,'Employees Supported'!$C$2:$C$29)</f>
        <v>400</v>
      </c>
      <c r="E705" s="2">
        <f t="shared" si="94"/>
        <v>64</v>
      </c>
      <c r="F705" t="str">
        <f t="shared" si="88"/>
        <v>Reserved-64</v>
      </c>
      <c r="G705" t="str">
        <f t="shared" si="91"/>
        <v>ParksReserved-64</v>
      </c>
      <c r="H705" s="2" t="s">
        <v>67</v>
      </c>
      <c r="O705" s="2" t="s">
        <v>2678</v>
      </c>
      <c r="P705" s="3" t="str">
        <f t="shared" si="92"/>
        <v>NR</v>
      </c>
      <c r="R705" s="127">
        <f t="shared" si="93"/>
        <v>0</v>
      </c>
    </row>
    <row r="706" spans="1:18" hidden="1">
      <c r="A706">
        <f t="shared" si="89"/>
        <v>737</v>
      </c>
      <c r="B706" s="42" t="s">
        <v>32</v>
      </c>
      <c r="C706" s="313">
        <f>SUMIF('Employees Supported'!$A$2:$A$29,$B706,'Employees Supported'!$C$2:$C$29)</f>
        <v>400</v>
      </c>
      <c r="E706" s="2">
        <f t="shared" si="94"/>
        <v>64</v>
      </c>
      <c r="F706" t="str">
        <f t="shared" si="88"/>
        <v>Reserved-64</v>
      </c>
      <c r="G706" t="str">
        <f t="shared" si="91"/>
        <v>Seattle CtrReserved-64</v>
      </c>
      <c r="H706" s="2" t="s">
        <v>67</v>
      </c>
      <c r="O706" s="2" t="s">
        <v>2678</v>
      </c>
      <c r="P706" s="3" t="str">
        <f t="shared" si="92"/>
        <v>NR</v>
      </c>
      <c r="R706" s="127">
        <f t="shared" si="93"/>
        <v>0</v>
      </c>
    </row>
    <row r="707" spans="1:18">
      <c r="A707">
        <f t="shared" si="89"/>
        <v>738</v>
      </c>
      <c r="B707" s="42" t="s">
        <v>23</v>
      </c>
      <c r="C707" s="313">
        <v>6500</v>
      </c>
      <c r="E707" s="2">
        <f>+E696+1</f>
        <v>65</v>
      </c>
      <c r="F707" t="str">
        <f t="shared" si="88"/>
        <v>Reserved-65</v>
      </c>
      <c r="G707" t="str">
        <f t="shared" si="91"/>
        <v>FAS-CentralizedReserved-65</v>
      </c>
      <c r="H707" s="2" t="s">
        <v>67</v>
      </c>
      <c r="O707" s="2" t="s">
        <v>2678</v>
      </c>
      <c r="P707" s="3" t="str">
        <f t="shared" si="92"/>
        <v>NR</v>
      </c>
      <c r="R707" s="127">
        <f t="shared" si="93"/>
        <v>0</v>
      </c>
    </row>
    <row r="708" spans="1:18" hidden="1">
      <c r="A708">
        <f t="shared" si="89"/>
        <v>739</v>
      </c>
      <c r="B708" s="42" t="s">
        <v>25</v>
      </c>
      <c r="C708" s="313">
        <f>SUMIF('Employees Supported'!$A$2:$A$29,$B708,'Employees Supported'!$C$2:$C$29)</f>
        <v>1500</v>
      </c>
      <c r="E708" s="2">
        <f t="shared" si="94"/>
        <v>65</v>
      </c>
      <c r="F708" t="str">
        <f t="shared" si="88"/>
        <v>Reserved-65</v>
      </c>
      <c r="G708" t="str">
        <f t="shared" si="91"/>
        <v>SPDReserved-65</v>
      </c>
      <c r="H708" s="2" t="s">
        <v>67</v>
      </c>
      <c r="O708" s="2" t="s">
        <v>2678</v>
      </c>
      <c r="P708" s="3" t="str">
        <f t="shared" si="92"/>
        <v>NR</v>
      </c>
      <c r="R708" s="127">
        <f t="shared" si="93"/>
        <v>0</v>
      </c>
    </row>
    <row r="709" spans="1:18" hidden="1">
      <c r="A709">
        <f t="shared" si="89"/>
        <v>740</v>
      </c>
      <c r="B709" s="42" t="s">
        <v>24</v>
      </c>
      <c r="C709" s="313">
        <f>SUMIF('Employees Supported'!$A$2:$A$29,$B709,'Employees Supported'!$C$2:$C$29)</f>
        <v>1100</v>
      </c>
      <c r="E709" s="2">
        <f t="shared" si="94"/>
        <v>65</v>
      </c>
      <c r="F709" t="str">
        <f t="shared" si="88"/>
        <v>Reserved-65</v>
      </c>
      <c r="G709" t="str">
        <f t="shared" si="91"/>
        <v>SFDReserved-65</v>
      </c>
      <c r="H709" s="2" t="s">
        <v>67</v>
      </c>
      <c r="O709" s="2" t="s">
        <v>2678</v>
      </c>
      <c r="P709" s="3" t="str">
        <f t="shared" si="92"/>
        <v>NR</v>
      </c>
      <c r="R709" s="127">
        <f t="shared" si="93"/>
        <v>0</v>
      </c>
    </row>
    <row r="710" spans="1:18" hidden="1">
      <c r="A710">
        <f t="shared" si="89"/>
        <v>741</v>
      </c>
      <c r="B710" s="42" t="s">
        <v>28</v>
      </c>
      <c r="C710" s="313">
        <f>SUMIF('Employees Supported'!$A$2:$A$29,$B710,'Employees Supported'!$C$2:$C$29)</f>
        <v>1100</v>
      </c>
      <c r="E710" s="2">
        <f t="shared" si="94"/>
        <v>65</v>
      </c>
      <c r="F710" t="str">
        <f t="shared" si="88"/>
        <v>Reserved-65</v>
      </c>
      <c r="G710" t="str">
        <f t="shared" si="91"/>
        <v>SDOTReserved-65</v>
      </c>
      <c r="H710" s="2" t="s">
        <v>67</v>
      </c>
      <c r="O710" s="2" t="s">
        <v>2678</v>
      </c>
      <c r="P710" s="3" t="str">
        <f t="shared" si="92"/>
        <v>NR</v>
      </c>
      <c r="R710" s="127">
        <f t="shared" si="93"/>
        <v>0</v>
      </c>
    </row>
    <row r="711" spans="1:18" hidden="1">
      <c r="A711">
        <f t="shared" si="89"/>
        <v>742</v>
      </c>
      <c r="B711" s="42" t="s">
        <v>33</v>
      </c>
      <c r="C711" s="313">
        <f>SUMIF('Employees Supported'!$A$2:$A$29,$B711,'Employees Supported'!$C$2:$C$29)</f>
        <v>400</v>
      </c>
      <c r="E711" s="2">
        <f t="shared" si="94"/>
        <v>65</v>
      </c>
      <c r="F711" t="str">
        <f t="shared" si="88"/>
        <v>Reserved-65</v>
      </c>
      <c r="G711" t="str">
        <f t="shared" si="91"/>
        <v>SCLReserved-65</v>
      </c>
      <c r="H711" s="2" t="s">
        <v>67</v>
      </c>
      <c r="O711" s="2" t="s">
        <v>2678</v>
      </c>
      <c r="P711" s="3" t="str">
        <f t="shared" si="92"/>
        <v>NR</v>
      </c>
      <c r="R711" s="127">
        <f t="shared" si="93"/>
        <v>0</v>
      </c>
    </row>
    <row r="712" spans="1:18" hidden="1">
      <c r="A712">
        <f t="shared" si="89"/>
        <v>743</v>
      </c>
      <c r="B712" s="42" t="s">
        <v>31</v>
      </c>
      <c r="C712" s="313">
        <f>SUMIF('Employees Supported'!$A$2:$A$29,$B712,'Employees Supported'!$C$2:$C$29)</f>
        <v>700</v>
      </c>
      <c r="E712" s="2">
        <f t="shared" si="94"/>
        <v>65</v>
      </c>
      <c r="F712" t="str">
        <f t="shared" si="88"/>
        <v>Reserved-65</v>
      </c>
      <c r="G712" t="str">
        <f t="shared" si="91"/>
        <v>SeaITReserved-65</v>
      </c>
      <c r="H712" s="2" t="s">
        <v>67</v>
      </c>
      <c r="O712" s="2" t="s">
        <v>2678</v>
      </c>
      <c r="P712" s="3" t="str">
        <f t="shared" si="92"/>
        <v>NR</v>
      </c>
      <c r="R712" s="127">
        <f t="shared" si="93"/>
        <v>0</v>
      </c>
    </row>
    <row r="713" spans="1:18" hidden="1">
      <c r="A713">
        <f t="shared" si="89"/>
        <v>744</v>
      </c>
      <c r="B713" s="42" t="s">
        <v>29</v>
      </c>
      <c r="C713" s="313">
        <f>SUMIF('Employees Supported'!$A$2:$A$29,$B713,'Employees Supported'!$C$2:$C$29)</f>
        <v>550</v>
      </c>
      <c r="E713" s="2">
        <f t="shared" si="94"/>
        <v>65</v>
      </c>
      <c r="F713" t="str">
        <f t="shared" si="88"/>
        <v>Reserved-65</v>
      </c>
      <c r="G713" t="str">
        <f t="shared" si="91"/>
        <v>SDCIReserved-65</v>
      </c>
      <c r="H713" s="2" t="s">
        <v>67</v>
      </c>
      <c r="O713" s="2" t="s">
        <v>2678</v>
      </c>
      <c r="P713" s="3" t="str">
        <f t="shared" si="92"/>
        <v>NR</v>
      </c>
      <c r="R713" s="127">
        <f t="shared" si="93"/>
        <v>0</v>
      </c>
    </row>
    <row r="714" spans="1:18" hidden="1">
      <c r="A714">
        <f t="shared" si="89"/>
        <v>745</v>
      </c>
      <c r="B714" s="42" t="s">
        <v>27</v>
      </c>
      <c r="C714" s="313">
        <f>SUMIF('Employees Supported'!$A$2:$A$29,$B714,'Employees Supported'!$C$2:$C$29)</f>
        <v>400</v>
      </c>
      <c r="E714" s="2">
        <f t="shared" si="94"/>
        <v>65</v>
      </c>
      <c r="F714" t="str">
        <f t="shared" si="88"/>
        <v>Reserved-65</v>
      </c>
      <c r="G714" t="str">
        <f t="shared" si="91"/>
        <v>SPUReserved-65</v>
      </c>
      <c r="H714" s="2" t="s">
        <v>67</v>
      </c>
      <c r="O714" s="2" t="s">
        <v>2678</v>
      </c>
      <c r="P714" s="3" t="str">
        <f t="shared" si="92"/>
        <v>NR</v>
      </c>
      <c r="R714" s="127">
        <f t="shared" si="93"/>
        <v>0</v>
      </c>
    </row>
    <row r="715" spans="1:18" hidden="1">
      <c r="A715">
        <f t="shared" si="89"/>
        <v>746</v>
      </c>
      <c r="B715" s="42" t="s">
        <v>30</v>
      </c>
      <c r="C715" s="313">
        <f>SUMIF('Employees Supported'!$A$2:$A$29,$B715,'Employees Supported'!$C$2:$C$29)</f>
        <v>300</v>
      </c>
      <c r="E715" s="2">
        <f t="shared" si="94"/>
        <v>65</v>
      </c>
      <c r="F715" t="str">
        <f t="shared" ref="F715:F778" si="95">_xlfn.SINGLE(_xlfn.CONCAT("Reserved-",E715))</f>
        <v>Reserved-65</v>
      </c>
      <c r="G715" t="str">
        <f t="shared" si="91"/>
        <v>LibrariesReserved-65</v>
      </c>
      <c r="H715" s="2" t="s">
        <v>67</v>
      </c>
      <c r="O715" s="2" t="s">
        <v>2678</v>
      </c>
      <c r="P715" s="3" t="str">
        <f t="shared" si="92"/>
        <v>NR</v>
      </c>
      <c r="R715" s="127">
        <f t="shared" si="93"/>
        <v>0</v>
      </c>
    </row>
    <row r="716" spans="1:18" hidden="1">
      <c r="A716">
        <f t="shared" si="89"/>
        <v>747</v>
      </c>
      <c r="B716" s="42" t="s">
        <v>26</v>
      </c>
      <c r="C716" s="313">
        <f>SUMIF('Employees Supported'!$A$2:$A$29,$B716,'Employees Supported'!$C$2:$C$29)</f>
        <v>400</v>
      </c>
      <c r="E716" s="2">
        <f t="shared" si="94"/>
        <v>65</v>
      </c>
      <c r="F716" t="str">
        <f t="shared" si="95"/>
        <v>Reserved-65</v>
      </c>
      <c r="G716" t="str">
        <f t="shared" si="91"/>
        <v>ParksReserved-65</v>
      </c>
      <c r="H716" s="2" t="s">
        <v>67</v>
      </c>
      <c r="O716" s="2" t="s">
        <v>2678</v>
      </c>
      <c r="P716" s="3" t="str">
        <f t="shared" si="92"/>
        <v>NR</v>
      </c>
      <c r="R716" s="127">
        <f t="shared" si="93"/>
        <v>0</v>
      </c>
    </row>
    <row r="717" spans="1:18" hidden="1">
      <c r="A717">
        <f t="shared" si="89"/>
        <v>748</v>
      </c>
      <c r="B717" s="42" t="s">
        <v>32</v>
      </c>
      <c r="C717" s="313">
        <f>SUMIF('Employees Supported'!$A$2:$A$29,$B717,'Employees Supported'!$C$2:$C$29)</f>
        <v>400</v>
      </c>
      <c r="E717" s="2">
        <f t="shared" si="94"/>
        <v>65</v>
      </c>
      <c r="F717" t="str">
        <f t="shared" si="95"/>
        <v>Reserved-65</v>
      </c>
      <c r="G717" t="str">
        <f t="shared" si="91"/>
        <v>Seattle CtrReserved-65</v>
      </c>
      <c r="H717" s="2" t="s">
        <v>67</v>
      </c>
      <c r="O717" s="2" t="s">
        <v>2678</v>
      </c>
      <c r="P717" s="3" t="str">
        <f t="shared" si="92"/>
        <v>NR</v>
      </c>
      <c r="R717" s="127">
        <f t="shared" si="93"/>
        <v>0</v>
      </c>
    </row>
    <row r="718" spans="1:18">
      <c r="A718">
        <f t="shared" si="89"/>
        <v>749</v>
      </c>
      <c r="B718" s="42" t="s">
        <v>23</v>
      </c>
      <c r="C718" s="313">
        <v>6500</v>
      </c>
      <c r="E718" s="2">
        <f>+E707+1</f>
        <v>66</v>
      </c>
      <c r="F718" t="str">
        <f t="shared" si="95"/>
        <v>Reserved-66</v>
      </c>
      <c r="G718" t="str">
        <f t="shared" si="91"/>
        <v>FAS-CentralizedReserved-66</v>
      </c>
      <c r="H718" s="2" t="s">
        <v>67</v>
      </c>
      <c r="O718" s="2" t="s">
        <v>2678</v>
      </c>
      <c r="P718" s="3" t="str">
        <f t="shared" si="92"/>
        <v>NR</v>
      </c>
      <c r="R718" s="127">
        <f t="shared" si="93"/>
        <v>0</v>
      </c>
    </row>
    <row r="719" spans="1:18" hidden="1">
      <c r="A719">
        <f t="shared" si="89"/>
        <v>750</v>
      </c>
      <c r="B719" s="42" t="s">
        <v>25</v>
      </c>
      <c r="C719" s="313">
        <f>SUMIF('Employees Supported'!$A$2:$A$29,$B719,'Employees Supported'!$C$2:$C$29)</f>
        <v>1500</v>
      </c>
      <c r="E719" s="2">
        <f t="shared" ref="E719:E782" si="96">+E708+1</f>
        <v>66</v>
      </c>
      <c r="F719" t="str">
        <f t="shared" si="95"/>
        <v>Reserved-66</v>
      </c>
      <c r="G719" t="str">
        <f t="shared" si="91"/>
        <v>SPDReserved-66</v>
      </c>
      <c r="H719" s="2" t="s">
        <v>67</v>
      </c>
      <c r="O719" s="2" t="s">
        <v>2678</v>
      </c>
      <c r="P719" s="3" t="str">
        <f t="shared" si="92"/>
        <v>NR</v>
      </c>
      <c r="R719" s="127">
        <f t="shared" si="93"/>
        <v>0</v>
      </c>
    </row>
    <row r="720" spans="1:18" hidden="1">
      <c r="A720">
        <f t="shared" si="89"/>
        <v>751</v>
      </c>
      <c r="B720" s="42" t="s">
        <v>24</v>
      </c>
      <c r="C720" s="313">
        <f>SUMIF('Employees Supported'!$A$2:$A$29,$B720,'Employees Supported'!$C$2:$C$29)</f>
        <v>1100</v>
      </c>
      <c r="E720" s="2">
        <f t="shared" si="96"/>
        <v>66</v>
      </c>
      <c r="F720" t="str">
        <f t="shared" si="95"/>
        <v>Reserved-66</v>
      </c>
      <c r="G720" t="str">
        <f t="shared" si="91"/>
        <v>SFDReserved-66</v>
      </c>
      <c r="H720" s="2" t="s">
        <v>67</v>
      </c>
      <c r="O720" s="2" t="s">
        <v>2678</v>
      </c>
      <c r="P720" s="3" t="str">
        <f t="shared" si="92"/>
        <v>NR</v>
      </c>
      <c r="R720" s="127">
        <f t="shared" si="93"/>
        <v>0</v>
      </c>
    </row>
    <row r="721" spans="1:18" hidden="1">
      <c r="A721">
        <f t="shared" si="89"/>
        <v>752</v>
      </c>
      <c r="B721" s="42" t="s">
        <v>28</v>
      </c>
      <c r="C721" s="313">
        <f>SUMIF('Employees Supported'!$A$2:$A$29,$B721,'Employees Supported'!$C$2:$C$29)</f>
        <v>1100</v>
      </c>
      <c r="E721" s="2">
        <f t="shared" si="96"/>
        <v>66</v>
      </c>
      <c r="F721" t="str">
        <f t="shared" si="95"/>
        <v>Reserved-66</v>
      </c>
      <c r="G721" t="str">
        <f t="shared" si="91"/>
        <v>SDOTReserved-66</v>
      </c>
      <c r="H721" s="2" t="s">
        <v>67</v>
      </c>
      <c r="O721" s="2" t="s">
        <v>2678</v>
      </c>
      <c r="P721" s="3" t="str">
        <f t="shared" si="92"/>
        <v>NR</v>
      </c>
      <c r="R721" s="127">
        <f t="shared" si="93"/>
        <v>0</v>
      </c>
    </row>
    <row r="722" spans="1:18" hidden="1">
      <c r="A722">
        <f t="shared" si="89"/>
        <v>753</v>
      </c>
      <c r="B722" s="42" t="s">
        <v>33</v>
      </c>
      <c r="C722" s="313">
        <f>SUMIF('Employees Supported'!$A$2:$A$29,$B722,'Employees Supported'!$C$2:$C$29)</f>
        <v>400</v>
      </c>
      <c r="E722" s="2">
        <f t="shared" si="96"/>
        <v>66</v>
      </c>
      <c r="F722" t="str">
        <f t="shared" si="95"/>
        <v>Reserved-66</v>
      </c>
      <c r="G722" t="str">
        <f t="shared" si="91"/>
        <v>SCLReserved-66</v>
      </c>
      <c r="H722" s="2" t="s">
        <v>67</v>
      </c>
      <c r="O722" s="2" t="s">
        <v>2678</v>
      </c>
      <c r="P722" s="3" t="str">
        <f t="shared" si="92"/>
        <v>NR</v>
      </c>
      <c r="R722" s="127">
        <f t="shared" si="93"/>
        <v>0</v>
      </c>
    </row>
    <row r="723" spans="1:18" hidden="1">
      <c r="A723">
        <f t="shared" si="89"/>
        <v>754</v>
      </c>
      <c r="B723" s="42" t="s">
        <v>31</v>
      </c>
      <c r="C723" s="313">
        <f>SUMIF('Employees Supported'!$A$2:$A$29,$B723,'Employees Supported'!$C$2:$C$29)</f>
        <v>700</v>
      </c>
      <c r="E723" s="2">
        <f t="shared" si="96"/>
        <v>66</v>
      </c>
      <c r="F723" t="str">
        <f t="shared" si="95"/>
        <v>Reserved-66</v>
      </c>
      <c r="G723" t="str">
        <f t="shared" si="91"/>
        <v>SeaITReserved-66</v>
      </c>
      <c r="H723" s="2" t="s">
        <v>67</v>
      </c>
      <c r="O723" s="2" t="s">
        <v>2678</v>
      </c>
      <c r="P723" s="3" t="str">
        <f t="shared" si="92"/>
        <v>NR</v>
      </c>
      <c r="R723" s="127">
        <f t="shared" si="93"/>
        <v>0</v>
      </c>
    </row>
    <row r="724" spans="1:18" hidden="1">
      <c r="A724">
        <f t="shared" si="89"/>
        <v>755</v>
      </c>
      <c r="B724" s="42" t="s">
        <v>29</v>
      </c>
      <c r="C724" s="313">
        <f>SUMIF('Employees Supported'!$A$2:$A$29,$B724,'Employees Supported'!$C$2:$C$29)</f>
        <v>550</v>
      </c>
      <c r="E724" s="2">
        <f t="shared" si="96"/>
        <v>66</v>
      </c>
      <c r="F724" t="str">
        <f t="shared" si="95"/>
        <v>Reserved-66</v>
      </c>
      <c r="G724" t="str">
        <f t="shared" si="91"/>
        <v>SDCIReserved-66</v>
      </c>
      <c r="H724" s="2" t="s">
        <v>67</v>
      </c>
      <c r="O724" s="2" t="s">
        <v>2678</v>
      </c>
      <c r="P724" s="3" t="str">
        <f t="shared" si="92"/>
        <v>NR</v>
      </c>
      <c r="R724" s="127">
        <f t="shared" si="93"/>
        <v>0</v>
      </c>
    </row>
    <row r="725" spans="1:18" hidden="1">
      <c r="A725">
        <f t="shared" si="89"/>
        <v>756</v>
      </c>
      <c r="B725" s="42" t="s">
        <v>27</v>
      </c>
      <c r="C725" s="313">
        <f>SUMIF('Employees Supported'!$A$2:$A$29,$B725,'Employees Supported'!$C$2:$C$29)</f>
        <v>400</v>
      </c>
      <c r="E725" s="2">
        <f t="shared" si="96"/>
        <v>66</v>
      </c>
      <c r="F725" t="str">
        <f t="shared" si="95"/>
        <v>Reserved-66</v>
      </c>
      <c r="G725" t="str">
        <f t="shared" si="91"/>
        <v>SPUReserved-66</v>
      </c>
      <c r="H725" s="2" t="s">
        <v>67</v>
      </c>
      <c r="O725" s="2" t="s">
        <v>2678</v>
      </c>
      <c r="P725" s="3" t="str">
        <f t="shared" si="92"/>
        <v>NR</v>
      </c>
      <c r="R725" s="127">
        <f t="shared" si="93"/>
        <v>0</v>
      </c>
    </row>
    <row r="726" spans="1:18" hidden="1">
      <c r="A726">
        <f t="shared" si="89"/>
        <v>757</v>
      </c>
      <c r="B726" s="42" t="s">
        <v>30</v>
      </c>
      <c r="C726" s="313">
        <f>SUMIF('Employees Supported'!$A$2:$A$29,$B726,'Employees Supported'!$C$2:$C$29)</f>
        <v>300</v>
      </c>
      <c r="E726" s="2">
        <f t="shared" si="96"/>
        <v>66</v>
      </c>
      <c r="F726" t="str">
        <f t="shared" si="95"/>
        <v>Reserved-66</v>
      </c>
      <c r="G726" t="str">
        <f t="shared" si="91"/>
        <v>LibrariesReserved-66</v>
      </c>
      <c r="H726" s="2" t="s">
        <v>67</v>
      </c>
      <c r="O726" s="2" t="s">
        <v>2678</v>
      </c>
      <c r="P726" s="3" t="str">
        <f t="shared" si="92"/>
        <v>NR</v>
      </c>
      <c r="R726" s="127">
        <f t="shared" si="93"/>
        <v>0</v>
      </c>
    </row>
    <row r="727" spans="1:18" hidden="1">
      <c r="A727">
        <f t="shared" si="89"/>
        <v>758</v>
      </c>
      <c r="B727" s="42" t="s">
        <v>26</v>
      </c>
      <c r="C727" s="313">
        <f>SUMIF('Employees Supported'!$A$2:$A$29,$B727,'Employees Supported'!$C$2:$C$29)</f>
        <v>400</v>
      </c>
      <c r="E727" s="2">
        <f t="shared" si="96"/>
        <v>66</v>
      </c>
      <c r="F727" t="str">
        <f t="shared" si="95"/>
        <v>Reserved-66</v>
      </c>
      <c r="G727" t="str">
        <f t="shared" si="91"/>
        <v>ParksReserved-66</v>
      </c>
      <c r="H727" s="2" t="s">
        <v>67</v>
      </c>
      <c r="O727" s="2" t="s">
        <v>2678</v>
      </c>
      <c r="P727" s="3" t="str">
        <f t="shared" si="92"/>
        <v>NR</v>
      </c>
      <c r="R727" s="127">
        <f t="shared" si="93"/>
        <v>0</v>
      </c>
    </row>
    <row r="728" spans="1:18" hidden="1">
      <c r="A728">
        <f t="shared" si="89"/>
        <v>759</v>
      </c>
      <c r="B728" s="42" t="s">
        <v>32</v>
      </c>
      <c r="C728" s="313">
        <f>SUMIF('Employees Supported'!$A$2:$A$29,$B728,'Employees Supported'!$C$2:$C$29)</f>
        <v>400</v>
      </c>
      <c r="E728" s="2">
        <f t="shared" si="96"/>
        <v>66</v>
      </c>
      <c r="F728" t="str">
        <f t="shared" si="95"/>
        <v>Reserved-66</v>
      </c>
      <c r="G728" t="str">
        <f t="shared" si="91"/>
        <v>Seattle CtrReserved-66</v>
      </c>
      <c r="H728" s="2" t="s">
        <v>67</v>
      </c>
      <c r="O728" s="2" t="s">
        <v>2678</v>
      </c>
      <c r="P728" s="3" t="str">
        <f t="shared" si="92"/>
        <v>NR</v>
      </c>
      <c r="R728" s="127">
        <f t="shared" si="93"/>
        <v>0</v>
      </c>
    </row>
    <row r="729" spans="1:18">
      <c r="A729">
        <f t="shared" si="89"/>
        <v>760</v>
      </c>
      <c r="B729" s="42" t="s">
        <v>23</v>
      </c>
      <c r="C729" s="313">
        <v>6500</v>
      </c>
      <c r="E729" s="2">
        <f>+E718+1</f>
        <v>67</v>
      </c>
      <c r="F729" t="str">
        <f t="shared" si="95"/>
        <v>Reserved-67</v>
      </c>
      <c r="G729" t="str">
        <f t="shared" si="91"/>
        <v>FAS-CentralizedReserved-67</v>
      </c>
      <c r="H729" s="2" t="s">
        <v>67</v>
      </c>
      <c r="O729" s="2" t="s">
        <v>2678</v>
      </c>
      <c r="P729" s="3" t="str">
        <f t="shared" si="92"/>
        <v>NR</v>
      </c>
      <c r="R729" s="127">
        <f t="shared" si="93"/>
        <v>0</v>
      </c>
    </row>
    <row r="730" spans="1:18" hidden="1">
      <c r="A730">
        <f t="shared" si="89"/>
        <v>761</v>
      </c>
      <c r="B730" s="42" t="s">
        <v>25</v>
      </c>
      <c r="C730" s="313">
        <f>SUMIF('Employees Supported'!$A$2:$A$29,$B730,'Employees Supported'!$C$2:$C$29)</f>
        <v>1500</v>
      </c>
      <c r="E730" s="2">
        <f t="shared" si="96"/>
        <v>67</v>
      </c>
      <c r="F730" t="str">
        <f t="shared" si="95"/>
        <v>Reserved-67</v>
      </c>
      <c r="G730" t="str">
        <f t="shared" si="91"/>
        <v>SPDReserved-67</v>
      </c>
      <c r="H730" s="2" t="s">
        <v>67</v>
      </c>
      <c r="O730" s="2" t="s">
        <v>2678</v>
      </c>
      <c r="P730" s="3" t="str">
        <f t="shared" si="92"/>
        <v>NR</v>
      </c>
      <c r="R730" s="127">
        <f t="shared" si="93"/>
        <v>0</v>
      </c>
    </row>
    <row r="731" spans="1:18" hidden="1">
      <c r="A731">
        <f t="shared" si="89"/>
        <v>762</v>
      </c>
      <c r="B731" s="42" t="s">
        <v>24</v>
      </c>
      <c r="C731" s="313">
        <f>SUMIF('Employees Supported'!$A$2:$A$29,$B731,'Employees Supported'!$C$2:$C$29)</f>
        <v>1100</v>
      </c>
      <c r="E731" s="2">
        <f t="shared" si="96"/>
        <v>67</v>
      </c>
      <c r="F731" t="str">
        <f t="shared" si="95"/>
        <v>Reserved-67</v>
      </c>
      <c r="G731" t="str">
        <f t="shared" si="91"/>
        <v>SFDReserved-67</v>
      </c>
      <c r="H731" s="2" t="s">
        <v>67</v>
      </c>
      <c r="O731" s="2" t="s">
        <v>2678</v>
      </c>
      <c r="P731" s="3" t="str">
        <f t="shared" si="92"/>
        <v>NR</v>
      </c>
      <c r="R731" s="127">
        <f t="shared" si="93"/>
        <v>0</v>
      </c>
    </row>
    <row r="732" spans="1:18" hidden="1">
      <c r="A732">
        <f t="shared" si="89"/>
        <v>763</v>
      </c>
      <c r="B732" s="42" t="s">
        <v>28</v>
      </c>
      <c r="C732" s="313">
        <f>SUMIF('Employees Supported'!$A$2:$A$29,$B732,'Employees Supported'!$C$2:$C$29)</f>
        <v>1100</v>
      </c>
      <c r="E732" s="2">
        <f t="shared" si="96"/>
        <v>67</v>
      </c>
      <c r="F732" t="str">
        <f t="shared" si="95"/>
        <v>Reserved-67</v>
      </c>
      <c r="G732" t="str">
        <f t="shared" si="91"/>
        <v>SDOTReserved-67</v>
      </c>
      <c r="H732" s="2" t="s">
        <v>67</v>
      </c>
      <c r="O732" s="2" t="s">
        <v>2678</v>
      </c>
      <c r="P732" s="3" t="str">
        <f t="shared" si="92"/>
        <v>NR</v>
      </c>
      <c r="R732" s="127">
        <f t="shared" si="93"/>
        <v>0</v>
      </c>
    </row>
    <row r="733" spans="1:18" hidden="1">
      <c r="A733">
        <f t="shared" si="89"/>
        <v>764</v>
      </c>
      <c r="B733" s="42" t="s">
        <v>33</v>
      </c>
      <c r="C733" s="313">
        <f>SUMIF('Employees Supported'!$A$2:$A$29,$B733,'Employees Supported'!$C$2:$C$29)</f>
        <v>400</v>
      </c>
      <c r="E733" s="2">
        <f t="shared" si="96"/>
        <v>67</v>
      </c>
      <c r="F733" t="str">
        <f t="shared" si="95"/>
        <v>Reserved-67</v>
      </c>
      <c r="G733" t="str">
        <f t="shared" si="91"/>
        <v>SCLReserved-67</v>
      </c>
      <c r="H733" s="2" t="s">
        <v>67</v>
      </c>
      <c r="O733" s="2" t="s">
        <v>2678</v>
      </c>
      <c r="P733" s="3" t="str">
        <f t="shared" si="92"/>
        <v>NR</v>
      </c>
      <c r="R733" s="127">
        <f t="shared" si="93"/>
        <v>0</v>
      </c>
    </row>
    <row r="734" spans="1:18" hidden="1">
      <c r="A734">
        <f t="shared" si="89"/>
        <v>765</v>
      </c>
      <c r="B734" s="42" t="s">
        <v>31</v>
      </c>
      <c r="C734" s="313">
        <f>SUMIF('Employees Supported'!$A$2:$A$29,$B734,'Employees Supported'!$C$2:$C$29)</f>
        <v>700</v>
      </c>
      <c r="E734" s="2">
        <f t="shared" si="96"/>
        <v>67</v>
      </c>
      <c r="F734" t="str">
        <f t="shared" si="95"/>
        <v>Reserved-67</v>
      </c>
      <c r="G734" t="str">
        <f t="shared" si="91"/>
        <v>SeaITReserved-67</v>
      </c>
      <c r="H734" s="2" t="s">
        <v>67</v>
      </c>
      <c r="O734" s="2" t="s">
        <v>2678</v>
      </c>
      <c r="P734" s="3" t="str">
        <f t="shared" si="92"/>
        <v>NR</v>
      </c>
      <c r="R734" s="127">
        <f t="shared" si="93"/>
        <v>0</v>
      </c>
    </row>
    <row r="735" spans="1:18" hidden="1">
      <c r="A735">
        <f t="shared" si="89"/>
        <v>766</v>
      </c>
      <c r="B735" s="42" t="s">
        <v>29</v>
      </c>
      <c r="C735" s="313">
        <f>SUMIF('Employees Supported'!$A$2:$A$29,$B735,'Employees Supported'!$C$2:$C$29)</f>
        <v>550</v>
      </c>
      <c r="E735" s="2">
        <f t="shared" si="96"/>
        <v>67</v>
      </c>
      <c r="F735" t="str">
        <f t="shared" si="95"/>
        <v>Reserved-67</v>
      </c>
      <c r="G735" t="str">
        <f t="shared" si="91"/>
        <v>SDCIReserved-67</v>
      </c>
      <c r="H735" s="2" t="s">
        <v>67</v>
      </c>
      <c r="O735" s="2" t="s">
        <v>2678</v>
      </c>
      <c r="P735" s="3" t="str">
        <f t="shared" si="92"/>
        <v>NR</v>
      </c>
      <c r="R735" s="127">
        <f t="shared" si="93"/>
        <v>0</v>
      </c>
    </row>
    <row r="736" spans="1:18" hidden="1">
      <c r="A736">
        <f t="shared" si="89"/>
        <v>767</v>
      </c>
      <c r="B736" s="42" t="s">
        <v>27</v>
      </c>
      <c r="C736" s="313">
        <f>SUMIF('Employees Supported'!$A$2:$A$29,$B736,'Employees Supported'!$C$2:$C$29)</f>
        <v>400</v>
      </c>
      <c r="E736" s="2">
        <f t="shared" si="96"/>
        <v>67</v>
      </c>
      <c r="F736" t="str">
        <f t="shared" si="95"/>
        <v>Reserved-67</v>
      </c>
      <c r="G736" t="str">
        <f t="shared" si="91"/>
        <v>SPUReserved-67</v>
      </c>
      <c r="H736" s="2" t="s">
        <v>67</v>
      </c>
      <c r="O736" s="2" t="s">
        <v>2678</v>
      </c>
      <c r="P736" s="3" t="str">
        <f t="shared" si="92"/>
        <v>NR</v>
      </c>
      <c r="R736" s="127">
        <f t="shared" si="93"/>
        <v>0</v>
      </c>
    </row>
    <row r="737" spans="1:18" hidden="1">
      <c r="A737">
        <f t="shared" si="89"/>
        <v>768</v>
      </c>
      <c r="B737" s="42" t="s">
        <v>30</v>
      </c>
      <c r="C737" s="313">
        <f>SUMIF('Employees Supported'!$A$2:$A$29,$B737,'Employees Supported'!$C$2:$C$29)</f>
        <v>300</v>
      </c>
      <c r="E737" s="2">
        <f t="shared" si="96"/>
        <v>67</v>
      </c>
      <c r="F737" t="str">
        <f t="shared" si="95"/>
        <v>Reserved-67</v>
      </c>
      <c r="G737" t="str">
        <f t="shared" si="91"/>
        <v>LibrariesReserved-67</v>
      </c>
      <c r="H737" s="2" t="s">
        <v>67</v>
      </c>
      <c r="O737" s="2" t="s">
        <v>2678</v>
      </c>
      <c r="P737" s="3" t="str">
        <f t="shared" si="92"/>
        <v>NR</v>
      </c>
      <c r="R737" s="127">
        <f t="shared" si="93"/>
        <v>0</v>
      </c>
    </row>
    <row r="738" spans="1:18" hidden="1">
      <c r="A738">
        <f t="shared" si="89"/>
        <v>769</v>
      </c>
      <c r="B738" s="42" t="s">
        <v>26</v>
      </c>
      <c r="C738" s="313">
        <f>SUMIF('Employees Supported'!$A$2:$A$29,$B738,'Employees Supported'!$C$2:$C$29)</f>
        <v>400</v>
      </c>
      <c r="E738" s="2">
        <f t="shared" si="96"/>
        <v>67</v>
      </c>
      <c r="F738" t="str">
        <f t="shared" si="95"/>
        <v>Reserved-67</v>
      </c>
      <c r="G738" t="str">
        <f t="shared" si="91"/>
        <v>ParksReserved-67</v>
      </c>
      <c r="H738" s="2" t="s">
        <v>67</v>
      </c>
      <c r="O738" s="2" t="s">
        <v>2678</v>
      </c>
      <c r="P738" s="3" t="str">
        <f t="shared" si="92"/>
        <v>NR</v>
      </c>
      <c r="R738" s="127">
        <f t="shared" si="93"/>
        <v>0</v>
      </c>
    </row>
    <row r="739" spans="1:18" hidden="1">
      <c r="A739">
        <f t="shared" si="89"/>
        <v>770</v>
      </c>
      <c r="B739" s="42" t="s">
        <v>32</v>
      </c>
      <c r="C739" s="313">
        <f>SUMIF('Employees Supported'!$A$2:$A$29,$B739,'Employees Supported'!$C$2:$C$29)</f>
        <v>400</v>
      </c>
      <c r="E739" s="2">
        <f t="shared" si="96"/>
        <v>67</v>
      </c>
      <c r="F739" t="str">
        <f t="shared" si="95"/>
        <v>Reserved-67</v>
      </c>
      <c r="G739" t="str">
        <f t="shared" si="91"/>
        <v>Seattle CtrReserved-67</v>
      </c>
      <c r="H739" s="2" t="s">
        <v>67</v>
      </c>
      <c r="O739" s="2" t="s">
        <v>2678</v>
      </c>
      <c r="P739" s="3" t="str">
        <f t="shared" si="92"/>
        <v>NR</v>
      </c>
      <c r="R739" s="127">
        <f t="shared" si="93"/>
        <v>0</v>
      </c>
    </row>
    <row r="740" spans="1:18">
      <c r="A740">
        <f t="shared" si="89"/>
        <v>771</v>
      </c>
      <c r="B740" s="42" t="s">
        <v>23</v>
      </c>
      <c r="C740" s="313">
        <v>6500</v>
      </c>
      <c r="E740" s="2">
        <f>+E729+1</f>
        <v>68</v>
      </c>
      <c r="F740" t="str">
        <f t="shared" si="95"/>
        <v>Reserved-68</v>
      </c>
      <c r="G740" t="str">
        <f t="shared" si="91"/>
        <v>FAS-CentralizedReserved-68</v>
      </c>
      <c r="H740" s="2" t="s">
        <v>67</v>
      </c>
      <c r="O740" s="2" t="s">
        <v>2678</v>
      </c>
      <c r="P740" s="3" t="str">
        <f t="shared" si="92"/>
        <v>NR</v>
      </c>
      <c r="R740" s="127">
        <f t="shared" si="93"/>
        <v>0</v>
      </c>
    </row>
    <row r="741" spans="1:18" hidden="1">
      <c r="A741">
        <f t="shared" si="89"/>
        <v>772</v>
      </c>
      <c r="B741" s="42" t="s">
        <v>25</v>
      </c>
      <c r="C741" s="313">
        <f>SUMIF('Employees Supported'!$A$2:$A$29,$B741,'Employees Supported'!$C$2:$C$29)</f>
        <v>1500</v>
      </c>
      <c r="E741" s="2">
        <f t="shared" si="96"/>
        <v>68</v>
      </c>
      <c r="F741" t="str">
        <f t="shared" si="95"/>
        <v>Reserved-68</v>
      </c>
      <c r="G741" t="str">
        <f t="shared" si="91"/>
        <v>SPDReserved-68</v>
      </c>
      <c r="H741" s="2" t="s">
        <v>67</v>
      </c>
      <c r="O741" s="2" t="s">
        <v>2678</v>
      </c>
      <c r="P741" s="3" t="str">
        <f t="shared" si="92"/>
        <v>NR</v>
      </c>
      <c r="R741" s="127">
        <f t="shared" si="93"/>
        <v>0</v>
      </c>
    </row>
    <row r="742" spans="1:18" hidden="1">
      <c r="A742">
        <f t="shared" si="89"/>
        <v>773</v>
      </c>
      <c r="B742" s="42" t="s">
        <v>24</v>
      </c>
      <c r="C742" s="313">
        <f>SUMIF('Employees Supported'!$A$2:$A$29,$B742,'Employees Supported'!$C$2:$C$29)</f>
        <v>1100</v>
      </c>
      <c r="E742" s="2">
        <f t="shared" si="96"/>
        <v>68</v>
      </c>
      <c r="F742" t="str">
        <f t="shared" si="95"/>
        <v>Reserved-68</v>
      </c>
      <c r="G742" t="str">
        <f t="shared" si="91"/>
        <v>SFDReserved-68</v>
      </c>
      <c r="H742" s="2" t="s">
        <v>67</v>
      </c>
      <c r="O742" s="2" t="s">
        <v>2678</v>
      </c>
      <c r="P742" s="3" t="str">
        <f t="shared" si="92"/>
        <v>NR</v>
      </c>
      <c r="R742" s="127">
        <f t="shared" si="93"/>
        <v>0</v>
      </c>
    </row>
    <row r="743" spans="1:18" hidden="1">
      <c r="A743">
        <f t="shared" si="89"/>
        <v>774</v>
      </c>
      <c r="B743" s="42" t="s">
        <v>28</v>
      </c>
      <c r="C743" s="313">
        <f>SUMIF('Employees Supported'!$A$2:$A$29,$B743,'Employees Supported'!$C$2:$C$29)</f>
        <v>1100</v>
      </c>
      <c r="E743" s="2">
        <f t="shared" si="96"/>
        <v>68</v>
      </c>
      <c r="F743" t="str">
        <f t="shared" si="95"/>
        <v>Reserved-68</v>
      </c>
      <c r="G743" t="str">
        <f t="shared" si="91"/>
        <v>SDOTReserved-68</v>
      </c>
      <c r="H743" s="2" t="s">
        <v>67</v>
      </c>
      <c r="O743" s="2" t="s">
        <v>2678</v>
      </c>
      <c r="P743" s="3" t="str">
        <f t="shared" si="92"/>
        <v>NR</v>
      </c>
      <c r="R743" s="127">
        <f t="shared" si="93"/>
        <v>0</v>
      </c>
    </row>
    <row r="744" spans="1:18" hidden="1">
      <c r="A744">
        <f t="shared" si="89"/>
        <v>775</v>
      </c>
      <c r="B744" s="42" t="s">
        <v>33</v>
      </c>
      <c r="C744" s="313">
        <f>SUMIF('Employees Supported'!$A$2:$A$29,$B744,'Employees Supported'!$C$2:$C$29)</f>
        <v>400</v>
      </c>
      <c r="E744" s="2">
        <f t="shared" si="96"/>
        <v>68</v>
      </c>
      <c r="F744" t="str">
        <f t="shared" si="95"/>
        <v>Reserved-68</v>
      </c>
      <c r="G744" t="str">
        <f t="shared" si="91"/>
        <v>SCLReserved-68</v>
      </c>
      <c r="H744" s="2" t="s">
        <v>67</v>
      </c>
      <c r="O744" s="2" t="s">
        <v>2678</v>
      </c>
      <c r="P744" s="3" t="str">
        <f t="shared" si="92"/>
        <v>NR</v>
      </c>
      <c r="R744" s="127">
        <f t="shared" si="93"/>
        <v>0</v>
      </c>
    </row>
    <row r="745" spans="1:18" hidden="1">
      <c r="A745">
        <f t="shared" si="89"/>
        <v>776</v>
      </c>
      <c r="B745" s="42" t="s">
        <v>31</v>
      </c>
      <c r="C745" s="313">
        <f>SUMIF('Employees Supported'!$A$2:$A$29,$B745,'Employees Supported'!$C$2:$C$29)</f>
        <v>700</v>
      </c>
      <c r="E745" s="2">
        <f t="shared" si="96"/>
        <v>68</v>
      </c>
      <c r="F745" t="str">
        <f t="shared" si="95"/>
        <v>Reserved-68</v>
      </c>
      <c r="G745" t="str">
        <f t="shared" si="91"/>
        <v>SeaITReserved-68</v>
      </c>
      <c r="H745" s="2" t="s">
        <v>67</v>
      </c>
      <c r="O745" s="2" t="s">
        <v>2678</v>
      </c>
      <c r="P745" s="3" t="str">
        <f t="shared" si="92"/>
        <v>NR</v>
      </c>
      <c r="R745" s="127">
        <f t="shared" si="93"/>
        <v>0</v>
      </c>
    </row>
    <row r="746" spans="1:18" hidden="1">
      <c r="A746">
        <f t="shared" si="89"/>
        <v>777</v>
      </c>
      <c r="B746" s="42" t="s">
        <v>29</v>
      </c>
      <c r="C746" s="313">
        <f>SUMIF('Employees Supported'!$A$2:$A$29,$B746,'Employees Supported'!$C$2:$C$29)</f>
        <v>550</v>
      </c>
      <c r="E746" s="2">
        <f t="shared" si="96"/>
        <v>68</v>
      </c>
      <c r="F746" t="str">
        <f t="shared" si="95"/>
        <v>Reserved-68</v>
      </c>
      <c r="G746" t="str">
        <f t="shared" si="91"/>
        <v>SDCIReserved-68</v>
      </c>
      <c r="H746" s="2" t="s">
        <v>67</v>
      </c>
      <c r="O746" s="2" t="s">
        <v>2678</v>
      </c>
      <c r="P746" s="3" t="str">
        <f t="shared" si="92"/>
        <v>NR</v>
      </c>
      <c r="R746" s="127">
        <f t="shared" si="93"/>
        <v>0</v>
      </c>
    </row>
    <row r="747" spans="1:18" hidden="1">
      <c r="A747">
        <f t="shared" si="89"/>
        <v>778</v>
      </c>
      <c r="B747" s="42" t="s">
        <v>27</v>
      </c>
      <c r="C747" s="313">
        <f>SUMIF('Employees Supported'!$A$2:$A$29,$B747,'Employees Supported'!$C$2:$C$29)</f>
        <v>400</v>
      </c>
      <c r="E747" s="2">
        <f t="shared" si="96"/>
        <v>68</v>
      </c>
      <c r="F747" t="str">
        <f t="shared" si="95"/>
        <v>Reserved-68</v>
      </c>
      <c r="G747" t="str">
        <f t="shared" si="91"/>
        <v>SPUReserved-68</v>
      </c>
      <c r="H747" s="2" t="s">
        <v>67</v>
      </c>
      <c r="O747" s="2" t="s">
        <v>2678</v>
      </c>
      <c r="P747" s="3" t="str">
        <f t="shared" si="92"/>
        <v>NR</v>
      </c>
      <c r="R747" s="127">
        <f t="shared" si="93"/>
        <v>0</v>
      </c>
    </row>
    <row r="748" spans="1:18" hidden="1">
      <c r="A748">
        <f t="shared" si="89"/>
        <v>779</v>
      </c>
      <c r="B748" s="42" t="s">
        <v>30</v>
      </c>
      <c r="C748" s="313">
        <f>SUMIF('Employees Supported'!$A$2:$A$29,$B748,'Employees Supported'!$C$2:$C$29)</f>
        <v>300</v>
      </c>
      <c r="E748" s="2">
        <f t="shared" si="96"/>
        <v>68</v>
      </c>
      <c r="F748" t="str">
        <f t="shared" si="95"/>
        <v>Reserved-68</v>
      </c>
      <c r="G748" t="str">
        <f t="shared" si="91"/>
        <v>LibrariesReserved-68</v>
      </c>
      <c r="H748" s="2" t="s">
        <v>67</v>
      </c>
      <c r="O748" s="2" t="s">
        <v>2678</v>
      </c>
      <c r="P748" s="3" t="str">
        <f t="shared" si="92"/>
        <v>NR</v>
      </c>
      <c r="R748" s="127">
        <f t="shared" si="93"/>
        <v>0</v>
      </c>
    </row>
    <row r="749" spans="1:18" hidden="1">
      <c r="A749">
        <f t="shared" si="89"/>
        <v>780</v>
      </c>
      <c r="B749" s="42" t="s">
        <v>26</v>
      </c>
      <c r="C749" s="313">
        <f>SUMIF('Employees Supported'!$A$2:$A$29,$B749,'Employees Supported'!$C$2:$C$29)</f>
        <v>400</v>
      </c>
      <c r="E749" s="2">
        <f t="shared" si="96"/>
        <v>68</v>
      </c>
      <c r="F749" t="str">
        <f t="shared" si="95"/>
        <v>Reserved-68</v>
      </c>
      <c r="G749" t="str">
        <f t="shared" si="91"/>
        <v>ParksReserved-68</v>
      </c>
      <c r="H749" s="2" t="s">
        <v>67</v>
      </c>
      <c r="O749" s="2" t="s">
        <v>2678</v>
      </c>
      <c r="P749" s="3" t="str">
        <f t="shared" si="92"/>
        <v>NR</v>
      </c>
      <c r="R749" s="127">
        <f t="shared" si="93"/>
        <v>0</v>
      </c>
    </row>
    <row r="750" spans="1:18" hidden="1">
      <c r="A750">
        <f t="shared" si="89"/>
        <v>781</v>
      </c>
      <c r="B750" s="42" t="s">
        <v>32</v>
      </c>
      <c r="C750" s="313">
        <f>SUMIF('Employees Supported'!$A$2:$A$29,$B750,'Employees Supported'!$C$2:$C$29)</f>
        <v>400</v>
      </c>
      <c r="E750" s="2">
        <f t="shared" si="96"/>
        <v>68</v>
      </c>
      <c r="F750" t="str">
        <f t="shared" si="95"/>
        <v>Reserved-68</v>
      </c>
      <c r="G750" t="str">
        <f t="shared" si="91"/>
        <v>Seattle CtrReserved-68</v>
      </c>
      <c r="H750" s="2" t="s">
        <v>67</v>
      </c>
      <c r="O750" s="2" t="s">
        <v>2678</v>
      </c>
      <c r="P750" s="3" t="str">
        <f t="shared" si="92"/>
        <v>NR</v>
      </c>
      <c r="R750" s="127">
        <f t="shared" si="93"/>
        <v>0</v>
      </c>
    </row>
    <row r="751" spans="1:18">
      <c r="A751">
        <f t="shared" si="89"/>
        <v>782</v>
      </c>
      <c r="B751" s="42" t="s">
        <v>23</v>
      </c>
      <c r="C751" s="313">
        <v>6500</v>
      </c>
      <c r="E751" s="2">
        <f>+E740+1</f>
        <v>69</v>
      </c>
      <c r="F751" t="str">
        <f t="shared" si="95"/>
        <v>Reserved-69</v>
      </c>
      <c r="G751" t="str">
        <f t="shared" si="91"/>
        <v>FAS-CentralizedReserved-69</v>
      </c>
      <c r="H751" s="2" t="s">
        <v>67</v>
      </c>
      <c r="O751" s="2" t="s">
        <v>2678</v>
      </c>
      <c r="P751" s="3" t="str">
        <f t="shared" si="92"/>
        <v>NR</v>
      </c>
      <c r="R751" s="127">
        <f t="shared" si="93"/>
        <v>0</v>
      </c>
    </row>
    <row r="752" spans="1:18" hidden="1">
      <c r="A752">
        <f t="shared" si="89"/>
        <v>783</v>
      </c>
      <c r="B752" s="42" t="s">
        <v>25</v>
      </c>
      <c r="C752" s="313">
        <f>SUMIF('Employees Supported'!$A$2:$A$29,$B752,'Employees Supported'!$C$2:$C$29)</f>
        <v>1500</v>
      </c>
      <c r="E752" s="2">
        <f t="shared" si="96"/>
        <v>69</v>
      </c>
      <c r="F752" t="str">
        <f t="shared" si="95"/>
        <v>Reserved-69</v>
      </c>
      <c r="G752" t="str">
        <f t="shared" si="91"/>
        <v>SPDReserved-69</v>
      </c>
      <c r="H752" s="2" t="s">
        <v>67</v>
      </c>
      <c r="O752" s="2" t="s">
        <v>2678</v>
      </c>
      <c r="P752" s="3" t="str">
        <f t="shared" si="92"/>
        <v>NR</v>
      </c>
      <c r="R752" s="127">
        <f t="shared" si="93"/>
        <v>0</v>
      </c>
    </row>
    <row r="753" spans="1:18" hidden="1">
      <c r="A753">
        <f t="shared" si="89"/>
        <v>784</v>
      </c>
      <c r="B753" s="42" t="s">
        <v>24</v>
      </c>
      <c r="C753" s="313">
        <f>SUMIF('Employees Supported'!$A$2:$A$29,$B753,'Employees Supported'!$C$2:$C$29)</f>
        <v>1100</v>
      </c>
      <c r="E753" s="2">
        <f t="shared" si="96"/>
        <v>69</v>
      </c>
      <c r="F753" t="str">
        <f t="shared" si="95"/>
        <v>Reserved-69</v>
      </c>
      <c r="G753" t="str">
        <f t="shared" si="91"/>
        <v>SFDReserved-69</v>
      </c>
      <c r="H753" s="2" t="s">
        <v>67</v>
      </c>
      <c r="O753" s="2" t="s">
        <v>2678</v>
      </c>
      <c r="P753" s="3" t="str">
        <f t="shared" si="92"/>
        <v>NR</v>
      </c>
      <c r="R753" s="127">
        <f t="shared" si="93"/>
        <v>0</v>
      </c>
    </row>
    <row r="754" spans="1:18" hidden="1">
      <c r="A754">
        <f t="shared" si="89"/>
        <v>785</v>
      </c>
      <c r="B754" s="42" t="s">
        <v>28</v>
      </c>
      <c r="C754" s="313">
        <f>SUMIF('Employees Supported'!$A$2:$A$29,$B754,'Employees Supported'!$C$2:$C$29)</f>
        <v>1100</v>
      </c>
      <c r="E754" s="2">
        <f t="shared" si="96"/>
        <v>69</v>
      </c>
      <c r="F754" t="str">
        <f t="shared" si="95"/>
        <v>Reserved-69</v>
      </c>
      <c r="G754" t="str">
        <f t="shared" si="91"/>
        <v>SDOTReserved-69</v>
      </c>
      <c r="H754" s="2" t="s">
        <v>67</v>
      </c>
      <c r="O754" s="2" t="s">
        <v>2678</v>
      </c>
      <c r="P754" s="3" t="str">
        <f t="shared" si="92"/>
        <v>NR</v>
      </c>
      <c r="R754" s="127">
        <f t="shared" si="93"/>
        <v>0</v>
      </c>
    </row>
    <row r="755" spans="1:18" hidden="1">
      <c r="A755">
        <f t="shared" si="89"/>
        <v>786</v>
      </c>
      <c r="B755" s="42" t="s">
        <v>33</v>
      </c>
      <c r="C755" s="313">
        <f>SUMIF('Employees Supported'!$A$2:$A$29,$B755,'Employees Supported'!$C$2:$C$29)</f>
        <v>400</v>
      </c>
      <c r="E755" s="2">
        <f t="shared" si="96"/>
        <v>69</v>
      </c>
      <c r="F755" t="str">
        <f t="shared" si="95"/>
        <v>Reserved-69</v>
      </c>
      <c r="G755" t="str">
        <f t="shared" si="91"/>
        <v>SCLReserved-69</v>
      </c>
      <c r="H755" s="2" t="s">
        <v>67</v>
      </c>
      <c r="O755" s="2" t="s">
        <v>2678</v>
      </c>
      <c r="P755" s="3" t="str">
        <f t="shared" si="92"/>
        <v>NR</v>
      </c>
      <c r="R755" s="127">
        <f t="shared" si="93"/>
        <v>0</v>
      </c>
    </row>
    <row r="756" spans="1:18" hidden="1">
      <c r="A756">
        <f t="shared" si="89"/>
        <v>787</v>
      </c>
      <c r="B756" s="42" t="s">
        <v>31</v>
      </c>
      <c r="C756" s="313">
        <f>SUMIF('Employees Supported'!$A$2:$A$29,$B756,'Employees Supported'!$C$2:$C$29)</f>
        <v>700</v>
      </c>
      <c r="E756" s="2">
        <f t="shared" si="96"/>
        <v>69</v>
      </c>
      <c r="F756" t="str">
        <f t="shared" si="95"/>
        <v>Reserved-69</v>
      </c>
      <c r="G756" t="str">
        <f t="shared" si="91"/>
        <v>SeaITReserved-69</v>
      </c>
      <c r="H756" s="2" t="s">
        <v>67</v>
      </c>
      <c r="O756" s="2" t="s">
        <v>2678</v>
      </c>
      <c r="P756" s="3" t="str">
        <f t="shared" si="92"/>
        <v>NR</v>
      </c>
      <c r="R756" s="127">
        <f t="shared" si="93"/>
        <v>0</v>
      </c>
    </row>
    <row r="757" spans="1:18" hidden="1">
      <c r="A757">
        <f t="shared" si="89"/>
        <v>788</v>
      </c>
      <c r="B757" s="42" t="s">
        <v>29</v>
      </c>
      <c r="C757" s="313">
        <f>SUMIF('Employees Supported'!$A$2:$A$29,$B757,'Employees Supported'!$C$2:$C$29)</f>
        <v>550</v>
      </c>
      <c r="E757" s="2">
        <f t="shared" si="96"/>
        <v>69</v>
      </c>
      <c r="F757" t="str">
        <f t="shared" si="95"/>
        <v>Reserved-69</v>
      </c>
      <c r="G757" t="str">
        <f t="shared" si="91"/>
        <v>SDCIReserved-69</v>
      </c>
      <c r="H757" s="2" t="s">
        <v>67</v>
      </c>
      <c r="O757" s="2" t="s">
        <v>2678</v>
      </c>
      <c r="P757" s="3" t="str">
        <f t="shared" si="92"/>
        <v>NR</v>
      </c>
      <c r="R757" s="127">
        <f t="shared" si="93"/>
        <v>0</v>
      </c>
    </row>
    <row r="758" spans="1:18" hidden="1">
      <c r="A758">
        <f t="shared" si="89"/>
        <v>789</v>
      </c>
      <c r="B758" s="42" t="s">
        <v>27</v>
      </c>
      <c r="C758" s="313">
        <f>SUMIF('Employees Supported'!$A$2:$A$29,$B758,'Employees Supported'!$C$2:$C$29)</f>
        <v>400</v>
      </c>
      <c r="E758" s="2">
        <f t="shared" si="96"/>
        <v>69</v>
      </c>
      <c r="F758" t="str">
        <f t="shared" si="95"/>
        <v>Reserved-69</v>
      </c>
      <c r="G758" t="str">
        <f t="shared" si="91"/>
        <v>SPUReserved-69</v>
      </c>
      <c r="H758" s="2" t="s">
        <v>67</v>
      </c>
      <c r="O758" s="2" t="s">
        <v>2678</v>
      </c>
      <c r="P758" s="3" t="str">
        <f t="shared" si="92"/>
        <v>NR</v>
      </c>
      <c r="R758" s="127">
        <f t="shared" si="93"/>
        <v>0</v>
      </c>
    </row>
    <row r="759" spans="1:18" hidden="1">
      <c r="A759">
        <f t="shared" ref="A759:A822" si="97">+A758+1</f>
        <v>790</v>
      </c>
      <c r="B759" s="42" t="s">
        <v>30</v>
      </c>
      <c r="C759" s="313">
        <f>SUMIF('Employees Supported'!$A$2:$A$29,$B759,'Employees Supported'!$C$2:$C$29)</f>
        <v>300</v>
      </c>
      <c r="E759" s="2">
        <f t="shared" si="96"/>
        <v>69</v>
      </c>
      <c r="F759" t="str">
        <f t="shared" si="95"/>
        <v>Reserved-69</v>
      </c>
      <c r="G759" t="str">
        <f t="shared" si="91"/>
        <v>LibrariesReserved-69</v>
      </c>
      <c r="H759" s="2" t="s">
        <v>67</v>
      </c>
      <c r="O759" s="2" t="s">
        <v>2678</v>
      </c>
      <c r="P759" s="3" t="str">
        <f t="shared" si="92"/>
        <v>NR</v>
      </c>
      <c r="R759" s="127">
        <f t="shared" si="93"/>
        <v>0</v>
      </c>
    </row>
    <row r="760" spans="1:18" hidden="1">
      <c r="A760">
        <f t="shared" si="97"/>
        <v>791</v>
      </c>
      <c r="B760" s="42" t="s">
        <v>26</v>
      </c>
      <c r="C760" s="313">
        <f>SUMIF('Employees Supported'!$A$2:$A$29,$B760,'Employees Supported'!$C$2:$C$29)</f>
        <v>400</v>
      </c>
      <c r="E760" s="2">
        <f t="shared" si="96"/>
        <v>69</v>
      </c>
      <c r="F760" t="str">
        <f t="shared" si="95"/>
        <v>Reserved-69</v>
      </c>
      <c r="G760" t="str">
        <f t="shared" ref="G760:G823" si="98">_xlfn.SINGLE(_xlfn.CONCAT(B760,F760))</f>
        <v>ParksReserved-69</v>
      </c>
      <c r="H760" s="2" t="s">
        <v>67</v>
      </c>
      <c r="O760" s="2" t="s">
        <v>2678</v>
      </c>
      <c r="P760" s="3" t="str">
        <f t="shared" ref="P760:P823" si="99">IF(O760="NR","NR",((((C760+D760)*I760)*90)+(J760*90)+(((C760+D760)*K760)*3)+(L760*3)+((C760+D760)*M760)+N760))</f>
        <v>NR</v>
      </c>
      <c r="R760" s="127">
        <f t="shared" ref="R760:R823" si="100">SUM(P760)/90</f>
        <v>0</v>
      </c>
    </row>
    <row r="761" spans="1:18" hidden="1">
      <c r="A761">
        <f t="shared" si="97"/>
        <v>792</v>
      </c>
      <c r="B761" s="42" t="s">
        <v>32</v>
      </c>
      <c r="C761" s="313">
        <f>SUMIF('Employees Supported'!$A$2:$A$29,$B761,'Employees Supported'!$C$2:$C$29)</f>
        <v>400</v>
      </c>
      <c r="E761" s="2">
        <f t="shared" si="96"/>
        <v>69</v>
      </c>
      <c r="F761" t="str">
        <f t="shared" si="95"/>
        <v>Reserved-69</v>
      </c>
      <c r="G761" t="str">
        <f t="shared" si="98"/>
        <v>Seattle CtrReserved-69</v>
      </c>
      <c r="H761" s="2" t="s">
        <v>67</v>
      </c>
      <c r="O761" s="2" t="s">
        <v>2678</v>
      </c>
      <c r="P761" s="3" t="str">
        <f t="shared" si="99"/>
        <v>NR</v>
      </c>
      <c r="R761" s="127">
        <f t="shared" si="100"/>
        <v>0</v>
      </c>
    </row>
    <row r="762" spans="1:18">
      <c r="A762">
        <f t="shared" si="97"/>
        <v>793</v>
      </c>
      <c r="B762" s="42" t="s">
        <v>23</v>
      </c>
      <c r="C762" s="313">
        <v>6500</v>
      </c>
      <c r="E762" s="2">
        <f>+E751+1</f>
        <v>70</v>
      </c>
      <c r="F762" t="str">
        <f t="shared" si="95"/>
        <v>Reserved-70</v>
      </c>
      <c r="G762" t="str">
        <f t="shared" si="98"/>
        <v>FAS-CentralizedReserved-70</v>
      </c>
      <c r="H762" s="2" t="s">
        <v>67</v>
      </c>
      <c r="O762" s="2" t="s">
        <v>2678</v>
      </c>
      <c r="P762" s="3" t="str">
        <f t="shared" si="99"/>
        <v>NR</v>
      </c>
      <c r="R762" s="127">
        <f t="shared" si="100"/>
        <v>0</v>
      </c>
    </row>
    <row r="763" spans="1:18" hidden="1">
      <c r="A763">
        <f t="shared" si="97"/>
        <v>794</v>
      </c>
      <c r="B763" s="42" t="s">
        <v>25</v>
      </c>
      <c r="C763" s="313">
        <f>SUMIF('Employees Supported'!$A$2:$A$29,$B763,'Employees Supported'!$C$2:$C$29)</f>
        <v>1500</v>
      </c>
      <c r="E763" s="2">
        <f t="shared" si="96"/>
        <v>70</v>
      </c>
      <c r="F763" t="str">
        <f t="shared" si="95"/>
        <v>Reserved-70</v>
      </c>
      <c r="G763" t="str">
        <f t="shared" si="98"/>
        <v>SPDReserved-70</v>
      </c>
      <c r="H763" s="2" t="s">
        <v>67</v>
      </c>
      <c r="O763" s="2" t="s">
        <v>2678</v>
      </c>
      <c r="P763" s="3" t="str">
        <f t="shared" si="99"/>
        <v>NR</v>
      </c>
      <c r="R763" s="127">
        <f t="shared" si="100"/>
        <v>0</v>
      </c>
    </row>
    <row r="764" spans="1:18" hidden="1">
      <c r="A764">
        <f t="shared" si="97"/>
        <v>795</v>
      </c>
      <c r="B764" s="42" t="s">
        <v>24</v>
      </c>
      <c r="C764" s="313">
        <f>SUMIF('Employees Supported'!$A$2:$A$29,$B764,'Employees Supported'!$C$2:$C$29)</f>
        <v>1100</v>
      </c>
      <c r="E764" s="2">
        <f t="shared" si="96"/>
        <v>70</v>
      </c>
      <c r="F764" t="str">
        <f t="shared" si="95"/>
        <v>Reserved-70</v>
      </c>
      <c r="G764" t="str">
        <f t="shared" si="98"/>
        <v>SFDReserved-70</v>
      </c>
      <c r="H764" s="2" t="s">
        <v>67</v>
      </c>
      <c r="O764" s="2" t="s">
        <v>2678</v>
      </c>
      <c r="P764" s="3" t="str">
        <f t="shared" si="99"/>
        <v>NR</v>
      </c>
      <c r="R764" s="127">
        <f t="shared" si="100"/>
        <v>0</v>
      </c>
    </row>
    <row r="765" spans="1:18" hidden="1">
      <c r="A765">
        <f t="shared" si="97"/>
        <v>796</v>
      </c>
      <c r="B765" s="42" t="s">
        <v>28</v>
      </c>
      <c r="C765" s="313">
        <f>SUMIF('Employees Supported'!$A$2:$A$29,$B765,'Employees Supported'!$C$2:$C$29)</f>
        <v>1100</v>
      </c>
      <c r="E765" s="2">
        <f t="shared" si="96"/>
        <v>70</v>
      </c>
      <c r="F765" t="str">
        <f t="shared" si="95"/>
        <v>Reserved-70</v>
      </c>
      <c r="G765" t="str">
        <f t="shared" si="98"/>
        <v>SDOTReserved-70</v>
      </c>
      <c r="H765" s="2" t="s">
        <v>67</v>
      </c>
      <c r="O765" s="2" t="s">
        <v>2678</v>
      </c>
      <c r="P765" s="3" t="str">
        <f t="shared" si="99"/>
        <v>NR</v>
      </c>
      <c r="R765" s="127">
        <f t="shared" si="100"/>
        <v>0</v>
      </c>
    </row>
    <row r="766" spans="1:18" hidden="1">
      <c r="A766">
        <f t="shared" si="97"/>
        <v>797</v>
      </c>
      <c r="B766" s="42" t="s">
        <v>33</v>
      </c>
      <c r="C766" s="313">
        <f>SUMIF('Employees Supported'!$A$2:$A$29,$B766,'Employees Supported'!$C$2:$C$29)</f>
        <v>400</v>
      </c>
      <c r="E766" s="2">
        <f t="shared" si="96"/>
        <v>70</v>
      </c>
      <c r="F766" t="str">
        <f t="shared" si="95"/>
        <v>Reserved-70</v>
      </c>
      <c r="G766" t="str">
        <f t="shared" si="98"/>
        <v>SCLReserved-70</v>
      </c>
      <c r="H766" s="2" t="s">
        <v>67</v>
      </c>
      <c r="O766" s="2" t="s">
        <v>2678</v>
      </c>
      <c r="P766" s="3" t="str">
        <f t="shared" si="99"/>
        <v>NR</v>
      </c>
      <c r="R766" s="127">
        <f t="shared" si="100"/>
        <v>0</v>
      </c>
    </row>
    <row r="767" spans="1:18" hidden="1">
      <c r="A767">
        <f t="shared" si="97"/>
        <v>798</v>
      </c>
      <c r="B767" s="42" t="s">
        <v>31</v>
      </c>
      <c r="C767" s="313">
        <f>SUMIF('Employees Supported'!$A$2:$A$29,$B767,'Employees Supported'!$C$2:$C$29)</f>
        <v>700</v>
      </c>
      <c r="E767" s="2">
        <f t="shared" si="96"/>
        <v>70</v>
      </c>
      <c r="F767" t="str">
        <f t="shared" si="95"/>
        <v>Reserved-70</v>
      </c>
      <c r="G767" t="str">
        <f t="shared" si="98"/>
        <v>SeaITReserved-70</v>
      </c>
      <c r="H767" s="2" t="s">
        <v>67</v>
      </c>
      <c r="O767" s="2" t="s">
        <v>2678</v>
      </c>
      <c r="P767" s="3" t="str">
        <f t="shared" si="99"/>
        <v>NR</v>
      </c>
      <c r="R767" s="127">
        <f t="shared" si="100"/>
        <v>0</v>
      </c>
    </row>
    <row r="768" spans="1:18" hidden="1">
      <c r="A768">
        <f t="shared" si="97"/>
        <v>799</v>
      </c>
      <c r="B768" s="42" t="s">
        <v>29</v>
      </c>
      <c r="C768" s="313">
        <f>SUMIF('Employees Supported'!$A$2:$A$29,$B768,'Employees Supported'!$C$2:$C$29)</f>
        <v>550</v>
      </c>
      <c r="E768" s="2">
        <f t="shared" si="96"/>
        <v>70</v>
      </c>
      <c r="F768" t="str">
        <f t="shared" si="95"/>
        <v>Reserved-70</v>
      </c>
      <c r="G768" t="str">
        <f t="shared" si="98"/>
        <v>SDCIReserved-70</v>
      </c>
      <c r="H768" s="2" t="s">
        <v>67</v>
      </c>
      <c r="O768" s="2" t="s">
        <v>2678</v>
      </c>
      <c r="P768" s="3" t="str">
        <f t="shared" si="99"/>
        <v>NR</v>
      </c>
      <c r="R768" s="127">
        <f t="shared" si="100"/>
        <v>0</v>
      </c>
    </row>
    <row r="769" spans="1:18" hidden="1">
      <c r="A769">
        <f t="shared" si="97"/>
        <v>800</v>
      </c>
      <c r="B769" s="42" t="s">
        <v>27</v>
      </c>
      <c r="C769" s="313">
        <f>SUMIF('Employees Supported'!$A$2:$A$29,$B769,'Employees Supported'!$C$2:$C$29)</f>
        <v>400</v>
      </c>
      <c r="E769" s="2">
        <f t="shared" si="96"/>
        <v>70</v>
      </c>
      <c r="F769" t="str">
        <f t="shared" si="95"/>
        <v>Reserved-70</v>
      </c>
      <c r="G769" t="str">
        <f t="shared" si="98"/>
        <v>SPUReserved-70</v>
      </c>
      <c r="H769" s="2" t="s">
        <v>67</v>
      </c>
      <c r="O769" s="2" t="s">
        <v>2678</v>
      </c>
      <c r="P769" s="3" t="str">
        <f t="shared" si="99"/>
        <v>NR</v>
      </c>
      <c r="R769" s="127">
        <f t="shared" si="100"/>
        <v>0</v>
      </c>
    </row>
    <row r="770" spans="1:18" hidden="1">
      <c r="A770">
        <f t="shared" si="97"/>
        <v>801</v>
      </c>
      <c r="B770" s="42" t="s">
        <v>30</v>
      </c>
      <c r="C770" s="313">
        <f>SUMIF('Employees Supported'!$A$2:$A$29,$B770,'Employees Supported'!$C$2:$C$29)</f>
        <v>300</v>
      </c>
      <c r="E770" s="2">
        <f t="shared" si="96"/>
        <v>70</v>
      </c>
      <c r="F770" t="str">
        <f t="shared" si="95"/>
        <v>Reserved-70</v>
      </c>
      <c r="G770" t="str">
        <f t="shared" si="98"/>
        <v>LibrariesReserved-70</v>
      </c>
      <c r="H770" s="2" t="s">
        <v>67</v>
      </c>
      <c r="O770" s="2" t="s">
        <v>2678</v>
      </c>
      <c r="P770" s="3" t="str">
        <f t="shared" si="99"/>
        <v>NR</v>
      </c>
      <c r="R770" s="127">
        <f t="shared" si="100"/>
        <v>0</v>
      </c>
    </row>
    <row r="771" spans="1:18" hidden="1">
      <c r="A771">
        <f t="shared" si="97"/>
        <v>802</v>
      </c>
      <c r="B771" s="42" t="s">
        <v>26</v>
      </c>
      <c r="C771" s="313">
        <f>SUMIF('Employees Supported'!$A$2:$A$29,$B771,'Employees Supported'!$C$2:$C$29)</f>
        <v>400</v>
      </c>
      <c r="E771" s="2">
        <f t="shared" si="96"/>
        <v>70</v>
      </c>
      <c r="F771" t="str">
        <f t="shared" si="95"/>
        <v>Reserved-70</v>
      </c>
      <c r="G771" t="str">
        <f t="shared" si="98"/>
        <v>ParksReserved-70</v>
      </c>
      <c r="H771" s="2" t="s">
        <v>67</v>
      </c>
      <c r="O771" s="2" t="s">
        <v>2678</v>
      </c>
      <c r="P771" s="3" t="str">
        <f t="shared" si="99"/>
        <v>NR</v>
      </c>
      <c r="R771" s="127">
        <f t="shared" si="100"/>
        <v>0</v>
      </c>
    </row>
    <row r="772" spans="1:18" hidden="1">
      <c r="A772">
        <f t="shared" si="97"/>
        <v>803</v>
      </c>
      <c r="B772" s="42" t="s">
        <v>32</v>
      </c>
      <c r="C772" s="313">
        <f>SUMIF('Employees Supported'!$A$2:$A$29,$B772,'Employees Supported'!$C$2:$C$29)</f>
        <v>400</v>
      </c>
      <c r="E772" s="2">
        <f t="shared" si="96"/>
        <v>70</v>
      </c>
      <c r="F772" t="str">
        <f t="shared" si="95"/>
        <v>Reserved-70</v>
      </c>
      <c r="G772" t="str">
        <f t="shared" si="98"/>
        <v>Seattle CtrReserved-70</v>
      </c>
      <c r="H772" s="2" t="s">
        <v>67</v>
      </c>
      <c r="O772" s="2" t="s">
        <v>2678</v>
      </c>
      <c r="P772" s="3" t="str">
        <f t="shared" si="99"/>
        <v>NR</v>
      </c>
      <c r="R772" s="127">
        <f t="shared" si="100"/>
        <v>0</v>
      </c>
    </row>
    <row r="773" spans="1:18">
      <c r="A773">
        <f t="shared" si="97"/>
        <v>804</v>
      </c>
      <c r="B773" s="42" t="s">
        <v>23</v>
      </c>
      <c r="C773" s="313">
        <v>6500</v>
      </c>
      <c r="E773" s="2">
        <f>+E762+1</f>
        <v>71</v>
      </c>
      <c r="F773" t="str">
        <f t="shared" si="95"/>
        <v>Reserved-71</v>
      </c>
      <c r="G773" t="str">
        <f t="shared" si="98"/>
        <v>FAS-CentralizedReserved-71</v>
      </c>
      <c r="H773" s="2" t="s">
        <v>67</v>
      </c>
      <c r="O773" s="2" t="s">
        <v>2678</v>
      </c>
      <c r="P773" s="3" t="str">
        <f t="shared" si="99"/>
        <v>NR</v>
      </c>
      <c r="R773" s="127">
        <f t="shared" si="100"/>
        <v>0</v>
      </c>
    </row>
    <row r="774" spans="1:18" hidden="1">
      <c r="A774">
        <f t="shared" si="97"/>
        <v>805</v>
      </c>
      <c r="B774" s="42" t="s">
        <v>25</v>
      </c>
      <c r="C774" s="313">
        <f>SUMIF('Employees Supported'!$A$2:$A$29,$B774,'Employees Supported'!$C$2:$C$29)</f>
        <v>1500</v>
      </c>
      <c r="E774" s="2">
        <f t="shared" si="96"/>
        <v>71</v>
      </c>
      <c r="F774" t="str">
        <f t="shared" si="95"/>
        <v>Reserved-71</v>
      </c>
      <c r="G774" t="str">
        <f t="shared" si="98"/>
        <v>SPDReserved-71</v>
      </c>
      <c r="H774" s="2" t="s">
        <v>67</v>
      </c>
      <c r="O774" s="2" t="s">
        <v>2678</v>
      </c>
      <c r="P774" s="3" t="str">
        <f t="shared" si="99"/>
        <v>NR</v>
      </c>
      <c r="R774" s="127">
        <f t="shared" si="100"/>
        <v>0</v>
      </c>
    </row>
    <row r="775" spans="1:18" hidden="1">
      <c r="A775">
        <f t="shared" si="97"/>
        <v>806</v>
      </c>
      <c r="B775" s="42" t="s">
        <v>24</v>
      </c>
      <c r="C775" s="313">
        <f>SUMIF('Employees Supported'!$A$2:$A$29,$B775,'Employees Supported'!$C$2:$C$29)</f>
        <v>1100</v>
      </c>
      <c r="E775" s="2">
        <f t="shared" si="96"/>
        <v>71</v>
      </c>
      <c r="F775" t="str">
        <f t="shared" si="95"/>
        <v>Reserved-71</v>
      </c>
      <c r="G775" t="str">
        <f t="shared" si="98"/>
        <v>SFDReserved-71</v>
      </c>
      <c r="H775" s="2" t="s">
        <v>67</v>
      </c>
      <c r="O775" s="2" t="s">
        <v>2678</v>
      </c>
      <c r="P775" s="3" t="str">
        <f t="shared" si="99"/>
        <v>NR</v>
      </c>
      <c r="R775" s="127">
        <f t="shared" si="100"/>
        <v>0</v>
      </c>
    </row>
    <row r="776" spans="1:18" hidden="1">
      <c r="A776">
        <f t="shared" si="97"/>
        <v>807</v>
      </c>
      <c r="B776" s="42" t="s">
        <v>28</v>
      </c>
      <c r="C776" s="313">
        <f>SUMIF('Employees Supported'!$A$2:$A$29,$B776,'Employees Supported'!$C$2:$C$29)</f>
        <v>1100</v>
      </c>
      <c r="E776" s="2">
        <f t="shared" si="96"/>
        <v>71</v>
      </c>
      <c r="F776" t="str">
        <f t="shared" si="95"/>
        <v>Reserved-71</v>
      </c>
      <c r="G776" t="str">
        <f t="shared" si="98"/>
        <v>SDOTReserved-71</v>
      </c>
      <c r="H776" s="2" t="s">
        <v>67</v>
      </c>
      <c r="O776" s="2" t="s">
        <v>2678</v>
      </c>
      <c r="P776" s="3" t="str">
        <f t="shared" si="99"/>
        <v>NR</v>
      </c>
      <c r="R776" s="127">
        <f t="shared" si="100"/>
        <v>0</v>
      </c>
    </row>
    <row r="777" spans="1:18" hidden="1">
      <c r="A777">
        <f t="shared" si="97"/>
        <v>808</v>
      </c>
      <c r="B777" s="42" t="s">
        <v>33</v>
      </c>
      <c r="C777" s="313">
        <f>SUMIF('Employees Supported'!$A$2:$A$29,$B777,'Employees Supported'!$C$2:$C$29)</f>
        <v>400</v>
      </c>
      <c r="E777" s="2">
        <f t="shared" si="96"/>
        <v>71</v>
      </c>
      <c r="F777" t="str">
        <f t="shared" si="95"/>
        <v>Reserved-71</v>
      </c>
      <c r="G777" t="str">
        <f t="shared" si="98"/>
        <v>SCLReserved-71</v>
      </c>
      <c r="H777" s="2" t="s">
        <v>67</v>
      </c>
      <c r="O777" s="2" t="s">
        <v>2678</v>
      </c>
      <c r="P777" s="3" t="str">
        <f t="shared" si="99"/>
        <v>NR</v>
      </c>
      <c r="R777" s="127">
        <f t="shared" si="100"/>
        <v>0</v>
      </c>
    </row>
    <row r="778" spans="1:18" hidden="1">
      <c r="A778">
        <f t="shared" si="97"/>
        <v>809</v>
      </c>
      <c r="B778" s="42" t="s">
        <v>31</v>
      </c>
      <c r="C778" s="313">
        <f>SUMIF('Employees Supported'!$A$2:$A$29,$B778,'Employees Supported'!$C$2:$C$29)</f>
        <v>700</v>
      </c>
      <c r="E778" s="2">
        <f t="shared" si="96"/>
        <v>71</v>
      </c>
      <c r="F778" t="str">
        <f t="shared" si="95"/>
        <v>Reserved-71</v>
      </c>
      <c r="G778" t="str">
        <f t="shared" si="98"/>
        <v>SeaITReserved-71</v>
      </c>
      <c r="H778" s="2" t="s">
        <v>67</v>
      </c>
      <c r="O778" s="2" t="s">
        <v>2678</v>
      </c>
      <c r="P778" s="3" t="str">
        <f t="shared" si="99"/>
        <v>NR</v>
      </c>
      <c r="R778" s="127">
        <f t="shared" si="100"/>
        <v>0</v>
      </c>
    </row>
    <row r="779" spans="1:18" hidden="1">
      <c r="A779">
        <f t="shared" si="97"/>
        <v>810</v>
      </c>
      <c r="B779" s="42" t="s">
        <v>29</v>
      </c>
      <c r="C779" s="313">
        <f>SUMIF('Employees Supported'!$A$2:$A$29,$B779,'Employees Supported'!$C$2:$C$29)</f>
        <v>550</v>
      </c>
      <c r="E779" s="2">
        <f t="shared" si="96"/>
        <v>71</v>
      </c>
      <c r="F779" t="str">
        <f t="shared" ref="F779:F842" si="101">_xlfn.SINGLE(_xlfn.CONCAT("Reserved-",E779))</f>
        <v>Reserved-71</v>
      </c>
      <c r="G779" t="str">
        <f t="shared" si="98"/>
        <v>SDCIReserved-71</v>
      </c>
      <c r="H779" s="2" t="s">
        <v>67</v>
      </c>
      <c r="O779" s="2" t="s">
        <v>2678</v>
      </c>
      <c r="P779" s="3" t="str">
        <f t="shared" si="99"/>
        <v>NR</v>
      </c>
      <c r="R779" s="127">
        <f t="shared" si="100"/>
        <v>0</v>
      </c>
    </row>
    <row r="780" spans="1:18" hidden="1">
      <c r="A780">
        <f t="shared" si="97"/>
        <v>811</v>
      </c>
      <c r="B780" s="42" t="s">
        <v>27</v>
      </c>
      <c r="C780" s="313">
        <f>SUMIF('Employees Supported'!$A$2:$A$29,$B780,'Employees Supported'!$C$2:$C$29)</f>
        <v>400</v>
      </c>
      <c r="E780" s="2">
        <f t="shared" si="96"/>
        <v>71</v>
      </c>
      <c r="F780" t="str">
        <f t="shared" si="101"/>
        <v>Reserved-71</v>
      </c>
      <c r="G780" t="str">
        <f t="shared" si="98"/>
        <v>SPUReserved-71</v>
      </c>
      <c r="H780" s="2" t="s">
        <v>67</v>
      </c>
      <c r="O780" s="2" t="s">
        <v>2678</v>
      </c>
      <c r="P780" s="3" t="str">
        <f t="shared" si="99"/>
        <v>NR</v>
      </c>
      <c r="R780" s="127">
        <f t="shared" si="100"/>
        <v>0</v>
      </c>
    </row>
    <row r="781" spans="1:18" hidden="1">
      <c r="A781">
        <f t="shared" si="97"/>
        <v>812</v>
      </c>
      <c r="B781" s="42" t="s">
        <v>30</v>
      </c>
      <c r="C781" s="313">
        <f>SUMIF('Employees Supported'!$A$2:$A$29,$B781,'Employees Supported'!$C$2:$C$29)</f>
        <v>300</v>
      </c>
      <c r="E781" s="2">
        <f t="shared" si="96"/>
        <v>71</v>
      </c>
      <c r="F781" t="str">
        <f t="shared" si="101"/>
        <v>Reserved-71</v>
      </c>
      <c r="G781" t="str">
        <f t="shared" si="98"/>
        <v>LibrariesReserved-71</v>
      </c>
      <c r="H781" s="2" t="s">
        <v>67</v>
      </c>
      <c r="O781" s="2" t="s">
        <v>2678</v>
      </c>
      <c r="P781" s="3" t="str">
        <f t="shared" si="99"/>
        <v>NR</v>
      </c>
      <c r="R781" s="127">
        <f t="shared" si="100"/>
        <v>0</v>
      </c>
    </row>
    <row r="782" spans="1:18" hidden="1">
      <c r="A782">
        <f t="shared" si="97"/>
        <v>813</v>
      </c>
      <c r="B782" s="42" t="s">
        <v>26</v>
      </c>
      <c r="C782" s="313">
        <f>SUMIF('Employees Supported'!$A$2:$A$29,$B782,'Employees Supported'!$C$2:$C$29)</f>
        <v>400</v>
      </c>
      <c r="E782" s="2">
        <f t="shared" si="96"/>
        <v>71</v>
      </c>
      <c r="F782" t="str">
        <f t="shared" si="101"/>
        <v>Reserved-71</v>
      </c>
      <c r="G782" t="str">
        <f t="shared" si="98"/>
        <v>ParksReserved-71</v>
      </c>
      <c r="H782" s="2" t="s">
        <v>67</v>
      </c>
      <c r="O782" s="2" t="s">
        <v>2678</v>
      </c>
      <c r="P782" s="3" t="str">
        <f t="shared" si="99"/>
        <v>NR</v>
      </c>
      <c r="R782" s="127">
        <f t="shared" si="100"/>
        <v>0</v>
      </c>
    </row>
    <row r="783" spans="1:18" hidden="1">
      <c r="A783">
        <f t="shared" si="97"/>
        <v>814</v>
      </c>
      <c r="B783" s="42" t="s">
        <v>32</v>
      </c>
      <c r="C783" s="313">
        <f>SUMIF('Employees Supported'!$A$2:$A$29,$B783,'Employees Supported'!$C$2:$C$29)</f>
        <v>400</v>
      </c>
      <c r="E783" s="2">
        <f t="shared" ref="E783" si="102">+E772+1</f>
        <v>71</v>
      </c>
      <c r="F783" t="str">
        <f t="shared" si="101"/>
        <v>Reserved-71</v>
      </c>
      <c r="G783" t="str">
        <f t="shared" si="98"/>
        <v>Seattle CtrReserved-71</v>
      </c>
      <c r="H783" s="2" t="s">
        <v>67</v>
      </c>
      <c r="O783" s="2" t="s">
        <v>2678</v>
      </c>
      <c r="P783" s="3" t="str">
        <f t="shared" si="99"/>
        <v>NR</v>
      </c>
      <c r="R783" s="127">
        <f t="shared" si="100"/>
        <v>0</v>
      </c>
    </row>
    <row r="784" spans="1:18">
      <c r="A784">
        <f t="shared" si="97"/>
        <v>815</v>
      </c>
      <c r="B784" s="42" t="s">
        <v>23</v>
      </c>
      <c r="C784" s="313">
        <v>6500</v>
      </c>
      <c r="E784" s="2">
        <f>+E773+1</f>
        <v>72</v>
      </c>
      <c r="F784" t="str">
        <f t="shared" si="101"/>
        <v>Reserved-72</v>
      </c>
      <c r="G784" t="str">
        <f t="shared" si="98"/>
        <v>FAS-CentralizedReserved-72</v>
      </c>
      <c r="H784" s="2" t="s">
        <v>67</v>
      </c>
      <c r="O784" s="2" t="s">
        <v>2678</v>
      </c>
      <c r="P784" s="3" t="str">
        <f t="shared" si="99"/>
        <v>NR</v>
      </c>
      <c r="R784" s="127">
        <f t="shared" si="100"/>
        <v>0</v>
      </c>
    </row>
    <row r="785" spans="1:18" hidden="1">
      <c r="A785">
        <f t="shared" si="97"/>
        <v>816</v>
      </c>
      <c r="B785" s="42" t="s">
        <v>25</v>
      </c>
      <c r="C785" s="313">
        <f>SUMIF('Employees Supported'!$A$2:$A$29,$B785,'Employees Supported'!$C$2:$C$29)</f>
        <v>1500</v>
      </c>
      <c r="E785" s="2">
        <f t="shared" ref="E785:E805" si="103">+E774+1</f>
        <v>72</v>
      </c>
      <c r="F785" t="str">
        <f t="shared" si="101"/>
        <v>Reserved-72</v>
      </c>
      <c r="G785" t="str">
        <f t="shared" si="98"/>
        <v>SPDReserved-72</v>
      </c>
      <c r="H785" s="2" t="s">
        <v>67</v>
      </c>
      <c r="O785" s="2" t="s">
        <v>2678</v>
      </c>
      <c r="P785" s="3" t="str">
        <f t="shared" si="99"/>
        <v>NR</v>
      </c>
      <c r="R785" s="127">
        <f t="shared" si="100"/>
        <v>0</v>
      </c>
    </row>
    <row r="786" spans="1:18" hidden="1">
      <c r="A786">
        <f t="shared" si="97"/>
        <v>817</v>
      </c>
      <c r="B786" s="42" t="s">
        <v>24</v>
      </c>
      <c r="C786" s="313">
        <f>SUMIF('Employees Supported'!$A$2:$A$29,$B786,'Employees Supported'!$C$2:$C$29)</f>
        <v>1100</v>
      </c>
      <c r="E786" s="2">
        <f t="shared" si="103"/>
        <v>72</v>
      </c>
      <c r="F786" t="str">
        <f t="shared" si="101"/>
        <v>Reserved-72</v>
      </c>
      <c r="G786" t="str">
        <f t="shared" si="98"/>
        <v>SFDReserved-72</v>
      </c>
      <c r="H786" s="2" t="s">
        <v>67</v>
      </c>
      <c r="O786" s="2" t="s">
        <v>2678</v>
      </c>
      <c r="P786" s="3" t="str">
        <f t="shared" si="99"/>
        <v>NR</v>
      </c>
      <c r="R786" s="127">
        <f t="shared" si="100"/>
        <v>0</v>
      </c>
    </row>
    <row r="787" spans="1:18" hidden="1">
      <c r="A787">
        <f t="shared" si="97"/>
        <v>818</v>
      </c>
      <c r="B787" s="42" t="s">
        <v>28</v>
      </c>
      <c r="C787" s="313">
        <f>SUMIF('Employees Supported'!$A$2:$A$29,$B787,'Employees Supported'!$C$2:$C$29)</f>
        <v>1100</v>
      </c>
      <c r="E787" s="2">
        <f t="shared" si="103"/>
        <v>72</v>
      </c>
      <c r="F787" t="str">
        <f t="shared" si="101"/>
        <v>Reserved-72</v>
      </c>
      <c r="G787" t="str">
        <f t="shared" si="98"/>
        <v>SDOTReserved-72</v>
      </c>
      <c r="H787" s="2" t="s">
        <v>67</v>
      </c>
      <c r="O787" s="2" t="s">
        <v>2678</v>
      </c>
      <c r="P787" s="3" t="str">
        <f t="shared" si="99"/>
        <v>NR</v>
      </c>
      <c r="R787" s="127">
        <f t="shared" si="100"/>
        <v>0</v>
      </c>
    </row>
    <row r="788" spans="1:18" hidden="1">
      <c r="A788">
        <f t="shared" si="97"/>
        <v>819</v>
      </c>
      <c r="B788" s="42" t="s">
        <v>33</v>
      </c>
      <c r="C788" s="313">
        <f>SUMIF('Employees Supported'!$A$2:$A$29,$B788,'Employees Supported'!$C$2:$C$29)</f>
        <v>400</v>
      </c>
      <c r="E788" s="2">
        <f t="shared" si="103"/>
        <v>72</v>
      </c>
      <c r="F788" t="str">
        <f t="shared" si="101"/>
        <v>Reserved-72</v>
      </c>
      <c r="G788" t="str">
        <f t="shared" si="98"/>
        <v>SCLReserved-72</v>
      </c>
      <c r="H788" s="2" t="s">
        <v>67</v>
      </c>
      <c r="O788" s="2" t="s">
        <v>2678</v>
      </c>
      <c r="P788" s="3" t="str">
        <f t="shared" si="99"/>
        <v>NR</v>
      </c>
      <c r="R788" s="127">
        <f t="shared" si="100"/>
        <v>0</v>
      </c>
    </row>
    <row r="789" spans="1:18" hidden="1">
      <c r="A789">
        <f t="shared" si="97"/>
        <v>820</v>
      </c>
      <c r="B789" s="42" t="s">
        <v>31</v>
      </c>
      <c r="C789" s="313">
        <f>SUMIF('Employees Supported'!$A$2:$A$29,$B789,'Employees Supported'!$C$2:$C$29)</f>
        <v>700</v>
      </c>
      <c r="E789" s="2">
        <f t="shared" si="103"/>
        <v>72</v>
      </c>
      <c r="F789" t="str">
        <f t="shared" si="101"/>
        <v>Reserved-72</v>
      </c>
      <c r="G789" t="str">
        <f t="shared" si="98"/>
        <v>SeaITReserved-72</v>
      </c>
      <c r="H789" s="2" t="s">
        <v>67</v>
      </c>
      <c r="O789" s="2" t="s">
        <v>2678</v>
      </c>
      <c r="P789" s="3" t="str">
        <f t="shared" si="99"/>
        <v>NR</v>
      </c>
      <c r="R789" s="127">
        <f t="shared" si="100"/>
        <v>0</v>
      </c>
    </row>
    <row r="790" spans="1:18" hidden="1">
      <c r="A790">
        <f t="shared" si="97"/>
        <v>821</v>
      </c>
      <c r="B790" s="42" t="s">
        <v>29</v>
      </c>
      <c r="C790" s="313">
        <f>SUMIF('Employees Supported'!$A$2:$A$29,$B790,'Employees Supported'!$C$2:$C$29)</f>
        <v>550</v>
      </c>
      <c r="E790" s="2">
        <f t="shared" si="103"/>
        <v>72</v>
      </c>
      <c r="F790" t="str">
        <f t="shared" si="101"/>
        <v>Reserved-72</v>
      </c>
      <c r="G790" t="str">
        <f t="shared" si="98"/>
        <v>SDCIReserved-72</v>
      </c>
      <c r="H790" s="2" t="s">
        <v>67</v>
      </c>
      <c r="O790" s="2" t="s">
        <v>2678</v>
      </c>
      <c r="P790" s="3" t="str">
        <f t="shared" si="99"/>
        <v>NR</v>
      </c>
      <c r="R790" s="127">
        <f t="shared" si="100"/>
        <v>0</v>
      </c>
    </row>
    <row r="791" spans="1:18" hidden="1">
      <c r="A791">
        <f t="shared" si="97"/>
        <v>822</v>
      </c>
      <c r="B791" s="42" t="s">
        <v>27</v>
      </c>
      <c r="C791" s="313">
        <f>SUMIF('Employees Supported'!$A$2:$A$29,$B791,'Employees Supported'!$C$2:$C$29)</f>
        <v>400</v>
      </c>
      <c r="E791" s="2">
        <f t="shared" si="103"/>
        <v>72</v>
      </c>
      <c r="F791" t="str">
        <f t="shared" si="101"/>
        <v>Reserved-72</v>
      </c>
      <c r="G791" t="str">
        <f t="shared" si="98"/>
        <v>SPUReserved-72</v>
      </c>
      <c r="H791" s="2" t="s">
        <v>67</v>
      </c>
      <c r="O791" s="2" t="s">
        <v>2678</v>
      </c>
      <c r="P791" s="3" t="str">
        <f t="shared" si="99"/>
        <v>NR</v>
      </c>
      <c r="R791" s="127">
        <f t="shared" si="100"/>
        <v>0</v>
      </c>
    </row>
    <row r="792" spans="1:18" hidden="1">
      <c r="A792">
        <f t="shared" si="97"/>
        <v>823</v>
      </c>
      <c r="B792" s="42" t="s">
        <v>30</v>
      </c>
      <c r="C792" s="313">
        <f>SUMIF('Employees Supported'!$A$2:$A$29,$B792,'Employees Supported'!$C$2:$C$29)</f>
        <v>300</v>
      </c>
      <c r="E792" s="2">
        <f t="shared" si="103"/>
        <v>72</v>
      </c>
      <c r="F792" t="str">
        <f t="shared" si="101"/>
        <v>Reserved-72</v>
      </c>
      <c r="G792" t="str">
        <f t="shared" si="98"/>
        <v>LibrariesReserved-72</v>
      </c>
      <c r="H792" s="2" t="s">
        <v>67</v>
      </c>
      <c r="O792" s="2" t="s">
        <v>2678</v>
      </c>
      <c r="P792" s="3" t="str">
        <f t="shared" si="99"/>
        <v>NR</v>
      </c>
      <c r="R792" s="127">
        <f t="shared" si="100"/>
        <v>0</v>
      </c>
    </row>
    <row r="793" spans="1:18" hidden="1">
      <c r="A793">
        <f t="shared" si="97"/>
        <v>824</v>
      </c>
      <c r="B793" s="42" t="s">
        <v>26</v>
      </c>
      <c r="C793" s="313">
        <f>SUMIF('Employees Supported'!$A$2:$A$29,$B793,'Employees Supported'!$C$2:$C$29)</f>
        <v>400</v>
      </c>
      <c r="E793" s="2">
        <f t="shared" si="103"/>
        <v>72</v>
      </c>
      <c r="F793" t="str">
        <f t="shared" si="101"/>
        <v>Reserved-72</v>
      </c>
      <c r="G793" t="str">
        <f t="shared" si="98"/>
        <v>ParksReserved-72</v>
      </c>
      <c r="H793" s="2" t="s">
        <v>67</v>
      </c>
      <c r="O793" s="2" t="s">
        <v>2678</v>
      </c>
      <c r="P793" s="3" t="str">
        <f t="shared" si="99"/>
        <v>NR</v>
      </c>
      <c r="R793" s="127">
        <f t="shared" si="100"/>
        <v>0</v>
      </c>
    </row>
    <row r="794" spans="1:18" hidden="1">
      <c r="A794">
        <f t="shared" si="97"/>
        <v>825</v>
      </c>
      <c r="B794" s="42" t="s">
        <v>32</v>
      </c>
      <c r="C794" s="313">
        <f>SUMIF('Employees Supported'!$A$2:$A$29,$B794,'Employees Supported'!$C$2:$C$29)</f>
        <v>400</v>
      </c>
      <c r="E794" s="2">
        <f t="shared" si="103"/>
        <v>72</v>
      </c>
      <c r="F794" t="str">
        <f t="shared" si="101"/>
        <v>Reserved-72</v>
      </c>
      <c r="G794" t="str">
        <f t="shared" si="98"/>
        <v>Seattle CtrReserved-72</v>
      </c>
      <c r="H794" s="2" t="s">
        <v>67</v>
      </c>
      <c r="O794" s="2" t="s">
        <v>2678</v>
      </c>
      <c r="P794" s="3" t="str">
        <f t="shared" si="99"/>
        <v>NR</v>
      </c>
      <c r="R794" s="127">
        <f t="shared" si="100"/>
        <v>0</v>
      </c>
    </row>
    <row r="795" spans="1:18">
      <c r="A795">
        <f t="shared" si="97"/>
        <v>826</v>
      </c>
      <c r="B795" s="42" t="s">
        <v>23</v>
      </c>
      <c r="C795" s="313">
        <v>6500</v>
      </c>
      <c r="E795" s="2">
        <f>+E784+1</f>
        <v>73</v>
      </c>
      <c r="F795" t="str">
        <f t="shared" si="101"/>
        <v>Reserved-73</v>
      </c>
      <c r="G795" t="str">
        <f t="shared" si="98"/>
        <v>FAS-CentralizedReserved-73</v>
      </c>
      <c r="H795" s="2" t="s">
        <v>67</v>
      </c>
      <c r="O795" s="2" t="s">
        <v>2678</v>
      </c>
      <c r="P795" s="3" t="str">
        <f t="shared" si="99"/>
        <v>NR</v>
      </c>
      <c r="R795" s="127">
        <f t="shared" si="100"/>
        <v>0</v>
      </c>
    </row>
    <row r="796" spans="1:18" hidden="1">
      <c r="A796">
        <f t="shared" si="97"/>
        <v>827</v>
      </c>
      <c r="B796" s="42" t="s">
        <v>25</v>
      </c>
      <c r="C796" s="313">
        <f>SUMIF('Employees Supported'!$A$2:$A$29,$B796,'Employees Supported'!$C$2:$C$29)</f>
        <v>1500</v>
      </c>
      <c r="E796" s="2">
        <f t="shared" si="103"/>
        <v>73</v>
      </c>
      <c r="F796" t="str">
        <f t="shared" si="101"/>
        <v>Reserved-73</v>
      </c>
      <c r="G796" t="str">
        <f t="shared" si="98"/>
        <v>SPDReserved-73</v>
      </c>
      <c r="H796" s="2" t="s">
        <v>67</v>
      </c>
      <c r="O796" s="2" t="s">
        <v>2678</v>
      </c>
      <c r="P796" s="3" t="str">
        <f t="shared" si="99"/>
        <v>NR</v>
      </c>
      <c r="R796" s="127">
        <f t="shared" si="100"/>
        <v>0</v>
      </c>
    </row>
    <row r="797" spans="1:18" hidden="1">
      <c r="A797">
        <f t="shared" si="97"/>
        <v>828</v>
      </c>
      <c r="B797" s="42" t="s">
        <v>24</v>
      </c>
      <c r="C797" s="313">
        <f>SUMIF('Employees Supported'!$A$2:$A$29,$B797,'Employees Supported'!$C$2:$C$29)</f>
        <v>1100</v>
      </c>
      <c r="E797" s="2">
        <f t="shared" si="103"/>
        <v>73</v>
      </c>
      <c r="F797" t="str">
        <f t="shared" si="101"/>
        <v>Reserved-73</v>
      </c>
      <c r="G797" t="str">
        <f t="shared" si="98"/>
        <v>SFDReserved-73</v>
      </c>
      <c r="H797" s="2" t="s">
        <v>67</v>
      </c>
      <c r="O797" s="2" t="s">
        <v>2678</v>
      </c>
      <c r="P797" s="3" t="str">
        <f t="shared" si="99"/>
        <v>NR</v>
      </c>
      <c r="R797" s="127">
        <f t="shared" si="100"/>
        <v>0</v>
      </c>
    </row>
    <row r="798" spans="1:18" hidden="1">
      <c r="A798">
        <f t="shared" si="97"/>
        <v>829</v>
      </c>
      <c r="B798" s="42" t="s">
        <v>28</v>
      </c>
      <c r="C798" s="313">
        <f>SUMIF('Employees Supported'!$A$2:$A$29,$B798,'Employees Supported'!$C$2:$C$29)</f>
        <v>1100</v>
      </c>
      <c r="E798" s="2">
        <f t="shared" si="103"/>
        <v>73</v>
      </c>
      <c r="F798" t="str">
        <f t="shared" si="101"/>
        <v>Reserved-73</v>
      </c>
      <c r="G798" t="str">
        <f t="shared" si="98"/>
        <v>SDOTReserved-73</v>
      </c>
      <c r="H798" s="2" t="s">
        <v>67</v>
      </c>
      <c r="O798" s="2" t="s">
        <v>2678</v>
      </c>
      <c r="P798" s="3" t="str">
        <f t="shared" si="99"/>
        <v>NR</v>
      </c>
      <c r="R798" s="127">
        <f t="shared" si="100"/>
        <v>0</v>
      </c>
    </row>
    <row r="799" spans="1:18" hidden="1">
      <c r="A799">
        <f t="shared" si="97"/>
        <v>830</v>
      </c>
      <c r="B799" s="42" t="s">
        <v>33</v>
      </c>
      <c r="C799" s="313">
        <f>SUMIF('Employees Supported'!$A$2:$A$29,$B799,'Employees Supported'!$C$2:$C$29)</f>
        <v>400</v>
      </c>
      <c r="E799" s="2">
        <f t="shared" si="103"/>
        <v>73</v>
      </c>
      <c r="F799" t="str">
        <f t="shared" si="101"/>
        <v>Reserved-73</v>
      </c>
      <c r="G799" t="str">
        <f t="shared" si="98"/>
        <v>SCLReserved-73</v>
      </c>
      <c r="H799" s="2" t="s">
        <v>67</v>
      </c>
      <c r="O799" s="2" t="s">
        <v>2678</v>
      </c>
      <c r="P799" s="3" t="str">
        <f t="shared" si="99"/>
        <v>NR</v>
      </c>
      <c r="R799" s="127">
        <f t="shared" si="100"/>
        <v>0</v>
      </c>
    </row>
    <row r="800" spans="1:18" hidden="1">
      <c r="A800">
        <f t="shared" si="97"/>
        <v>831</v>
      </c>
      <c r="B800" s="42" t="s">
        <v>31</v>
      </c>
      <c r="C800" s="313">
        <f>SUMIF('Employees Supported'!$A$2:$A$29,$B800,'Employees Supported'!$C$2:$C$29)</f>
        <v>700</v>
      </c>
      <c r="E800" s="2">
        <f t="shared" si="103"/>
        <v>73</v>
      </c>
      <c r="F800" t="str">
        <f t="shared" si="101"/>
        <v>Reserved-73</v>
      </c>
      <c r="G800" t="str">
        <f t="shared" si="98"/>
        <v>SeaITReserved-73</v>
      </c>
      <c r="H800" s="2" t="s">
        <v>67</v>
      </c>
      <c r="O800" s="2" t="s">
        <v>2678</v>
      </c>
      <c r="P800" s="3" t="str">
        <f t="shared" si="99"/>
        <v>NR</v>
      </c>
      <c r="R800" s="127">
        <f t="shared" si="100"/>
        <v>0</v>
      </c>
    </row>
    <row r="801" spans="1:18" hidden="1">
      <c r="A801">
        <f t="shared" si="97"/>
        <v>832</v>
      </c>
      <c r="B801" s="42" t="s">
        <v>29</v>
      </c>
      <c r="C801" s="313">
        <f>SUMIF('Employees Supported'!$A$2:$A$29,$B801,'Employees Supported'!$C$2:$C$29)</f>
        <v>550</v>
      </c>
      <c r="E801" s="2">
        <f t="shared" si="103"/>
        <v>73</v>
      </c>
      <c r="F801" t="str">
        <f t="shared" si="101"/>
        <v>Reserved-73</v>
      </c>
      <c r="G801" t="str">
        <f t="shared" si="98"/>
        <v>SDCIReserved-73</v>
      </c>
      <c r="H801" s="2" t="s">
        <v>67</v>
      </c>
      <c r="O801" s="2" t="s">
        <v>2678</v>
      </c>
      <c r="P801" s="3" t="str">
        <f t="shared" si="99"/>
        <v>NR</v>
      </c>
      <c r="R801" s="127">
        <f t="shared" si="100"/>
        <v>0</v>
      </c>
    </row>
    <row r="802" spans="1:18" hidden="1">
      <c r="A802">
        <f t="shared" si="97"/>
        <v>833</v>
      </c>
      <c r="B802" s="42" t="s">
        <v>27</v>
      </c>
      <c r="C802" s="313">
        <f>SUMIF('Employees Supported'!$A$2:$A$29,$B802,'Employees Supported'!$C$2:$C$29)</f>
        <v>400</v>
      </c>
      <c r="E802" s="2">
        <f t="shared" si="103"/>
        <v>73</v>
      </c>
      <c r="F802" t="str">
        <f t="shared" si="101"/>
        <v>Reserved-73</v>
      </c>
      <c r="G802" t="str">
        <f t="shared" si="98"/>
        <v>SPUReserved-73</v>
      </c>
      <c r="H802" s="2" t="s">
        <v>67</v>
      </c>
      <c r="O802" s="2" t="s">
        <v>2678</v>
      </c>
      <c r="P802" s="3" t="str">
        <f t="shared" si="99"/>
        <v>NR</v>
      </c>
      <c r="R802" s="127">
        <f t="shared" si="100"/>
        <v>0</v>
      </c>
    </row>
    <row r="803" spans="1:18" hidden="1">
      <c r="A803">
        <f t="shared" si="97"/>
        <v>834</v>
      </c>
      <c r="B803" s="42" t="s">
        <v>30</v>
      </c>
      <c r="C803" s="313">
        <f>SUMIF('Employees Supported'!$A$2:$A$29,$B803,'Employees Supported'!$C$2:$C$29)</f>
        <v>300</v>
      </c>
      <c r="E803" s="2">
        <f t="shared" si="103"/>
        <v>73</v>
      </c>
      <c r="F803" t="str">
        <f t="shared" si="101"/>
        <v>Reserved-73</v>
      </c>
      <c r="G803" t="str">
        <f t="shared" si="98"/>
        <v>LibrariesReserved-73</v>
      </c>
      <c r="H803" s="2" t="s">
        <v>67</v>
      </c>
      <c r="O803" s="2" t="s">
        <v>2678</v>
      </c>
      <c r="P803" s="3" t="str">
        <f t="shared" si="99"/>
        <v>NR</v>
      </c>
      <c r="R803" s="127">
        <f t="shared" si="100"/>
        <v>0</v>
      </c>
    </row>
    <row r="804" spans="1:18" hidden="1">
      <c r="A804">
        <f t="shared" si="97"/>
        <v>835</v>
      </c>
      <c r="B804" s="42" t="s">
        <v>26</v>
      </c>
      <c r="C804" s="313">
        <f>SUMIF('Employees Supported'!$A$2:$A$29,$B804,'Employees Supported'!$C$2:$C$29)</f>
        <v>400</v>
      </c>
      <c r="E804" s="2">
        <f t="shared" si="103"/>
        <v>73</v>
      </c>
      <c r="F804" t="str">
        <f t="shared" si="101"/>
        <v>Reserved-73</v>
      </c>
      <c r="G804" t="str">
        <f t="shared" si="98"/>
        <v>ParksReserved-73</v>
      </c>
      <c r="H804" s="2" t="s">
        <v>67</v>
      </c>
      <c r="O804" s="2" t="s">
        <v>2678</v>
      </c>
      <c r="P804" s="3" t="str">
        <f t="shared" si="99"/>
        <v>NR</v>
      </c>
      <c r="R804" s="127">
        <f t="shared" si="100"/>
        <v>0</v>
      </c>
    </row>
    <row r="805" spans="1:18" hidden="1">
      <c r="A805">
        <f t="shared" si="97"/>
        <v>836</v>
      </c>
      <c r="B805" s="42" t="s">
        <v>32</v>
      </c>
      <c r="C805" s="313">
        <f>SUMIF('Employees Supported'!$A$2:$A$29,$B805,'Employees Supported'!$C$2:$C$29)</f>
        <v>400</v>
      </c>
      <c r="E805" s="2">
        <f t="shared" si="103"/>
        <v>73</v>
      </c>
      <c r="F805" t="str">
        <f t="shared" si="101"/>
        <v>Reserved-73</v>
      </c>
      <c r="G805" t="str">
        <f t="shared" si="98"/>
        <v>Seattle CtrReserved-73</v>
      </c>
      <c r="H805" s="2" t="s">
        <v>67</v>
      </c>
      <c r="O805" s="2" t="s">
        <v>2678</v>
      </c>
      <c r="P805" s="3" t="str">
        <f t="shared" si="99"/>
        <v>NR</v>
      </c>
      <c r="R805" s="127">
        <f t="shared" si="100"/>
        <v>0</v>
      </c>
    </row>
    <row r="806" spans="1:18">
      <c r="A806">
        <f t="shared" si="97"/>
        <v>837</v>
      </c>
      <c r="B806" s="42" t="s">
        <v>23</v>
      </c>
      <c r="C806" s="313">
        <v>6500</v>
      </c>
      <c r="E806" s="2">
        <f>+E795+1</f>
        <v>74</v>
      </c>
      <c r="F806" t="str">
        <f t="shared" si="101"/>
        <v>Reserved-74</v>
      </c>
      <c r="G806" t="str">
        <f t="shared" si="98"/>
        <v>FAS-CentralizedReserved-74</v>
      </c>
      <c r="H806" s="2" t="s">
        <v>67</v>
      </c>
      <c r="O806" s="2" t="s">
        <v>2678</v>
      </c>
      <c r="P806" s="3" t="str">
        <f t="shared" si="99"/>
        <v>NR</v>
      </c>
      <c r="R806" s="127">
        <f t="shared" si="100"/>
        <v>0</v>
      </c>
    </row>
    <row r="807" spans="1:18" hidden="1">
      <c r="A807">
        <f t="shared" si="97"/>
        <v>838</v>
      </c>
      <c r="B807" s="42" t="s">
        <v>25</v>
      </c>
      <c r="C807" s="313">
        <f>SUMIF('Employees Supported'!$A$2:$A$29,$B807,'Employees Supported'!$C$2:$C$29)</f>
        <v>1500</v>
      </c>
      <c r="E807" s="2">
        <f t="shared" ref="E807:E870" si="104">+E796+1</f>
        <v>74</v>
      </c>
      <c r="F807" t="str">
        <f t="shared" si="101"/>
        <v>Reserved-74</v>
      </c>
      <c r="G807" t="str">
        <f t="shared" si="98"/>
        <v>SPDReserved-74</v>
      </c>
      <c r="H807" s="2" t="s">
        <v>67</v>
      </c>
      <c r="O807" s="2" t="s">
        <v>2678</v>
      </c>
      <c r="P807" s="3" t="str">
        <f t="shared" si="99"/>
        <v>NR</v>
      </c>
      <c r="R807" s="127">
        <f t="shared" si="100"/>
        <v>0</v>
      </c>
    </row>
    <row r="808" spans="1:18" hidden="1">
      <c r="A808">
        <f t="shared" si="97"/>
        <v>839</v>
      </c>
      <c r="B808" s="42" t="s">
        <v>24</v>
      </c>
      <c r="C808" s="313">
        <f>SUMIF('Employees Supported'!$A$2:$A$29,$B808,'Employees Supported'!$C$2:$C$29)</f>
        <v>1100</v>
      </c>
      <c r="E808" s="2">
        <f t="shared" si="104"/>
        <v>74</v>
      </c>
      <c r="F808" t="str">
        <f t="shared" si="101"/>
        <v>Reserved-74</v>
      </c>
      <c r="G808" t="str">
        <f t="shared" si="98"/>
        <v>SFDReserved-74</v>
      </c>
      <c r="H808" s="2" t="s">
        <v>67</v>
      </c>
      <c r="O808" s="2" t="s">
        <v>2678</v>
      </c>
      <c r="P808" s="3" t="str">
        <f t="shared" si="99"/>
        <v>NR</v>
      </c>
      <c r="R808" s="127">
        <f t="shared" si="100"/>
        <v>0</v>
      </c>
    </row>
    <row r="809" spans="1:18" hidden="1">
      <c r="A809">
        <f t="shared" si="97"/>
        <v>840</v>
      </c>
      <c r="B809" s="42" t="s">
        <v>28</v>
      </c>
      <c r="C809" s="313">
        <f>SUMIF('Employees Supported'!$A$2:$A$29,$B809,'Employees Supported'!$C$2:$C$29)</f>
        <v>1100</v>
      </c>
      <c r="E809" s="2">
        <f t="shared" si="104"/>
        <v>74</v>
      </c>
      <c r="F809" t="str">
        <f t="shared" si="101"/>
        <v>Reserved-74</v>
      </c>
      <c r="G809" t="str">
        <f t="shared" si="98"/>
        <v>SDOTReserved-74</v>
      </c>
      <c r="H809" s="2" t="s">
        <v>67</v>
      </c>
      <c r="O809" s="2" t="s">
        <v>2678</v>
      </c>
      <c r="P809" s="3" t="str">
        <f t="shared" si="99"/>
        <v>NR</v>
      </c>
      <c r="R809" s="127">
        <f t="shared" si="100"/>
        <v>0</v>
      </c>
    </row>
    <row r="810" spans="1:18" hidden="1">
      <c r="A810">
        <f t="shared" si="97"/>
        <v>841</v>
      </c>
      <c r="B810" s="42" t="s">
        <v>33</v>
      </c>
      <c r="C810" s="313">
        <f>SUMIF('Employees Supported'!$A$2:$A$29,$B810,'Employees Supported'!$C$2:$C$29)</f>
        <v>400</v>
      </c>
      <c r="E810" s="2">
        <f t="shared" si="104"/>
        <v>74</v>
      </c>
      <c r="F810" t="str">
        <f t="shared" si="101"/>
        <v>Reserved-74</v>
      </c>
      <c r="G810" t="str">
        <f t="shared" si="98"/>
        <v>SCLReserved-74</v>
      </c>
      <c r="H810" s="2" t="s">
        <v>67</v>
      </c>
      <c r="O810" s="2" t="s">
        <v>2678</v>
      </c>
      <c r="P810" s="3" t="str">
        <f t="shared" si="99"/>
        <v>NR</v>
      </c>
      <c r="R810" s="127">
        <f t="shared" si="100"/>
        <v>0</v>
      </c>
    </row>
    <row r="811" spans="1:18" hidden="1">
      <c r="A811">
        <f t="shared" si="97"/>
        <v>842</v>
      </c>
      <c r="B811" s="42" t="s">
        <v>31</v>
      </c>
      <c r="C811" s="313">
        <f>SUMIF('Employees Supported'!$A$2:$A$29,$B811,'Employees Supported'!$C$2:$C$29)</f>
        <v>700</v>
      </c>
      <c r="E811" s="2">
        <f t="shared" si="104"/>
        <v>74</v>
      </c>
      <c r="F811" t="str">
        <f t="shared" si="101"/>
        <v>Reserved-74</v>
      </c>
      <c r="G811" t="str">
        <f t="shared" si="98"/>
        <v>SeaITReserved-74</v>
      </c>
      <c r="H811" s="2" t="s">
        <v>67</v>
      </c>
      <c r="O811" s="2" t="s">
        <v>2678</v>
      </c>
      <c r="P811" s="3" t="str">
        <f t="shared" si="99"/>
        <v>NR</v>
      </c>
      <c r="R811" s="127">
        <f t="shared" si="100"/>
        <v>0</v>
      </c>
    </row>
    <row r="812" spans="1:18" hidden="1">
      <c r="A812">
        <f t="shared" si="97"/>
        <v>843</v>
      </c>
      <c r="B812" s="42" t="s">
        <v>29</v>
      </c>
      <c r="C812" s="313">
        <f>SUMIF('Employees Supported'!$A$2:$A$29,$B812,'Employees Supported'!$C$2:$C$29)</f>
        <v>550</v>
      </c>
      <c r="E812" s="2">
        <f t="shared" si="104"/>
        <v>74</v>
      </c>
      <c r="F812" t="str">
        <f t="shared" si="101"/>
        <v>Reserved-74</v>
      </c>
      <c r="G812" t="str">
        <f t="shared" si="98"/>
        <v>SDCIReserved-74</v>
      </c>
      <c r="H812" s="2" t="s">
        <v>67</v>
      </c>
      <c r="O812" s="2" t="s">
        <v>2678</v>
      </c>
      <c r="P812" s="3" t="str">
        <f t="shared" si="99"/>
        <v>NR</v>
      </c>
      <c r="R812" s="127">
        <f t="shared" si="100"/>
        <v>0</v>
      </c>
    </row>
    <row r="813" spans="1:18" hidden="1">
      <c r="A813">
        <f t="shared" si="97"/>
        <v>844</v>
      </c>
      <c r="B813" s="42" t="s">
        <v>27</v>
      </c>
      <c r="C813" s="313">
        <f>SUMIF('Employees Supported'!$A$2:$A$29,$B813,'Employees Supported'!$C$2:$C$29)</f>
        <v>400</v>
      </c>
      <c r="E813" s="2">
        <f t="shared" si="104"/>
        <v>74</v>
      </c>
      <c r="F813" t="str">
        <f t="shared" si="101"/>
        <v>Reserved-74</v>
      </c>
      <c r="G813" t="str">
        <f t="shared" si="98"/>
        <v>SPUReserved-74</v>
      </c>
      <c r="H813" s="2" t="s">
        <v>67</v>
      </c>
      <c r="O813" s="2" t="s">
        <v>2678</v>
      </c>
      <c r="P813" s="3" t="str">
        <f t="shared" si="99"/>
        <v>NR</v>
      </c>
      <c r="R813" s="127">
        <f t="shared" si="100"/>
        <v>0</v>
      </c>
    </row>
    <row r="814" spans="1:18" hidden="1">
      <c r="A814">
        <f t="shared" si="97"/>
        <v>845</v>
      </c>
      <c r="B814" s="42" t="s">
        <v>30</v>
      </c>
      <c r="C814" s="313">
        <f>SUMIF('Employees Supported'!$A$2:$A$29,$B814,'Employees Supported'!$C$2:$C$29)</f>
        <v>300</v>
      </c>
      <c r="E814" s="2">
        <f t="shared" si="104"/>
        <v>74</v>
      </c>
      <c r="F814" t="str">
        <f t="shared" si="101"/>
        <v>Reserved-74</v>
      </c>
      <c r="G814" t="str">
        <f t="shared" si="98"/>
        <v>LibrariesReserved-74</v>
      </c>
      <c r="H814" s="2" t="s">
        <v>67</v>
      </c>
      <c r="O814" s="2" t="s">
        <v>2678</v>
      </c>
      <c r="P814" s="3" t="str">
        <f t="shared" si="99"/>
        <v>NR</v>
      </c>
      <c r="R814" s="127">
        <f t="shared" si="100"/>
        <v>0</v>
      </c>
    </row>
    <row r="815" spans="1:18" hidden="1">
      <c r="A815">
        <f t="shared" si="97"/>
        <v>846</v>
      </c>
      <c r="B815" s="42" t="s">
        <v>26</v>
      </c>
      <c r="C815" s="313">
        <f>SUMIF('Employees Supported'!$A$2:$A$29,$B815,'Employees Supported'!$C$2:$C$29)</f>
        <v>400</v>
      </c>
      <c r="E815" s="2">
        <f t="shared" si="104"/>
        <v>74</v>
      </c>
      <c r="F815" t="str">
        <f t="shared" si="101"/>
        <v>Reserved-74</v>
      </c>
      <c r="G815" t="str">
        <f t="shared" si="98"/>
        <v>ParksReserved-74</v>
      </c>
      <c r="H815" s="2" t="s">
        <v>67</v>
      </c>
      <c r="O815" s="2" t="s">
        <v>2678</v>
      </c>
      <c r="P815" s="3" t="str">
        <f t="shared" si="99"/>
        <v>NR</v>
      </c>
      <c r="R815" s="127">
        <f t="shared" si="100"/>
        <v>0</v>
      </c>
    </row>
    <row r="816" spans="1:18" hidden="1">
      <c r="A816">
        <f t="shared" si="97"/>
        <v>847</v>
      </c>
      <c r="B816" s="42" t="s">
        <v>32</v>
      </c>
      <c r="C816" s="313">
        <f>SUMIF('Employees Supported'!$A$2:$A$29,$B816,'Employees Supported'!$C$2:$C$29)</f>
        <v>400</v>
      </c>
      <c r="E816" s="2">
        <f t="shared" si="104"/>
        <v>74</v>
      </c>
      <c r="F816" t="str">
        <f t="shared" si="101"/>
        <v>Reserved-74</v>
      </c>
      <c r="G816" t="str">
        <f t="shared" si="98"/>
        <v>Seattle CtrReserved-74</v>
      </c>
      <c r="H816" s="2" t="s">
        <v>67</v>
      </c>
      <c r="O816" s="2" t="s">
        <v>2678</v>
      </c>
      <c r="P816" s="3" t="str">
        <f t="shared" si="99"/>
        <v>NR</v>
      </c>
      <c r="R816" s="127">
        <f t="shared" si="100"/>
        <v>0</v>
      </c>
    </row>
    <row r="817" spans="1:18">
      <c r="A817">
        <f t="shared" si="97"/>
        <v>848</v>
      </c>
      <c r="B817" s="42" t="s">
        <v>23</v>
      </c>
      <c r="C817" s="313">
        <v>6500</v>
      </c>
      <c r="E817" s="2">
        <f>+E806+1</f>
        <v>75</v>
      </c>
      <c r="F817" t="str">
        <f t="shared" si="101"/>
        <v>Reserved-75</v>
      </c>
      <c r="G817" t="str">
        <f t="shared" si="98"/>
        <v>FAS-CentralizedReserved-75</v>
      </c>
      <c r="H817" s="2" t="s">
        <v>67</v>
      </c>
      <c r="O817" s="2" t="s">
        <v>2678</v>
      </c>
      <c r="P817" s="3" t="str">
        <f t="shared" si="99"/>
        <v>NR</v>
      </c>
      <c r="R817" s="127">
        <f t="shared" si="100"/>
        <v>0</v>
      </c>
    </row>
    <row r="818" spans="1:18" hidden="1">
      <c r="A818">
        <f t="shared" si="97"/>
        <v>849</v>
      </c>
      <c r="B818" s="42" t="s">
        <v>25</v>
      </c>
      <c r="C818" s="313">
        <f>SUMIF('Employees Supported'!$A$2:$A$29,$B818,'Employees Supported'!$C$2:$C$29)</f>
        <v>1500</v>
      </c>
      <c r="E818" s="2">
        <f t="shared" si="104"/>
        <v>75</v>
      </c>
      <c r="F818" t="str">
        <f t="shared" si="101"/>
        <v>Reserved-75</v>
      </c>
      <c r="G818" t="str">
        <f t="shared" si="98"/>
        <v>SPDReserved-75</v>
      </c>
      <c r="H818" s="2" t="s">
        <v>67</v>
      </c>
      <c r="O818" s="2" t="s">
        <v>2678</v>
      </c>
      <c r="P818" s="3" t="str">
        <f t="shared" si="99"/>
        <v>NR</v>
      </c>
      <c r="R818" s="127">
        <f t="shared" si="100"/>
        <v>0</v>
      </c>
    </row>
    <row r="819" spans="1:18" hidden="1">
      <c r="A819">
        <f t="shared" si="97"/>
        <v>850</v>
      </c>
      <c r="B819" s="42" t="s">
        <v>24</v>
      </c>
      <c r="C819" s="313">
        <f>SUMIF('Employees Supported'!$A$2:$A$29,$B819,'Employees Supported'!$C$2:$C$29)</f>
        <v>1100</v>
      </c>
      <c r="E819" s="2">
        <f t="shared" si="104"/>
        <v>75</v>
      </c>
      <c r="F819" t="str">
        <f t="shared" si="101"/>
        <v>Reserved-75</v>
      </c>
      <c r="G819" t="str">
        <f t="shared" si="98"/>
        <v>SFDReserved-75</v>
      </c>
      <c r="H819" s="2" t="s">
        <v>67</v>
      </c>
      <c r="O819" s="2" t="s">
        <v>2678</v>
      </c>
      <c r="P819" s="3" t="str">
        <f t="shared" si="99"/>
        <v>NR</v>
      </c>
      <c r="R819" s="127">
        <f t="shared" si="100"/>
        <v>0</v>
      </c>
    </row>
    <row r="820" spans="1:18" hidden="1">
      <c r="A820">
        <f t="shared" si="97"/>
        <v>851</v>
      </c>
      <c r="B820" s="42" t="s">
        <v>28</v>
      </c>
      <c r="C820" s="313">
        <f>SUMIF('Employees Supported'!$A$2:$A$29,$B820,'Employees Supported'!$C$2:$C$29)</f>
        <v>1100</v>
      </c>
      <c r="E820" s="2">
        <f t="shared" si="104"/>
        <v>75</v>
      </c>
      <c r="F820" t="str">
        <f t="shared" si="101"/>
        <v>Reserved-75</v>
      </c>
      <c r="G820" t="str">
        <f t="shared" si="98"/>
        <v>SDOTReserved-75</v>
      </c>
      <c r="H820" s="2" t="s">
        <v>67</v>
      </c>
      <c r="O820" s="2" t="s">
        <v>2678</v>
      </c>
      <c r="P820" s="3" t="str">
        <f t="shared" si="99"/>
        <v>NR</v>
      </c>
      <c r="R820" s="127">
        <f t="shared" si="100"/>
        <v>0</v>
      </c>
    </row>
    <row r="821" spans="1:18" hidden="1">
      <c r="A821">
        <f t="shared" si="97"/>
        <v>852</v>
      </c>
      <c r="B821" s="42" t="s">
        <v>33</v>
      </c>
      <c r="C821" s="313">
        <f>SUMIF('Employees Supported'!$A$2:$A$29,$B821,'Employees Supported'!$C$2:$C$29)</f>
        <v>400</v>
      </c>
      <c r="E821" s="2">
        <f t="shared" si="104"/>
        <v>75</v>
      </c>
      <c r="F821" t="str">
        <f t="shared" si="101"/>
        <v>Reserved-75</v>
      </c>
      <c r="G821" t="str">
        <f t="shared" si="98"/>
        <v>SCLReserved-75</v>
      </c>
      <c r="H821" s="2" t="s">
        <v>67</v>
      </c>
      <c r="O821" s="2" t="s">
        <v>2678</v>
      </c>
      <c r="P821" s="3" t="str">
        <f t="shared" si="99"/>
        <v>NR</v>
      </c>
      <c r="R821" s="127">
        <f t="shared" si="100"/>
        <v>0</v>
      </c>
    </row>
    <row r="822" spans="1:18" hidden="1">
      <c r="A822">
        <f t="shared" si="97"/>
        <v>853</v>
      </c>
      <c r="B822" s="42" t="s">
        <v>31</v>
      </c>
      <c r="C822" s="313">
        <f>SUMIF('Employees Supported'!$A$2:$A$29,$B822,'Employees Supported'!$C$2:$C$29)</f>
        <v>700</v>
      </c>
      <c r="E822" s="2">
        <f t="shared" si="104"/>
        <v>75</v>
      </c>
      <c r="F822" t="str">
        <f t="shared" si="101"/>
        <v>Reserved-75</v>
      </c>
      <c r="G822" t="str">
        <f t="shared" si="98"/>
        <v>SeaITReserved-75</v>
      </c>
      <c r="H822" s="2" t="s">
        <v>67</v>
      </c>
      <c r="O822" s="2" t="s">
        <v>2678</v>
      </c>
      <c r="P822" s="3" t="str">
        <f t="shared" si="99"/>
        <v>NR</v>
      </c>
      <c r="R822" s="127">
        <f t="shared" si="100"/>
        <v>0</v>
      </c>
    </row>
    <row r="823" spans="1:18" hidden="1">
      <c r="A823">
        <f t="shared" ref="A823:A886" si="105">+A822+1</f>
        <v>854</v>
      </c>
      <c r="B823" s="42" t="s">
        <v>29</v>
      </c>
      <c r="C823" s="313">
        <f>SUMIF('Employees Supported'!$A$2:$A$29,$B823,'Employees Supported'!$C$2:$C$29)</f>
        <v>550</v>
      </c>
      <c r="E823" s="2">
        <f t="shared" si="104"/>
        <v>75</v>
      </c>
      <c r="F823" t="str">
        <f t="shared" si="101"/>
        <v>Reserved-75</v>
      </c>
      <c r="G823" t="str">
        <f t="shared" si="98"/>
        <v>SDCIReserved-75</v>
      </c>
      <c r="H823" s="2" t="s">
        <v>67</v>
      </c>
      <c r="O823" s="2" t="s">
        <v>2678</v>
      </c>
      <c r="P823" s="3" t="str">
        <f t="shared" si="99"/>
        <v>NR</v>
      </c>
      <c r="R823" s="127">
        <f t="shared" si="100"/>
        <v>0</v>
      </c>
    </row>
    <row r="824" spans="1:18" hidden="1">
      <c r="A824">
        <f t="shared" si="105"/>
        <v>855</v>
      </c>
      <c r="B824" s="42" t="s">
        <v>27</v>
      </c>
      <c r="C824" s="313">
        <f>SUMIF('Employees Supported'!$A$2:$A$29,$B824,'Employees Supported'!$C$2:$C$29)</f>
        <v>400</v>
      </c>
      <c r="E824" s="2">
        <f t="shared" si="104"/>
        <v>75</v>
      </c>
      <c r="F824" t="str">
        <f t="shared" si="101"/>
        <v>Reserved-75</v>
      </c>
      <c r="G824" t="str">
        <f t="shared" ref="G824:G887" si="106">_xlfn.SINGLE(_xlfn.CONCAT(B824,F824))</f>
        <v>SPUReserved-75</v>
      </c>
      <c r="H824" s="2" t="s">
        <v>67</v>
      </c>
      <c r="O824" s="2" t="s">
        <v>2678</v>
      </c>
      <c r="P824" s="3" t="str">
        <f t="shared" ref="P824:P887" si="107">IF(O824="NR","NR",((((C824+D824)*I824)*90)+(J824*90)+(((C824+D824)*K824)*3)+(L824*3)+((C824+D824)*M824)+N824))</f>
        <v>NR</v>
      </c>
      <c r="R824" s="127">
        <f t="shared" ref="R824:R887" si="108">SUM(P824)/90</f>
        <v>0</v>
      </c>
    </row>
    <row r="825" spans="1:18" hidden="1">
      <c r="A825">
        <f t="shared" si="105"/>
        <v>856</v>
      </c>
      <c r="B825" s="42" t="s">
        <v>30</v>
      </c>
      <c r="C825" s="313">
        <f>SUMIF('Employees Supported'!$A$2:$A$29,$B825,'Employees Supported'!$C$2:$C$29)</f>
        <v>300</v>
      </c>
      <c r="E825" s="2">
        <f t="shared" si="104"/>
        <v>75</v>
      </c>
      <c r="F825" t="str">
        <f t="shared" si="101"/>
        <v>Reserved-75</v>
      </c>
      <c r="G825" t="str">
        <f t="shared" si="106"/>
        <v>LibrariesReserved-75</v>
      </c>
      <c r="H825" s="2" t="s">
        <v>67</v>
      </c>
      <c r="O825" s="2" t="s">
        <v>2678</v>
      </c>
      <c r="P825" s="3" t="str">
        <f t="shared" si="107"/>
        <v>NR</v>
      </c>
      <c r="R825" s="127">
        <f t="shared" si="108"/>
        <v>0</v>
      </c>
    </row>
    <row r="826" spans="1:18" hidden="1">
      <c r="A826">
        <f t="shared" si="105"/>
        <v>857</v>
      </c>
      <c r="B826" s="42" t="s">
        <v>26</v>
      </c>
      <c r="C826" s="313">
        <f>SUMIF('Employees Supported'!$A$2:$A$29,$B826,'Employees Supported'!$C$2:$C$29)</f>
        <v>400</v>
      </c>
      <c r="E826" s="2">
        <f t="shared" si="104"/>
        <v>75</v>
      </c>
      <c r="F826" t="str">
        <f t="shared" si="101"/>
        <v>Reserved-75</v>
      </c>
      <c r="G826" t="str">
        <f t="shared" si="106"/>
        <v>ParksReserved-75</v>
      </c>
      <c r="H826" s="2" t="s">
        <v>67</v>
      </c>
      <c r="O826" s="2" t="s">
        <v>2678</v>
      </c>
      <c r="P826" s="3" t="str">
        <f t="shared" si="107"/>
        <v>NR</v>
      </c>
      <c r="R826" s="127">
        <f t="shared" si="108"/>
        <v>0</v>
      </c>
    </row>
    <row r="827" spans="1:18" hidden="1">
      <c r="A827">
        <f t="shared" si="105"/>
        <v>858</v>
      </c>
      <c r="B827" s="42" t="s">
        <v>32</v>
      </c>
      <c r="C827" s="313">
        <f>SUMIF('Employees Supported'!$A$2:$A$29,$B827,'Employees Supported'!$C$2:$C$29)</f>
        <v>400</v>
      </c>
      <c r="E827" s="2">
        <f t="shared" si="104"/>
        <v>75</v>
      </c>
      <c r="F827" t="str">
        <f t="shared" si="101"/>
        <v>Reserved-75</v>
      </c>
      <c r="G827" t="str">
        <f t="shared" si="106"/>
        <v>Seattle CtrReserved-75</v>
      </c>
      <c r="H827" s="2" t="s">
        <v>67</v>
      </c>
      <c r="O827" s="2" t="s">
        <v>2678</v>
      </c>
      <c r="P827" s="3" t="str">
        <f t="shared" si="107"/>
        <v>NR</v>
      </c>
      <c r="R827" s="127">
        <f t="shared" si="108"/>
        <v>0</v>
      </c>
    </row>
    <row r="828" spans="1:18">
      <c r="A828">
        <f t="shared" si="105"/>
        <v>859</v>
      </c>
      <c r="B828" s="42" t="s">
        <v>23</v>
      </c>
      <c r="C828" s="313">
        <v>6500</v>
      </c>
      <c r="E828" s="2">
        <f>+E817+1</f>
        <v>76</v>
      </c>
      <c r="F828" t="str">
        <f t="shared" si="101"/>
        <v>Reserved-76</v>
      </c>
      <c r="G828" t="str">
        <f t="shared" si="106"/>
        <v>FAS-CentralizedReserved-76</v>
      </c>
      <c r="H828" s="2" t="s">
        <v>67</v>
      </c>
      <c r="O828" s="2" t="s">
        <v>2678</v>
      </c>
      <c r="P828" s="3" t="str">
        <f t="shared" si="107"/>
        <v>NR</v>
      </c>
      <c r="R828" s="127">
        <f t="shared" si="108"/>
        <v>0</v>
      </c>
    </row>
    <row r="829" spans="1:18" hidden="1">
      <c r="A829">
        <f t="shared" si="105"/>
        <v>860</v>
      </c>
      <c r="B829" s="42" t="s">
        <v>25</v>
      </c>
      <c r="C829" s="313">
        <f>SUMIF('Employees Supported'!$A$2:$A$29,$B829,'Employees Supported'!$C$2:$C$29)</f>
        <v>1500</v>
      </c>
      <c r="E829" s="2">
        <f t="shared" si="104"/>
        <v>76</v>
      </c>
      <c r="F829" t="str">
        <f t="shared" si="101"/>
        <v>Reserved-76</v>
      </c>
      <c r="G829" t="str">
        <f t="shared" si="106"/>
        <v>SPDReserved-76</v>
      </c>
      <c r="H829" s="2" t="s">
        <v>67</v>
      </c>
      <c r="O829" s="2" t="s">
        <v>2678</v>
      </c>
      <c r="P829" s="3" t="str">
        <f t="shared" si="107"/>
        <v>NR</v>
      </c>
      <c r="R829" s="127">
        <f t="shared" si="108"/>
        <v>0</v>
      </c>
    </row>
    <row r="830" spans="1:18" hidden="1">
      <c r="A830">
        <f t="shared" si="105"/>
        <v>861</v>
      </c>
      <c r="B830" s="42" t="s">
        <v>24</v>
      </c>
      <c r="C830" s="313">
        <f>SUMIF('Employees Supported'!$A$2:$A$29,$B830,'Employees Supported'!$C$2:$C$29)</f>
        <v>1100</v>
      </c>
      <c r="E830" s="2">
        <f t="shared" si="104"/>
        <v>76</v>
      </c>
      <c r="F830" t="str">
        <f t="shared" si="101"/>
        <v>Reserved-76</v>
      </c>
      <c r="G830" t="str">
        <f t="shared" si="106"/>
        <v>SFDReserved-76</v>
      </c>
      <c r="H830" s="2" t="s">
        <v>67</v>
      </c>
      <c r="O830" s="2" t="s">
        <v>2678</v>
      </c>
      <c r="P830" s="3" t="str">
        <f t="shared" si="107"/>
        <v>NR</v>
      </c>
      <c r="R830" s="127">
        <f t="shared" si="108"/>
        <v>0</v>
      </c>
    </row>
    <row r="831" spans="1:18" hidden="1">
      <c r="A831">
        <f t="shared" si="105"/>
        <v>862</v>
      </c>
      <c r="B831" s="42" t="s">
        <v>28</v>
      </c>
      <c r="C831" s="313">
        <f>SUMIF('Employees Supported'!$A$2:$A$29,$B831,'Employees Supported'!$C$2:$C$29)</f>
        <v>1100</v>
      </c>
      <c r="E831" s="2">
        <f t="shared" si="104"/>
        <v>76</v>
      </c>
      <c r="F831" t="str">
        <f t="shared" si="101"/>
        <v>Reserved-76</v>
      </c>
      <c r="G831" t="str">
        <f t="shared" si="106"/>
        <v>SDOTReserved-76</v>
      </c>
      <c r="H831" s="2" t="s">
        <v>67</v>
      </c>
      <c r="O831" s="2" t="s">
        <v>2678</v>
      </c>
      <c r="P831" s="3" t="str">
        <f t="shared" si="107"/>
        <v>NR</v>
      </c>
      <c r="R831" s="127">
        <f t="shared" si="108"/>
        <v>0</v>
      </c>
    </row>
    <row r="832" spans="1:18" hidden="1">
      <c r="A832">
        <f t="shared" si="105"/>
        <v>863</v>
      </c>
      <c r="B832" s="42" t="s">
        <v>33</v>
      </c>
      <c r="C832" s="313">
        <f>SUMIF('Employees Supported'!$A$2:$A$29,$B832,'Employees Supported'!$C$2:$C$29)</f>
        <v>400</v>
      </c>
      <c r="E832" s="2">
        <f t="shared" si="104"/>
        <v>76</v>
      </c>
      <c r="F832" t="str">
        <f t="shared" si="101"/>
        <v>Reserved-76</v>
      </c>
      <c r="G832" t="str">
        <f t="shared" si="106"/>
        <v>SCLReserved-76</v>
      </c>
      <c r="H832" s="2" t="s">
        <v>67</v>
      </c>
      <c r="O832" s="2" t="s">
        <v>2678</v>
      </c>
      <c r="P832" s="3" t="str">
        <f t="shared" si="107"/>
        <v>NR</v>
      </c>
      <c r="R832" s="127">
        <f t="shared" si="108"/>
        <v>0</v>
      </c>
    </row>
    <row r="833" spans="1:18" hidden="1">
      <c r="A833">
        <f t="shared" si="105"/>
        <v>864</v>
      </c>
      <c r="B833" s="42" t="s">
        <v>31</v>
      </c>
      <c r="C833" s="313">
        <f>SUMIF('Employees Supported'!$A$2:$A$29,$B833,'Employees Supported'!$C$2:$C$29)</f>
        <v>700</v>
      </c>
      <c r="E833" s="2">
        <f t="shared" si="104"/>
        <v>76</v>
      </c>
      <c r="F833" t="str">
        <f t="shared" si="101"/>
        <v>Reserved-76</v>
      </c>
      <c r="G833" t="str">
        <f t="shared" si="106"/>
        <v>SeaITReserved-76</v>
      </c>
      <c r="H833" s="2" t="s">
        <v>67</v>
      </c>
      <c r="O833" s="2" t="s">
        <v>2678</v>
      </c>
      <c r="P833" s="3" t="str">
        <f t="shared" si="107"/>
        <v>NR</v>
      </c>
      <c r="R833" s="127">
        <f t="shared" si="108"/>
        <v>0</v>
      </c>
    </row>
    <row r="834" spans="1:18" hidden="1">
      <c r="A834">
        <f t="shared" si="105"/>
        <v>865</v>
      </c>
      <c r="B834" s="42" t="s">
        <v>29</v>
      </c>
      <c r="C834" s="313">
        <f>SUMIF('Employees Supported'!$A$2:$A$29,$B834,'Employees Supported'!$C$2:$C$29)</f>
        <v>550</v>
      </c>
      <c r="E834" s="2">
        <f t="shared" si="104"/>
        <v>76</v>
      </c>
      <c r="F834" t="str">
        <f t="shared" si="101"/>
        <v>Reserved-76</v>
      </c>
      <c r="G834" t="str">
        <f t="shared" si="106"/>
        <v>SDCIReserved-76</v>
      </c>
      <c r="H834" s="2" t="s">
        <v>67</v>
      </c>
      <c r="O834" s="2" t="s">
        <v>2678</v>
      </c>
      <c r="P834" s="3" t="str">
        <f t="shared" si="107"/>
        <v>NR</v>
      </c>
      <c r="R834" s="127">
        <f t="shared" si="108"/>
        <v>0</v>
      </c>
    </row>
    <row r="835" spans="1:18" hidden="1">
      <c r="A835">
        <f t="shared" si="105"/>
        <v>866</v>
      </c>
      <c r="B835" s="42" t="s">
        <v>27</v>
      </c>
      <c r="C835" s="313">
        <f>SUMIF('Employees Supported'!$A$2:$A$29,$B835,'Employees Supported'!$C$2:$C$29)</f>
        <v>400</v>
      </c>
      <c r="E835" s="2">
        <f t="shared" si="104"/>
        <v>76</v>
      </c>
      <c r="F835" t="str">
        <f t="shared" si="101"/>
        <v>Reserved-76</v>
      </c>
      <c r="G835" t="str">
        <f t="shared" si="106"/>
        <v>SPUReserved-76</v>
      </c>
      <c r="H835" s="2" t="s">
        <v>67</v>
      </c>
      <c r="O835" s="2" t="s">
        <v>2678</v>
      </c>
      <c r="P835" s="3" t="str">
        <f t="shared" si="107"/>
        <v>NR</v>
      </c>
      <c r="R835" s="127">
        <f t="shared" si="108"/>
        <v>0</v>
      </c>
    </row>
    <row r="836" spans="1:18" hidden="1">
      <c r="A836">
        <f t="shared" si="105"/>
        <v>867</v>
      </c>
      <c r="B836" s="42" t="s">
        <v>30</v>
      </c>
      <c r="C836" s="313">
        <f>SUMIF('Employees Supported'!$A$2:$A$29,$B836,'Employees Supported'!$C$2:$C$29)</f>
        <v>300</v>
      </c>
      <c r="E836" s="2">
        <f t="shared" si="104"/>
        <v>76</v>
      </c>
      <c r="F836" t="str">
        <f t="shared" si="101"/>
        <v>Reserved-76</v>
      </c>
      <c r="G836" t="str">
        <f t="shared" si="106"/>
        <v>LibrariesReserved-76</v>
      </c>
      <c r="H836" s="2" t="s">
        <v>67</v>
      </c>
      <c r="O836" s="2" t="s">
        <v>2678</v>
      </c>
      <c r="P836" s="3" t="str">
        <f t="shared" si="107"/>
        <v>NR</v>
      </c>
      <c r="R836" s="127">
        <f t="shared" si="108"/>
        <v>0</v>
      </c>
    </row>
    <row r="837" spans="1:18" hidden="1">
      <c r="A837">
        <f t="shared" si="105"/>
        <v>868</v>
      </c>
      <c r="B837" s="42" t="s">
        <v>26</v>
      </c>
      <c r="C837" s="313">
        <f>SUMIF('Employees Supported'!$A$2:$A$29,$B837,'Employees Supported'!$C$2:$C$29)</f>
        <v>400</v>
      </c>
      <c r="E837" s="2">
        <f t="shared" si="104"/>
        <v>76</v>
      </c>
      <c r="F837" t="str">
        <f t="shared" si="101"/>
        <v>Reserved-76</v>
      </c>
      <c r="G837" t="str">
        <f t="shared" si="106"/>
        <v>ParksReserved-76</v>
      </c>
      <c r="H837" s="2" t="s">
        <v>67</v>
      </c>
      <c r="O837" s="2" t="s">
        <v>2678</v>
      </c>
      <c r="P837" s="3" t="str">
        <f t="shared" si="107"/>
        <v>NR</v>
      </c>
      <c r="R837" s="127">
        <f t="shared" si="108"/>
        <v>0</v>
      </c>
    </row>
    <row r="838" spans="1:18" hidden="1">
      <c r="A838">
        <f t="shared" si="105"/>
        <v>869</v>
      </c>
      <c r="B838" s="42" t="s">
        <v>32</v>
      </c>
      <c r="C838" s="313">
        <f>SUMIF('Employees Supported'!$A$2:$A$29,$B838,'Employees Supported'!$C$2:$C$29)</f>
        <v>400</v>
      </c>
      <c r="E838" s="2">
        <f t="shared" si="104"/>
        <v>76</v>
      </c>
      <c r="F838" t="str">
        <f t="shared" si="101"/>
        <v>Reserved-76</v>
      </c>
      <c r="G838" t="str">
        <f t="shared" si="106"/>
        <v>Seattle CtrReserved-76</v>
      </c>
      <c r="H838" s="2" t="s">
        <v>67</v>
      </c>
      <c r="O838" s="2" t="s">
        <v>2678</v>
      </c>
      <c r="P838" s="3" t="str">
        <f t="shared" si="107"/>
        <v>NR</v>
      </c>
      <c r="R838" s="127">
        <f t="shared" si="108"/>
        <v>0</v>
      </c>
    </row>
    <row r="839" spans="1:18">
      <c r="A839">
        <f t="shared" si="105"/>
        <v>870</v>
      </c>
      <c r="B839" s="42" t="s">
        <v>23</v>
      </c>
      <c r="C839" s="313">
        <v>6500</v>
      </c>
      <c r="E839" s="2">
        <f>+E828+1</f>
        <v>77</v>
      </c>
      <c r="F839" t="str">
        <f t="shared" si="101"/>
        <v>Reserved-77</v>
      </c>
      <c r="G839" t="str">
        <f t="shared" si="106"/>
        <v>FAS-CentralizedReserved-77</v>
      </c>
      <c r="H839" s="2" t="s">
        <v>67</v>
      </c>
      <c r="O839" s="2" t="s">
        <v>2678</v>
      </c>
      <c r="P839" s="3" t="str">
        <f t="shared" si="107"/>
        <v>NR</v>
      </c>
      <c r="R839" s="127">
        <f t="shared" si="108"/>
        <v>0</v>
      </c>
    </row>
    <row r="840" spans="1:18" hidden="1">
      <c r="A840">
        <f t="shared" si="105"/>
        <v>871</v>
      </c>
      <c r="B840" s="42" t="s">
        <v>25</v>
      </c>
      <c r="C840" s="313">
        <f>SUMIF('Employees Supported'!$A$2:$A$29,$B840,'Employees Supported'!$C$2:$C$29)</f>
        <v>1500</v>
      </c>
      <c r="E840" s="2">
        <f t="shared" si="104"/>
        <v>77</v>
      </c>
      <c r="F840" t="str">
        <f t="shared" si="101"/>
        <v>Reserved-77</v>
      </c>
      <c r="G840" t="str">
        <f t="shared" si="106"/>
        <v>SPDReserved-77</v>
      </c>
      <c r="H840" s="2" t="s">
        <v>67</v>
      </c>
      <c r="O840" s="2" t="s">
        <v>2678</v>
      </c>
      <c r="P840" s="3" t="str">
        <f t="shared" si="107"/>
        <v>NR</v>
      </c>
      <c r="R840" s="127">
        <f t="shared" si="108"/>
        <v>0</v>
      </c>
    </row>
    <row r="841" spans="1:18" hidden="1">
      <c r="A841">
        <f t="shared" si="105"/>
        <v>872</v>
      </c>
      <c r="B841" s="42" t="s">
        <v>24</v>
      </c>
      <c r="C841" s="313">
        <f>SUMIF('Employees Supported'!$A$2:$A$29,$B841,'Employees Supported'!$C$2:$C$29)</f>
        <v>1100</v>
      </c>
      <c r="E841" s="2">
        <f t="shared" si="104"/>
        <v>77</v>
      </c>
      <c r="F841" t="str">
        <f t="shared" si="101"/>
        <v>Reserved-77</v>
      </c>
      <c r="G841" t="str">
        <f t="shared" si="106"/>
        <v>SFDReserved-77</v>
      </c>
      <c r="H841" s="2" t="s">
        <v>67</v>
      </c>
      <c r="O841" s="2" t="s">
        <v>2678</v>
      </c>
      <c r="P841" s="3" t="str">
        <f t="shared" si="107"/>
        <v>NR</v>
      </c>
      <c r="R841" s="127">
        <f t="shared" si="108"/>
        <v>0</v>
      </c>
    </row>
    <row r="842" spans="1:18" hidden="1">
      <c r="A842">
        <f t="shared" si="105"/>
        <v>873</v>
      </c>
      <c r="B842" s="42" t="s">
        <v>28</v>
      </c>
      <c r="C842" s="313">
        <f>SUMIF('Employees Supported'!$A$2:$A$29,$B842,'Employees Supported'!$C$2:$C$29)</f>
        <v>1100</v>
      </c>
      <c r="E842" s="2">
        <f t="shared" si="104"/>
        <v>77</v>
      </c>
      <c r="F842" t="str">
        <f t="shared" si="101"/>
        <v>Reserved-77</v>
      </c>
      <c r="G842" t="str">
        <f t="shared" si="106"/>
        <v>SDOTReserved-77</v>
      </c>
      <c r="H842" s="2" t="s">
        <v>67</v>
      </c>
      <c r="O842" s="2" t="s">
        <v>2678</v>
      </c>
      <c r="P842" s="3" t="str">
        <f t="shared" si="107"/>
        <v>NR</v>
      </c>
      <c r="R842" s="127">
        <f t="shared" si="108"/>
        <v>0</v>
      </c>
    </row>
    <row r="843" spans="1:18" hidden="1">
      <c r="A843">
        <f t="shared" si="105"/>
        <v>874</v>
      </c>
      <c r="B843" s="42" t="s">
        <v>33</v>
      </c>
      <c r="C843" s="313">
        <f>SUMIF('Employees Supported'!$A$2:$A$29,$B843,'Employees Supported'!$C$2:$C$29)</f>
        <v>400</v>
      </c>
      <c r="E843" s="2">
        <f t="shared" si="104"/>
        <v>77</v>
      </c>
      <c r="F843" t="str">
        <f t="shared" ref="F843:F906" si="109">_xlfn.SINGLE(_xlfn.CONCAT("Reserved-",E843))</f>
        <v>Reserved-77</v>
      </c>
      <c r="G843" t="str">
        <f t="shared" si="106"/>
        <v>SCLReserved-77</v>
      </c>
      <c r="H843" s="2" t="s">
        <v>67</v>
      </c>
      <c r="O843" s="2" t="s">
        <v>2678</v>
      </c>
      <c r="P843" s="3" t="str">
        <f t="shared" si="107"/>
        <v>NR</v>
      </c>
      <c r="R843" s="127">
        <f t="shared" si="108"/>
        <v>0</v>
      </c>
    </row>
    <row r="844" spans="1:18" hidden="1">
      <c r="A844">
        <f t="shared" si="105"/>
        <v>875</v>
      </c>
      <c r="B844" s="42" t="s">
        <v>31</v>
      </c>
      <c r="C844" s="313">
        <f>SUMIF('Employees Supported'!$A$2:$A$29,$B844,'Employees Supported'!$C$2:$C$29)</f>
        <v>700</v>
      </c>
      <c r="E844" s="2">
        <f t="shared" si="104"/>
        <v>77</v>
      </c>
      <c r="F844" t="str">
        <f t="shared" si="109"/>
        <v>Reserved-77</v>
      </c>
      <c r="G844" t="str">
        <f t="shared" si="106"/>
        <v>SeaITReserved-77</v>
      </c>
      <c r="H844" s="2" t="s">
        <v>67</v>
      </c>
      <c r="O844" s="2" t="s">
        <v>2678</v>
      </c>
      <c r="P844" s="3" t="str">
        <f t="shared" si="107"/>
        <v>NR</v>
      </c>
      <c r="R844" s="127">
        <f t="shared" si="108"/>
        <v>0</v>
      </c>
    </row>
    <row r="845" spans="1:18" hidden="1">
      <c r="A845">
        <f t="shared" si="105"/>
        <v>876</v>
      </c>
      <c r="B845" s="42" t="s">
        <v>29</v>
      </c>
      <c r="C845" s="313">
        <f>SUMIF('Employees Supported'!$A$2:$A$29,$B845,'Employees Supported'!$C$2:$C$29)</f>
        <v>550</v>
      </c>
      <c r="E845" s="2">
        <f t="shared" si="104"/>
        <v>77</v>
      </c>
      <c r="F845" t="str">
        <f t="shared" si="109"/>
        <v>Reserved-77</v>
      </c>
      <c r="G845" t="str">
        <f t="shared" si="106"/>
        <v>SDCIReserved-77</v>
      </c>
      <c r="H845" s="2" t="s">
        <v>67</v>
      </c>
      <c r="O845" s="2" t="s">
        <v>2678</v>
      </c>
      <c r="P845" s="3" t="str">
        <f t="shared" si="107"/>
        <v>NR</v>
      </c>
      <c r="R845" s="127">
        <f t="shared" si="108"/>
        <v>0</v>
      </c>
    </row>
    <row r="846" spans="1:18" hidden="1">
      <c r="A846">
        <f t="shared" si="105"/>
        <v>877</v>
      </c>
      <c r="B846" s="42" t="s">
        <v>27</v>
      </c>
      <c r="C846" s="313">
        <f>SUMIF('Employees Supported'!$A$2:$A$29,$B846,'Employees Supported'!$C$2:$C$29)</f>
        <v>400</v>
      </c>
      <c r="E846" s="2">
        <f t="shared" si="104"/>
        <v>77</v>
      </c>
      <c r="F846" t="str">
        <f t="shared" si="109"/>
        <v>Reserved-77</v>
      </c>
      <c r="G846" t="str">
        <f t="shared" si="106"/>
        <v>SPUReserved-77</v>
      </c>
      <c r="H846" s="2" t="s">
        <v>67</v>
      </c>
      <c r="O846" s="2" t="s">
        <v>2678</v>
      </c>
      <c r="P846" s="3" t="str">
        <f t="shared" si="107"/>
        <v>NR</v>
      </c>
      <c r="R846" s="127">
        <f t="shared" si="108"/>
        <v>0</v>
      </c>
    </row>
    <row r="847" spans="1:18" hidden="1">
      <c r="A847">
        <f t="shared" si="105"/>
        <v>878</v>
      </c>
      <c r="B847" s="42" t="s">
        <v>30</v>
      </c>
      <c r="C847" s="313">
        <f>SUMIF('Employees Supported'!$A$2:$A$29,$B847,'Employees Supported'!$C$2:$C$29)</f>
        <v>300</v>
      </c>
      <c r="E847" s="2">
        <f t="shared" si="104"/>
        <v>77</v>
      </c>
      <c r="F847" t="str">
        <f t="shared" si="109"/>
        <v>Reserved-77</v>
      </c>
      <c r="G847" t="str">
        <f t="shared" si="106"/>
        <v>LibrariesReserved-77</v>
      </c>
      <c r="H847" s="2" t="s">
        <v>67</v>
      </c>
      <c r="O847" s="2" t="s">
        <v>2678</v>
      </c>
      <c r="P847" s="3" t="str">
        <f t="shared" si="107"/>
        <v>NR</v>
      </c>
      <c r="R847" s="127">
        <f t="shared" si="108"/>
        <v>0</v>
      </c>
    </row>
    <row r="848" spans="1:18" hidden="1">
      <c r="A848">
        <f t="shared" si="105"/>
        <v>879</v>
      </c>
      <c r="B848" s="42" t="s">
        <v>26</v>
      </c>
      <c r="C848" s="313">
        <f>SUMIF('Employees Supported'!$A$2:$A$29,$B848,'Employees Supported'!$C$2:$C$29)</f>
        <v>400</v>
      </c>
      <c r="E848" s="2">
        <f t="shared" si="104"/>
        <v>77</v>
      </c>
      <c r="F848" t="str">
        <f t="shared" si="109"/>
        <v>Reserved-77</v>
      </c>
      <c r="G848" t="str">
        <f t="shared" si="106"/>
        <v>ParksReserved-77</v>
      </c>
      <c r="H848" s="2" t="s">
        <v>67</v>
      </c>
      <c r="O848" s="2" t="s">
        <v>2678</v>
      </c>
      <c r="P848" s="3" t="str">
        <f t="shared" si="107"/>
        <v>NR</v>
      </c>
      <c r="R848" s="127">
        <f t="shared" si="108"/>
        <v>0</v>
      </c>
    </row>
    <row r="849" spans="1:18" hidden="1">
      <c r="A849">
        <f t="shared" si="105"/>
        <v>880</v>
      </c>
      <c r="B849" s="42" t="s">
        <v>32</v>
      </c>
      <c r="C849" s="313">
        <f>SUMIF('Employees Supported'!$A$2:$A$29,$B849,'Employees Supported'!$C$2:$C$29)</f>
        <v>400</v>
      </c>
      <c r="E849" s="2">
        <f t="shared" si="104"/>
        <v>77</v>
      </c>
      <c r="F849" t="str">
        <f t="shared" si="109"/>
        <v>Reserved-77</v>
      </c>
      <c r="G849" t="str">
        <f t="shared" si="106"/>
        <v>Seattle CtrReserved-77</v>
      </c>
      <c r="H849" s="2" t="s">
        <v>67</v>
      </c>
      <c r="O849" s="2" t="s">
        <v>2678</v>
      </c>
      <c r="P849" s="3" t="str">
        <f t="shared" si="107"/>
        <v>NR</v>
      </c>
      <c r="R849" s="127">
        <f t="shared" si="108"/>
        <v>0</v>
      </c>
    </row>
    <row r="850" spans="1:18">
      <c r="A850">
        <f t="shared" si="105"/>
        <v>881</v>
      </c>
      <c r="B850" s="42" t="s">
        <v>23</v>
      </c>
      <c r="C850" s="313">
        <v>6500</v>
      </c>
      <c r="E850" s="2">
        <f>+E839+1</f>
        <v>78</v>
      </c>
      <c r="F850" t="str">
        <f t="shared" si="109"/>
        <v>Reserved-78</v>
      </c>
      <c r="G850" t="str">
        <f t="shared" si="106"/>
        <v>FAS-CentralizedReserved-78</v>
      </c>
      <c r="H850" s="2" t="s">
        <v>67</v>
      </c>
      <c r="O850" s="2" t="s">
        <v>2678</v>
      </c>
      <c r="P850" s="3" t="str">
        <f t="shared" si="107"/>
        <v>NR</v>
      </c>
      <c r="R850" s="127">
        <f t="shared" si="108"/>
        <v>0</v>
      </c>
    </row>
    <row r="851" spans="1:18" hidden="1">
      <c r="A851">
        <f t="shared" si="105"/>
        <v>882</v>
      </c>
      <c r="B851" s="42" t="s">
        <v>25</v>
      </c>
      <c r="C851" s="313">
        <f>SUMIF('Employees Supported'!$A$2:$A$29,$B851,'Employees Supported'!$C$2:$C$29)</f>
        <v>1500</v>
      </c>
      <c r="E851" s="2">
        <f t="shared" si="104"/>
        <v>78</v>
      </c>
      <c r="F851" t="str">
        <f t="shared" si="109"/>
        <v>Reserved-78</v>
      </c>
      <c r="G851" t="str">
        <f t="shared" si="106"/>
        <v>SPDReserved-78</v>
      </c>
      <c r="H851" s="2" t="s">
        <v>67</v>
      </c>
      <c r="O851" s="2" t="s">
        <v>2678</v>
      </c>
      <c r="P851" s="3" t="str">
        <f t="shared" si="107"/>
        <v>NR</v>
      </c>
      <c r="R851" s="127">
        <f t="shared" si="108"/>
        <v>0</v>
      </c>
    </row>
    <row r="852" spans="1:18" hidden="1">
      <c r="A852">
        <f t="shared" si="105"/>
        <v>883</v>
      </c>
      <c r="B852" s="42" t="s">
        <v>24</v>
      </c>
      <c r="C852" s="313">
        <f>SUMIF('Employees Supported'!$A$2:$A$29,$B852,'Employees Supported'!$C$2:$C$29)</f>
        <v>1100</v>
      </c>
      <c r="E852" s="2">
        <f t="shared" si="104"/>
        <v>78</v>
      </c>
      <c r="F852" t="str">
        <f t="shared" si="109"/>
        <v>Reserved-78</v>
      </c>
      <c r="G852" t="str">
        <f t="shared" si="106"/>
        <v>SFDReserved-78</v>
      </c>
      <c r="H852" s="2" t="s">
        <v>67</v>
      </c>
      <c r="O852" s="2" t="s">
        <v>2678</v>
      </c>
      <c r="P852" s="3" t="str">
        <f t="shared" si="107"/>
        <v>NR</v>
      </c>
      <c r="R852" s="127">
        <f t="shared" si="108"/>
        <v>0</v>
      </c>
    </row>
    <row r="853" spans="1:18" hidden="1">
      <c r="A853">
        <f t="shared" si="105"/>
        <v>884</v>
      </c>
      <c r="B853" s="42" t="s">
        <v>28</v>
      </c>
      <c r="C853" s="313">
        <f>SUMIF('Employees Supported'!$A$2:$A$29,$B853,'Employees Supported'!$C$2:$C$29)</f>
        <v>1100</v>
      </c>
      <c r="E853" s="2">
        <f t="shared" si="104"/>
        <v>78</v>
      </c>
      <c r="F853" t="str">
        <f t="shared" si="109"/>
        <v>Reserved-78</v>
      </c>
      <c r="G853" t="str">
        <f t="shared" si="106"/>
        <v>SDOTReserved-78</v>
      </c>
      <c r="H853" s="2" t="s">
        <v>67</v>
      </c>
      <c r="O853" s="2" t="s">
        <v>2678</v>
      </c>
      <c r="P853" s="3" t="str">
        <f t="shared" si="107"/>
        <v>NR</v>
      </c>
      <c r="R853" s="127">
        <f t="shared" si="108"/>
        <v>0</v>
      </c>
    </row>
    <row r="854" spans="1:18" hidden="1">
      <c r="A854">
        <f t="shared" si="105"/>
        <v>885</v>
      </c>
      <c r="B854" s="42" t="s">
        <v>33</v>
      </c>
      <c r="C854" s="313">
        <f>SUMIF('Employees Supported'!$A$2:$A$29,$B854,'Employees Supported'!$C$2:$C$29)</f>
        <v>400</v>
      </c>
      <c r="E854" s="2">
        <f t="shared" si="104"/>
        <v>78</v>
      </c>
      <c r="F854" t="str">
        <f t="shared" si="109"/>
        <v>Reserved-78</v>
      </c>
      <c r="G854" t="str">
        <f t="shared" si="106"/>
        <v>SCLReserved-78</v>
      </c>
      <c r="H854" s="2" t="s">
        <v>67</v>
      </c>
      <c r="O854" s="2" t="s">
        <v>2678</v>
      </c>
      <c r="P854" s="3" t="str">
        <f t="shared" si="107"/>
        <v>NR</v>
      </c>
      <c r="R854" s="127">
        <f t="shared" si="108"/>
        <v>0</v>
      </c>
    </row>
    <row r="855" spans="1:18" hidden="1">
      <c r="A855">
        <f t="shared" si="105"/>
        <v>886</v>
      </c>
      <c r="B855" s="42" t="s">
        <v>31</v>
      </c>
      <c r="C855" s="313">
        <f>SUMIF('Employees Supported'!$A$2:$A$29,$B855,'Employees Supported'!$C$2:$C$29)</f>
        <v>700</v>
      </c>
      <c r="E855" s="2">
        <f t="shared" si="104"/>
        <v>78</v>
      </c>
      <c r="F855" t="str">
        <f t="shared" si="109"/>
        <v>Reserved-78</v>
      </c>
      <c r="G855" t="str">
        <f t="shared" si="106"/>
        <v>SeaITReserved-78</v>
      </c>
      <c r="H855" s="2" t="s">
        <v>67</v>
      </c>
      <c r="O855" s="2" t="s">
        <v>2678</v>
      </c>
      <c r="P855" s="3" t="str">
        <f t="shared" si="107"/>
        <v>NR</v>
      </c>
      <c r="R855" s="127">
        <f t="shared" si="108"/>
        <v>0</v>
      </c>
    </row>
    <row r="856" spans="1:18" hidden="1">
      <c r="A856">
        <f t="shared" si="105"/>
        <v>887</v>
      </c>
      <c r="B856" s="42" t="s">
        <v>29</v>
      </c>
      <c r="C856" s="313">
        <f>SUMIF('Employees Supported'!$A$2:$A$29,$B856,'Employees Supported'!$C$2:$C$29)</f>
        <v>550</v>
      </c>
      <c r="E856" s="2">
        <f t="shared" si="104"/>
        <v>78</v>
      </c>
      <c r="F856" t="str">
        <f t="shared" si="109"/>
        <v>Reserved-78</v>
      </c>
      <c r="G856" t="str">
        <f t="shared" si="106"/>
        <v>SDCIReserved-78</v>
      </c>
      <c r="H856" s="2" t="s">
        <v>67</v>
      </c>
      <c r="O856" s="2" t="s">
        <v>2678</v>
      </c>
      <c r="P856" s="3" t="str">
        <f t="shared" si="107"/>
        <v>NR</v>
      </c>
      <c r="R856" s="127">
        <f t="shared" si="108"/>
        <v>0</v>
      </c>
    </row>
    <row r="857" spans="1:18" hidden="1">
      <c r="A857">
        <f t="shared" si="105"/>
        <v>888</v>
      </c>
      <c r="B857" s="42" t="s">
        <v>27</v>
      </c>
      <c r="C857" s="313">
        <f>SUMIF('Employees Supported'!$A$2:$A$29,$B857,'Employees Supported'!$C$2:$C$29)</f>
        <v>400</v>
      </c>
      <c r="E857" s="2">
        <f t="shared" si="104"/>
        <v>78</v>
      </c>
      <c r="F857" t="str">
        <f t="shared" si="109"/>
        <v>Reserved-78</v>
      </c>
      <c r="G857" t="str">
        <f t="shared" si="106"/>
        <v>SPUReserved-78</v>
      </c>
      <c r="H857" s="2" t="s">
        <v>67</v>
      </c>
      <c r="O857" s="2" t="s">
        <v>2678</v>
      </c>
      <c r="P857" s="3" t="str">
        <f t="shared" si="107"/>
        <v>NR</v>
      </c>
      <c r="R857" s="127">
        <f t="shared" si="108"/>
        <v>0</v>
      </c>
    </row>
    <row r="858" spans="1:18" hidden="1">
      <c r="A858">
        <f t="shared" si="105"/>
        <v>889</v>
      </c>
      <c r="B858" s="42" t="s">
        <v>30</v>
      </c>
      <c r="C858" s="313">
        <f>SUMIF('Employees Supported'!$A$2:$A$29,$B858,'Employees Supported'!$C$2:$C$29)</f>
        <v>300</v>
      </c>
      <c r="E858" s="2">
        <f t="shared" si="104"/>
        <v>78</v>
      </c>
      <c r="F858" t="str">
        <f t="shared" si="109"/>
        <v>Reserved-78</v>
      </c>
      <c r="G858" t="str">
        <f t="shared" si="106"/>
        <v>LibrariesReserved-78</v>
      </c>
      <c r="H858" s="2" t="s">
        <v>67</v>
      </c>
      <c r="O858" s="2" t="s">
        <v>2678</v>
      </c>
      <c r="P858" s="3" t="str">
        <f t="shared" si="107"/>
        <v>NR</v>
      </c>
      <c r="R858" s="127">
        <f t="shared" si="108"/>
        <v>0</v>
      </c>
    </row>
    <row r="859" spans="1:18" hidden="1">
      <c r="A859">
        <f t="shared" si="105"/>
        <v>890</v>
      </c>
      <c r="B859" s="42" t="s">
        <v>26</v>
      </c>
      <c r="C859" s="313">
        <f>SUMIF('Employees Supported'!$A$2:$A$29,$B859,'Employees Supported'!$C$2:$C$29)</f>
        <v>400</v>
      </c>
      <c r="E859" s="2">
        <f t="shared" si="104"/>
        <v>78</v>
      </c>
      <c r="F859" t="str">
        <f t="shared" si="109"/>
        <v>Reserved-78</v>
      </c>
      <c r="G859" t="str">
        <f t="shared" si="106"/>
        <v>ParksReserved-78</v>
      </c>
      <c r="H859" s="2" t="s">
        <v>67</v>
      </c>
      <c r="O859" s="2" t="s">
        <v>2678</v>
      </c>
      <c r="P859" s="3" t="str">
        <f t="shared" si="107"/>
        <v>NR</v>
      </c>
      <c r="R859" s="127">
        <f t="shared" si="108"/>
        <v>0</v>
      </c>
    </row>
    <row r="860" spans="1:18" hidden="1">
      <c r="A860">
        <f t="shared" si="105"/>
        <v>891</v>
      </c>
      <c r="B860" s="42" t="s">
        <v>32</v>
      </c>
      <c r="C860" s="313">
        <f>SUMIF('Employees Supported'!$A$2:$A$29,$B860,'Employees Supported'!$C$2:$C$29)</f>
        <v>400</v>
      </c>
      <c r="E860" s="2">
        <f t="shared" si="104"/>
        <v>78</v>
      </c>
      <c r="F860" t="str">
        <f t="shared" si="109"/>
        <v>Reserved-78</v>
      </c>
      <c r="G860" t="str">
        <f t="shared" si="106"/>
        <v>Seattle CtrReserved-78</v>
      </c>
      <c r="H860" s="2" t="s">
        <v>67</v>
      </c>
      <c r="O860" s="2" t="s">
        <v>2678</v>
      </c>
      <c r="P860" s="3" t="str">
        <f t="shared" si="107"/>
        <v>NR</v>
      </c>
      <c r="R860" s="127">
        <f t="shared" si="108"/>
        <v>0</v>
      </c>
    </row>
    <row r="861" spans="1:18">
      <c r="A861">
        <f t="shared" si="105"/>
        <v>892</v>
      </c>
      <c r="B861" s="42" t="s">
        <v>23</v>
      </c>
      <c r="C861" s="313">
        <v>6500</v>
      </c>
      <c r="E861" s="2">
        <f>+E850+1</f>
        <v>79</v>
      </c>
      <c r="F861" t="str">
        <f t="shared" si="109"/>
        <v>Reserved-79</v>
      </c>
      <c r="G861" t="str">
        <f t="shared" si="106"/>
        <v>FAS-CentralizedReserved-79</v>
      </c>
      <c r="H861" s="2" t="s">
        <v>67</v>
      </c>
      <c r="O861" s="2" t="s">
        <v>2678</v>
      </c>
      <c r="P861" s="3" t="str">
        <f t="shared" si="107"/>
        <v>NR</v>
      </c>
      <c r="R861" s="127">
        <f t="shared" si="108"/>
        <v>0</v>
      </c>
    </row>
    <row r="862" spans="1:18" hidden="1">
      <c r="A862">
        <f t="shared" si="105"/>
        <v>893</v>
      </c>
      <c r="B862" s="42" t="s">
        <v>25</v>
      </c>
      <c r="C862" s="313">
        <f>SUMIF('Employees Supported'!$A$2:$A$29,$B862,'Employees Supported'!$C$2:$C$29)</f>
        <v>1500</v>
      </c>
      <c r="E862" s="2">
        <f t="shared" si="104"/>
        <v>79</v>
      </c>
      <c r="F862" t="str">
        <f t="shared" si="109"/>
        <v>Reserved-79</v>
      </c>
      <c r="G862" t="str">
        <f t="shared" si="106"/>
        <v>SPDReserved-79</v>
      </c>
      <c r="H862" s="2" t="s">
        <v>67</v>
      </c>
      <c r="O862" s="2" t="s">
        <v>2678</v>
      </c>
      <c r="P862" s="3" t="str">
        <f t="shared" si="107"/>
        <v>NR</v>
      </c>
      <c r="R862" s="127">
        <f t="shared" si="108"/>
        <v>0</v>
      </c>
    </row>
    <row r="863" spans="1:18" hidden="1">
      <c r="A863">
        <f t="shared" si="105"/>
        <v>894</v>
      </c>
      <c r="B863" s="42" t="s">
        <v>24</v>
      </c>
      <c r="C863" s="313">
        <f>SUMIF('Employees Supported'!$A$2:$A$29,$B863,'Employees Supported'!$C$2:$C$29)</f>
        <v>1100</v>
      </c>
      <c r="E863" s="2">
        <f t="shared" si="104"/>
        <v>79</v>
      </c>
      <c r="F863" t="str">
        <f t="shared" si="109"/>
        <v>Reserved-79</v>
      </c>
      <c r="G863" t="str">
        <f t="shared" si="106"/>
        <v>SFDReserved-79</v>
      </c>
      <c r="H863" s="2" t="s">
        <v>67</v>
      </c>
      <c r="O863" s="2" t="s">
        <v>2678</v>
      </c>
      <c r="P863" s="3" t="str">
        <f t="shared" si="107"/>
        <v>NR</v>
      </c>
      <c r="R863" s="127">
        <f t="shared" si="108"/>
        <v>0</v>
      </c>
    </row>
    <row r="864" spans="1:18" hidden="1">
      <c r="A864">
        <f t="shared" si="105"/>
        <v>895</v>
      </c>
      <c r="B864" s="42" t="s">
        <v>28</v>
      </c>
      <c r="C864" s="313">
        <f>SUMIF('Employees Supported'!$A$2:$A$29,$B864,'Employees Supported'!$C$2:$C$29)</f>
        <v>1100</v>
      </c>
      <c r="E864" s="2">
        <f t="shared" si="104"/>
        <v>79</v>
      </c>
      <c r="F864" t="str">
        <f t="shared" si="109"/>
        <v>Reserved-79</v>
      </c>
      <c r="G864" t="str">
        <f t="shared" si="106"/>
        <v>SDOTReserved-79</v>
      </c>
      <c r="H864" s="2" t="s">
        <v>67</v>
      </c>
      <c r="O864" s="2" t="s">
        <v>2678</v>
      </c>
      <c r="P864" s="3" t="str">
        <f t="shared" si="107"/>
        <v>NR</v>
      </c>
      <c r="R864" s="127">
        <f t="shared" si="108"/>
        <v>0</v>
      </c>
    </row>
    <row r="865" spans="1:18" hidden="1">
      <c r="A865">
        <f t="shared" si="105"/>
        <v>896</v>
      </c>
      <c r="B865" s="42" t="s">
        <v>33</v>
      </c>
      <c r="C865" s="313">
        <f>SUMIF('Employees Supported'!$A$2:$A$29,$B865,'Employees Supported'!$C$2:$C$29)</f>
        <v>400</v>
      </c>
      <c r="E865" s="2">
        <f t="shared" si="104"/>
        <v>79</v>
      </c>
      <c r="F865" t="str">
        <f t="shared" si="109"/>
        <v>Reserved-79</v>
      </c>
      <c r="G865" t="str">
        <f t="shared" si="106"/>
        <v>SCLReserved-79</v>
      </c>
      <c r="H865" s="2" t="s">
        <v>67</v>
      </c>
      <c r="O865" s="2" t="s">
        <v>2678</v>
      </c>
      <c r="P865" s="3" t="str">
        <f t="shared" si="107"/>
        <v>NR</v>
      </c>
      <c r="R865" s="127">
        <f t="shared" si="108"/>
        <v>0</v>
      </c>
    </row>
    <row r="866" spans="1:18" hidden="1">
      <c r="A866">
        <f t="shared" si="105"/>
        <v>897</v>
      </c>
      <c r="B866" s="42" t="s">
        <v>31</v>
      </c>
      <c r="C866" s="313">
        <f>SUMIF('Employees Supported'!$A$2:$A$29,$B866,'Employees Supported'!$C$2:$C$29)</f>
        <v>700</v>
      </c>
      <c r="E866" s="2">
        <f t="shared" si="104"/>
        <v>79</v>
      </c>
      <c r="F866" t="str">
        <f t="shared" si="109"/>
        <v>Reserved-79</v>
      </c>
      <c r="G866" t="str">
        <f t="shared" si="106"/>
        <v>SeaITReserved-79</v>
      </c>
      <c r="H866" s="2" t="s">
        <v>67</v>
      </c>
      <c r="O866" s="2" t="s">
        <v>2678</v>
      </c>
      <c r="P866" s="3" t="str">
        <f t="shared" si="107"/>
        <v>NR</v>
      </c>
      <c r="R866" s="127">
        <f t="shared" si="108"/>
        <v>0</v>
      </c>
    </row>
    <row r="867" spans="1:18" hidden="1">
      <c r="A867">
        <f t="shared" si="105"/>
        <v>898</v>
      </c>
      <c r="B867" s="42" t="s">
        <v>29</v>
      </c>
      <c r="C867" s="313">
        <f>SUMIF('Employees Supported'!$A$2:$A$29,$B867,'Employees Supported'!$C$2:$C$29)</f>
        <v>550</v>
      </c>
      <c r="E867" s="2">
        <f t="shared" si="104"/>
        <v>79</v>
      </c>
      <c r="F867" t="str">
        <f t="shared" si="109"/>
        <v>Reserved-79</v>
      </c>
      <c r="G867" t="str">
        <f t="shared" si="106"/>
        <v>SDCIReserved-79</v>
      </c>
      <c r="H867" s="2" t="s">
        <v>67</v>
      </c>
      <c r="O867" s="2" t="s">
        <v>2678</v>
      </c>
      <c r="P867" s="3" t="str">
        <f t="shared" si="107"/>
        <v>NR</v>
      </c>
      <c r="R867" s="127">
        <f t="shared" si="108"/>
        <v>0</v>
      </c>
    </row>
    <row r="868" spans="1:18" hidden="1">
      <c r="A868">
        <f t="shared" si="105"/>
        <v>899</v>
      </c>
      <c r="B868" s="42" t="s">
        <v>27</v>
      </c>
      <c r="C868" s="313">
        <f>SUMIF('Employees Supported'!$A$2:$A$29,$B868,'Employees Supported'!$C$2:$C$29)</f>
        <v>400</v>
      </c>
      <c r="E868" s="2">
        <f t="shared" si="104"/>
        <v>79</v>
      </c>
      <c r="F868" t="str">
        <f t="shared" si="109"/>
        <v>Reserved-79</v>
      </c>
      <c r="G868" t="str">
        <f t="shared" si="106"/>
        <v>SPUReserved-79</v>
      </c>
      <c r="H868" s="2" t="s">
        <v>67</v>
      </c>
      <c r="O868" s="2" t="s">
        <v>2678</v>
      </c>
      <c r="P868" s="3" t="str">
        <f t="shared" si="107"/>
        <v>NR</v>
      </c>
      <c r="R868" s="127">
        <f t="shared" si="108"/>
        <v>0</v>
      </c>
    </row>
    <row r="869" spans="1:18" hidden="1">
      <c r="A869">
        <f t="shared" si="105"/>
        <v>900</v>
      </c>
      <c r="B869" s="42" t="s">
        <v>30</v>
      </c>
      <c r="C869" s="313">
        <f>SUMIF('Employees Supported'!$A$2:$A$29,$B869,'Employees Supported'!$C$2:$C$29)</f>
        <v>300</v>
      </c>
      <c r="E869" s="2">
        <f t="shared" si="104"/>
        <v>79</v>
      </c>
      <c r="F869" t="str">
        <f t="shared" si="109"/>
        <v>Reserved-79</v>
      </c>
      <c r="G869" t="str">
        <f t="shared" si="106"/>
        <v>LibrariesReserved-79</v>
      </c>
      <c r="H869" s="2" t="s">
        <v>67</v>
      </c>
      <c r="O869" s="2" t="s">
        <v>2678</v>
      </c>
      <c r="P869" s="3" t="str">
        <f t="shared" si="107"/>
        <v>NR</v>
      </c>
      <c r="R869" s="127">
        <f t="shared" si="108"/>
        <v>0</v>
      </c>
    </row>
    <row r="870" spans="1:18" hidden="1">
      <c r="A870">
        <f t="shared" si="105"/>
        <v>901</v>
      </c>
      <c r="B870" s="42" t="s">
        <v>26</v>
      </c>
      <c r="C870" s="313">
        <f>SUMIF('Employees Supported'!$A$2:$A$29,$B870,'Employees Supported'!$C$2:$C$29)</f>
        <v>400</v>
      </c>
      <c r="E870" s="2">
        <f t="shared" si="104"/>
        <v>79</v>
      </c>
      <c r="F870" t="str">
        <f t="shared" si="109"/>
        <v>Reserved-79</v>
      </c>
      <c r="G870" t="str">
        <f t="shared" si="106"/>
        <v>ParksReserved-79</v>
      </c>
      <c r="H870" s="2" t="s">
        <v>67</v>
      </c>
      <c r="O870" s="2" t="s">
        <v>2678</v>
      </c>
      <c r="P870" s="3" t="str">
        <f t="shared" si="107"/>
        <v>NR</v>
      </c>
      <c r="R870" s="127">
        <f t="shared" si="108"/>
        <v>0</v>
      </c>
    </row>
    <row r="871" spans="1:18" hidden="1">
      <c r="A871">
        <f t="shared" si="105"/>
        <v>902</v>
      </c>
      <c r="B871" s="42" t="s">
        <v>32</v>
      </c>
      <c r="C871" s="313">
        <f>SUMIF('Employees Supported'!$A$2:$A$29,$B871,'Employees Supported'!$C$2:$C$29)</f>
        <v>400</v>
      </c>
      <c r="E871" s="2">
        <f t="shared" ref="E871" si="110">+E860+1</f>
        <v>79</v>
      </c>
      <c r="F871" t="str">
        <f t="shared" si="109"/>
        <v>Reserved-79</v>
      </c>
      <c r="G871" t="str">
        <f t="shared" si="106"/>
        <v>Seattle CtrReserved-79</v>
      </c>
      <c r="H871" s="2" t="s">
        <v>67</v>
      </c>
      <c r="O871" s="2" t="s">
        <v>2678</v>
      </c>
      <c r="P871" s="3" t="str">
        <f t="shared" si="107"/>
        <v>NR</v>
      </c>
      <c r="R871" s="127">
        <f t="shared" si="108"/>
        <v>0</v>
      </c>
    </row>
    <row r="872" spans="1:18">
      <c r="A872">
        <f t="shared" si="105"/>
        <v>903</v>
      </c>
      <c r="B872" s="42" t="s">
        <v>23</v>
      </c>
      <c r="C872" s="313">
        <v>6500</v>
      </c>
      <c r="E872" s="2">
        <f>+E861+1</f>
        <v>80</v>
      </c>
      <c r="F872" t="str">
        <f t="shared" si="109"/>
        <v>Reserved-80</v>
      </c>
      <c r="G872" t="str">
        <f t="shared" si="106"/>
        <v>FAS-CentralizedReserved-80</v>
      </c>
      <c r="H872" s="2" t="s">
        <v>67</v>
      </c>
      <c r="O872" s="2" t="s">
        <v>2678</v>
      </c>
      <c r="P872" s="3" t="str">
        <f t="shared" si="107"/>
        <v>NR</v>
      </c>
      <c r="R872" s="127">
        <f t="shared" si="108"/>
        <v>0</v>
      </c>
    </row>
    <row r="873" spans="1:18" hidden="1">
      <c r="A873">
        <f t="shared" si="105"/>
        <v>904</v>
      </c>
      <c r="B873" s="42" t="s">
        <v>25</v>
      </c>
      <c r="C873" s="313">
        <f>SUMIF('Employees Supported'!$A$2:$A$29,$B873,'Employees Supported'!$C$2:$C$29)</f>
        <v>1500</v>
      </c>
      <c r="E873" s="2">
        <f t="shared" ref="E873:E893" si="111">+E862+1</f>
        <v>80</v>
      </c>
      <c r="F873" t="str">
        <f t="shared" si="109"/>
        <v>Reserved-80</v>
      </c>
      <c r="G873" t="str">
        <f t="shared" si="106"/>
        <v>SPDReserved-80</v>
      </c>
      <c r="H873" s="2" t="s">
        <v>67</v>
      </c>
      <c r="O873" s="2" t="s">
        <v>2678</v>
      </c>
      <c r="P873" s="3" t="str">
        <f t="shared" si="107"/>
        <v>NR</v>
      </c>
      <c r="R873" s="127">
        <f t="shared" si="108"/>
        <v>0</v>
      </c>
    </row>
    <row r="874" spans="1:18" hidden="1">
      <c r="A874">
        <f t="shared" si="105"/>
        <v>905</v>
      </c>
      <c r="B874" s="42" t="s">
        <v>24</v>
      </c>
      <c r="C874" s="313">
        <f>SUMIF('Employees Supported'!$A$2:$A$29,$B874,'Employees Supported'!$C$2:$C$29)</f>
        <v>1100</v>
      </c>
      <c r="E874" s="2">
        <f t="shared" si="111"/>
        <v>80</v>
      </c>
      <c r="F874" t="str">
        <f t="shared" si="109"/>
        <v>Reserved-80</v>
      </c>
      <c r="G874" t="str">
        <f t="shared" si="106"/>
        <v>SFDReserved-80</v>
      </c>
      <c r="H874" s="2" t="s">
        <v>67</v>
      </c>
      <c r="O874" s="2" t="s">
        <v>2678</v>
      </c>
      <c r="P874" s="3" t="str">
        <f t="shared" si="107"/>
        <v>NR</v>
      </c>
      <c r="R874" s="127">
        <f t="shared" si="108"/>
        <v>0</v>
      </c>
    </row>
    <row r="875" spans="1:18" hidden="1">
      <c r="A875">
        <f t="shared" si="105"/>
        <v>906</v>
      </c>
      <c r="B875" s="42" t="s">
        <v>28</v>
      </c>
      <c r="C875" s="313">
        <f>SUMIF('Employees Supported'!$A$2:$A$29,$B875,'Employees Supported'!$C$2:$C$29)</f>
        <v>1100</v>
      </c>
      <c r="E875" s="2">
        <f t="shared" si="111"/>
        <v>80</v>
      </c>
      <c r="F875" t="str">
        <f t="shared" si="109"/>
        <v>Reserved-80</v>
      </c>
      <c r="G875" t="str">
        <f t="shared" si="106"/>
        <v>SDOTReserved-80</v>
      </c>
      <c r="H875" s="2" t="s">
        <v>67</v>
      </c>
      <c r="O875" s="2" t="s">
        <v>2678</v>
      </c>
      <c r="P875" s="3" t="str">
        <f t="shared" si="107"/>
        <v>NR</v>
      </c>
      <c r="R875" s="127">
        <f t="shared" si="108"/>
        <v>0</v>
      </c>
    </row>
    <row r="876" spans="1:18" hidden="1">
      <c r="A876">
        <f t="shared" si="105"/>
        <v>907</v>
      </c>
      <c r="B876" s="42" t="s">
        <v>33</v>
      </c>
      <c r="C876" s="313">
        <f>SUMIF('Employees Supported'!$A$2:$A$29,$B876,'Employees Supported'!$C$2:$C$29)</f>
        <v>400</v>
      </c>
      <c r="E876" s="2">
        <f t="shared" si="111"/>
        <v>80</v>
      </c>
      <c r="F876" t="str">
        <f t="shared" si="109"/>
        <v>Reserved-80</v>
      </c>
      <c r="G876" t="str">
        <f t="shared" si="106"/>
        <v>SCLReserved-80</v>
      </c>
      <c r="H876" s="2" t="s">
        <v>67</v>
      </c>
      <c r="O876" s="2" t="s">
        <v>2678</v>
      </c>
      <c r="P876" s="3" t="str">
        <f t="shared" si="107"/>
        <v>NR</v>
      </c>
      <c r="R876" s="127">
        <f t="shared" si="108"/>
        <v>0</v>
      </c>
    </row>
    <row r="877" spans="1:18" hidden="1">
      <c r="A877">
        <f t="shared" si="105"/>
        <v>908</v>
      </c>
      <c r="B877" s="42" t="s">
        <v>31</v>
      </c>
      <c r="C877" s="313">
        <f>SUMIF('Employees Supported'!$A$2:$A$29,$B877,'Employees Supported'!$C$2:$C$29)</f>
        <v>700</v>
      </c>
      <c r="E877" s="2">
        <f t="shared" si="111"/>
        <v>80</v>
      </c>
      <c r="F877" t="str">
        <f t="shared" si="109"/>
        <v>Reserved-80</v>
      </c>
      <c r="G877" t="str">
        <f t="shared" si="106"/>
        <v>SeaITReserved-80</v>
      </c>
      <c r="H877" s="2" t="s">
        <v>67</v>
      </c>
      <c r="O877" s="2" t="s">
        <v>2678</v>
      </c>
      <c r="P877" s="3" t="str">
        <f t="shared" si="107"/>
        <v>NR</v>
      </c>
      <c r="R877" s="127">
        <f t="shared" si="108"/>
        <v>0</v>
      </c>
    </row>
    <row r="878" spans="1:18" hidden="1">
      <c r="A878">
        <f t="shared" si="105"/>
        <v>909</v>
      </c>
      <c r="B878" s="42" t="s">
        <v>29</v>
      </c>
      <c r="C878" s="313">
        <f>SUMIF('Employees Supported'!$A$2:$A$29,$B878,'Employees Supported'!$C$2:$C$29)</f>
        <v>550</v>
      </c>
      <c r="E878" s="2">
        <f t="shared" si="111"/>
        <v>80</v>
      </c>
      <c r="F878" t="str">
        <f t="shared" si="109"/>
        <v>Reserved-80</v>
      </c>
      <c r="G878" t="str">
        <f t="shared" si="106"/>
        <v>SDCIReserved-80</v>
      </c>
      <c r="H878" s="2" t="s">
        <v>67</v>
      </c>
      <c r="O878" s="2" t="s">
        <v>2678</v>
      </c>
      <c r="P878" s="3" t="str">
        <f t="shared" si="107"/>
        <v>NR</v>
      </c>
      <c r="R878" s="127">
        <f t="shared" si="108"/>
        <v>0</v>
      </c>
    </row>
    <row r="879" spans="1:18" hidden="1">
      <c r="A879">
        <f t="shared" si="105"/>
        <v>910</v>
      </c>
      <c r="B879" s="42" t="s">
        <v>27</v>
      </c>
      <c r="C879" s="313">
        <f>SUMIF('Employees Supported'!$A$2:$A$29,$B879,'Employees Supported'!$C$2:$C$29)</f>
        <v>400</v>
      </c>
      <c r="E879" s="2">
        <f t="shared" si="111"/>
        <v>80</v>
      </c>
      <c r="F879" t="str">
        <f t="shared" si="109"/>
        <v>Reserved-80</v>
      </c>
      <c r="G879" t="str">
        <f t="shared" si="106"/>
        <v>SPUReserved-80</v>
      </c>
      <c r="H879" s="2" t="s">
        <v>67</v>
      </c>
      <c r="O879" s="2" t="s">
        <v>2678</v>
      </c>
      <c r="P879" s="3" t="str">
        <f t="shared" si="107"/>
        <v>NR</v>
      </c>
      <c r="R879" s="127">
        <f t="shared" si="108"/>
        <v>0</v>
      </c>
    </row>
    <row r="880" spans="1:18" hidden="1">
      <c r="A880">
        <f t="shared" si="105"/>
        <v>911</v>
      </c>
      <c r="B880" s="42" t="s">
        <v>30</v>
      </c>
      <c r="C880" s="313">
        <f>SUMIF('Employees Supported'!$A$2:$A$29,$B880,'Employees Supported'!$C$2:$C$29)</f>
        <v>300</v>
      </c>
      <c r="E880" s="2">
        <f t="shared" si="111"/>
        <v>80</v>
      </c>
      <c r="F880" t="str">
        <f t="shared" si="109"/>
        <v>Reserved-80</v>
      </c>
      <c r="G880" t="str">
        <f t="shared" si="106"/>
        <v>LibrariesReserved-80</v>
      </c>
      <c r="H880" s="2" t="s">
        <v>67</v>
      </c>
      <c r="O880" s="2" t="s">
        <v>2678</v>
      </c>
      <c r="P880" s="3" t="str">
        <f t="shared" si="107"/>
        <v>NR</v>
      </c>
      <c r="R880" s="127">
        <f t="shared" si="108"/>
        <v>0</v>
      </c>
    </row>
    <row r="881" spans="1:18" hidden="1">
      <c r="A881">
        <f t="shared" si="105"/>
        <v>912</v>
      </c>
      <c r="B881" s="42" t="s">
        <v>26</v>
      </c>
      <c r="C881" s="313">
        <f>SUMIF('Employees Supported'!$A$2:$A$29,$B881,'Employees Supported'!$C$2:$C$29)</f>
        <v>400</v>
      </c>
      <c r="E881" s="2">
        <f t="shared" si="111"/>
        <v>80</v>
      </c>
      <c r="F881" t="str">
        <f t="shared" si="109"/>
        <v>Reserved-80</v>
      </c>
      <c r="G881" t="str">
        <f t="shared" si="106"/>
        <v>ParksReserved-80</v>
      </c>
      <c r="H881" s="2" t="s">
        <v>67</v>
      </c>
      <c r="O881" s="2" t="s">
        <v>2678</v>
      </c>
      <c r="P881" s="3" t="str">
        <f t="shared" si="107"/>
        <v>NR</v>
      </c>
      <c r="R881" s="127">
        <f t="shared" si="108"/>
        <v>0</v>
      </c>
    </row>
    <row r="882" spans="1:18" hidden="1">
      <c r="A882">
        <f t="shared" si="105"/>
        <v>913</v>
      </c>
      <c r="B882" s="42" t="s">
        <v>32</v>
      </c>
      <c r="C882" s="313">
        <f>SUMIF('Employees Supported'!$A$2:$A$29,$B882,'Employees Supported'!$C$2:$C$29)</f>
        <v>400</v>
      </c>
      <c r="E882" s="2">
        <f t="shared" si="111"/>
        <v>80</v>
      </c>
      <c r="F882" t="str">
        <f t="shared" si="109"/>
        <v>Reserved-80</v>
      </c>
      <c r="G882" t="str">
        <f t="shared" si="106"/>
        <v>Seattle CtrReserved-80</v>
      </c>
      <c r="H882" s="2" t="s">
        <v>67</v>
      </c>
      <c r="O882" s="2" t="s">
        <v>2678</v>
      </c>
      <c r="P882" s="3" t="str">
        <f t="shared" si="107"/>
        <v>NR</v>
      </c>
      <c r="R882" s="127">
        <f t="shared" si="108"/>
        <v>0</v>
      </c>
    </row>
    <row r="883" spans="1:18">
      <c r="A883">
        <f t="shared" si="105"/>
        <v>914</v>
      </c>
      <c r="B883" s="42" t="s">
        <v>23</v>
      </c>
      <c r="C883" s="313">
        <v>6500</v>
      </c>
      <c r="E883" s="2">
        <f>+E872+1</f>
        <v>81</v>
      </c>
      <c r="F883" t="str">
        <f t="shared" si="109"/>
        <v>Reserved-81</v>
      </c>
      <c r="G883" t="str">
        <f t="shared" si="106"/>
        <v>FAS-CentralizedReserved-81</v>
      </c>
      <c r="H883" s="2" t="s">
        <v>67</v>
      </c>
      <c r="O883" s="2" t="s">
        <v>2678</v>
      </c>
      <c r="P883" s="3" t="str">
        <f t="shared" si="107"/>
        <v>NR</v>
      </c>
      <c r="R883" s="127">
        <f t="shared" si="108"/>
        <v>0</v>
      </c>
    </row>
    <row r="884" spans="1:18" hidden="1">
      <c r="A884">
        <f t="shared" si="105"/>
        <v>915</v>
      </c>
      <c r="B884" s="42" t="s">
        <v>25</v>
      </c>
      <c r="C884" s="313">
        <f>SUMIF('Employees Supported'!$A$2:$A$29,$B884,'Employees Supported'!$C$2:$C$29)</f>
        <v>1500</v>
      </c>
      <c r="E884" s="2">
        <f t="shared" si="111"/>
        <v>81</v>
      </c>
      <c r="F884" t="str">
        <f t="shared" si="109"/>
        <v>Reserved-81</v>
      </c>
      <c r="G884" t="str">
        <f t="shared" si="106"/>
        <v>SPDReserved-81</v>
      </c>
      <c r="H884" s="2" t="s">
        <v>67</v>
      </c>
      <c r="O884" s="2" t="s">
        <v>2678</v>
      </c>
      <c r="P884" s="3" t="str">
        <f t="shared" si="107"/>
        <v>NR</v>
      </c>
      <c r="R884" s="127">
        <f t="shared" si="108"/>
        <v>0</v>
      </c>
    </row>
    <row r="885" spans="1:18" hidden="1">
      <c r="A885">
        <f t="shared" si="105"/>
        <v>916</v>
      </c>
      <c r="B885" s="42" t="s">
        <v>24</v>
      </c>
      <c r="C885" s="313">
        <f>SUMIF('Employees Supported'!$A$2:$A$29,$B885,'Employees Supported'!$C$2:$C$29)</f>
        <v>1100</v>
      </c>
      <c r="E885" s="2">
        <f t="shared" si="111"/>
        <v>81</v>
      </c>
      <c r="F885" t="str">
        <f t="shared" si="109"/>
        <v>Reserved-81</v>
      </c>
      <c r="G885" t="str">
        <f t="shared" si="106"/>
        <v>SFDReserved-81</v>
      </c>
      <c r="H885" s="2" t="s">
        <v>67</v>
      </c>
      <c r="O885" s="2" t="s">
        <v>2678</v>
      </c>
      <c r="P885" s="3" t="str">
        <f t="shared" si="107"/>
        <v>NR</v>
      </c>
      <c r="R885" s="127">
        <f t="shared" si="108"/>
        <v>0</v>
      </c>
    </row>
    <row r="886" spans="1:18" hidden="1">
      <c r="A886">
        <f t="shared" si="105"/>
        <v>917</v>
      </c>
      <c r="B886" s="42" t="s">
        <v>28</v>
      </c>
      <c r="C886" s="313">
        <f>SUMIF('Employees Supported'!$A$2:$A$29,$B886,'Employees Supported'!$C$2:$C$29)</f>
        <v>1100</v>
      </c>
      <c r="E886" s="2">
        <f t="shared" si="111"/>
        <v>81</v>
      </c>
      <c r="F886" t="str">
        <f t="shared" si="109"/>
        <v>Reserved-81</v>
      </c>
      <c r="G886" t="str">
        <f t="shared" si="106"/>
        <v>SDOTReserved-81</v>
      </c>
      <c r="H886" s="2" t="s">
        <v>67</v>
      </c>
      <c r="O886" s="2" t="s">
        <v>2678</v>
      </c>
      <c r="P886" s="3" t="str">
        <f t="shared" si="107"/>
        <v>NR</v>
      </c>
      <c r="R886" s="127">
        <f t="shared" si="108"/>
        <v>0</v>
      </c>
    </row>
    <row r="887" spans="1:18" hidden="1">
      <c r="A887">
        <f t="shared" ref="A887:A950" si="112">+A886+1</f>
        <v>918</v>
      </c>
      <c r="B887" s="42" t="s">
        <v>33</v>
      </c>
      <c r="C887" s="313">
        <f>SUMIF('Employees Supported'!$A$2:$A$29,$B887,'Employees Supported'!$C$2:$C$29)</f>
        <v>400</v>
      </c>
      <c r="E887" s="2">
        <f t="shared" si="111"/>
        <v>81</v>
      </c>
      <c r="F887" t="str">
        <f t="shared" si="109"/>
        <v>Reserved-81</v>
      </c>
      <c r="G887" t="str">
        <f t="shared" si="106"/>
        <v>SCLReserved-81</v>
      </c>
      <c r="H887" s="2" t="s">
        <v>67</v>
      </c>
      <c r="O887" s="2" t="s">
        <v>2678</v>
      </c>
      <c r="P887" s="3" t="str">
        <f t="shared" si="107"/>
        <v>NR</v>
      </c>
      <c r="R887" s="127">
        <f t="shared" si="108"/>
        <v>0</v>
      </c>
    </row>
    <row r="888" spans="1:18" hidden="1">
      <c r="A888">
        <f t="shared" si="112"/>
        <v>919</v>
      </c>
      <c r="B888" s="42" t="s">
        <v>31</v>
      </c>
      <c r="C888" s="313">
        <f>SUMIF('Employees Supported'!$A$2:$A$29,$B888,'Employees Supported'!$C$2:$C$29)</f>
        <v>700</v>
      </c>
      <c r="E888" s="2">
        <f t="shared" si="111"/>
        <v>81</v>
      </c>
      <c r="F888" t="str">
        <f t="shared" si="109"/>
        <v>Reserved-81</v>
      </c>
      <c r="G888" t="str">
        <f t="shared" ref="G888:G951" si="113">_xlfn.SINGLE(_xlfn.CONCAT(B888,F888))</f>
        <v>SeaITReserved-81</v>
      </c>
      <c r="H888" s="2" t="s">
        <v>67</v>
      </c>
      <c r="O888" s="2" t="s">
        <v>2678</v>
      </c>
      <c r="P888" s="3" t="str">
        <f t="shared" ref="P888:P951" si="114">IF(O888="NR","NR",((((C888+D888)*I888)*90)+(J888*90)+(((C888+D888)*K888)*3)+(L888*3)+((C888+D888)*M888)+N888))</f>
        <v>NR</v>
      </c>
      <c r="R888" s="127">
        <f t="shared" ref="R888:R951" si="115">SUM(P888)/90</f>
        <v>0</v>
      </c>
    </row>
    <row r="889" spans="1:18" hidden="1">
      <c r="A889">
        <f t="shared" si="112"/>
        <v>920</v>
      </c>
      <c r="B889" s="42" t="s">
        <v>29</v>
      </c>
      <c r="C889" s="313">
        <f>SUMIF('Employees Supported'!$A$2:$A$29,$B889,'Employees Supported'!$C$2:$C$29)</f>
        <v>550</v>
      </c>
      <c r="E889" s="2">
        <f t="shared" si="111"/>
        <v>81</v>
      </c>
      <c r="F889" t="str">
        <f t="shared" si="109"/>
        <v>Reserved-81</v>
      </c>
      <c r="G889" t="str">
        <f t="shared" si="113"/>
        <v>SDCIReserved-81</v>
      </c>
      <c r="H889" s="2" t="s">
        <v>67</v>
      </c>
      <c r="O889" s="2" t="s">
        <v>2678</v>
      </c>
      <c r="P889" s="3" t="str">
        <f t="shared" si="114"/>
        <v>NR</v>
      </c>
      <c r="R889" s="127">
        <f t="shared" si="115"/>
        <v>0</v>
      </c>
    </row>
    <row r="890" spans="1:18" hidden="1">
      <c r="A890">
        <f t="shared" si="112"/>
        <v>921</v>
      </c>
      <c r="B890" s="42" t="s">
        <v>27</v>
      </c>
      <c r="C890" s="313">
        <f>SUMIF('Employees Supported'!$A$2:$A$29,$B890,'Employees Supported'!$C$2:$C$29)</f>
        <v>400</v>
      </c>
      <c r="E890" s="2">
        <f t="shared" si="111"/>
        <v>81</v>
      </c>
      <c r="F890" t="str">
        <f t="shared" si="109"/>
        <v>Reserved-81</v>
      </c>
      <c r="G890" t="str">
        <f t="shared" si="113"/>
        <v>SPUReserved-81</v>
      </c>
      <c r="H890" s="2" t="s">
        <v>67</v>
      </c>
      <c r="O890" s="2" t="s">
        <v>2678</v>
      </c>
      <c r="P890" s="3" t="str">
        <f t="shared" si="114"/>
        <v>NR</v>
      </c>
      <c r="R890" s="127">
        <f t="shared" si="115"/>
        <v>0</v>
      </c>
    </row>
    <row r="891" spans="1:18" hidden="1">
      <c r="A891">
        <f t="shared" si="112"/>
        <v>922</v>
      </c>
      <c r="B891" s="42" t="s">
        <v>30</v>
      </c>
      <c r="C891" s="313">
        <f>SUMIF('Employees Supported'!$A$2:$A$29,$B891,'Employees Supported'!$C$2:$C$29)</f>
        <v>300</v>
      </c>
      <c r="E891" s="2">
        <f t="shared" si="111"/>
        <v>81</v>
      </c>
      <c r="F891" t="str">
        <f t="shared" si="109"/>
        <v>Reserved-81</v>
      </c>
      <c r="G891" t="str">
        <f t="shared" si="113"/>
        <v>LibrariesReserved-81</v>
      </c>
      <c r="H891" s="2" t="s">
        <v>67</v>
      </c>
      <c r="O891" s="2" t="s">
        <v>2678</v>
      </c>
      <c r="P891" s="3" t="str">
        <f t="shared" si="114"/>
        <v>NR</v>
      </c>
      <c r="R891" s="127">
        <f t="shared" si="115"/>
        <v>0</v>
      </c>
    </row>
    <row r="892" spans="1:18" hidden="1">
      <c r="A892">
        <f t="shared" si="112"/>
        <v>923</v>
      </c>
      <c r="B892" s="42" t="s">
        <v>26</v>
      </c>
      <c r="C892" s="313">
        <f>SUMIF('Employees Supported'!$A$2:$A$29,$B892,'Employees Supported'!$C$2:$C$29)</f>
        <v>400</v>
      </c>
      <c r="E892" s="2">
        <f t="shared" si="111"/>
        <v>81</v>
      </c>
      <c r="F892" t="str">
        <f t="shared" si="109"/>
        <v>Reserved-81</v>
      </c>
      <c r="G892" t="str">
        <f t="shared" si="113"/>
        <v>ParksReserved-81</v>
      </c>
      <c r="H892" s="2" t="s">
        <v>67</v>
      </c>
      <c r="O892" s="2" t="s">
        <v>2678</v>
      </c>
      <c r="P892" s="3" t="str">
        <f t="shared" si="114"/>
        <v>NR</v>
      </c>
      <c r="R892" s="127">
        <f t="shared" si="115"/>
        <v>0</v>
      </c>
    </row>
    <row r="893" spans="1:18" hidden="1">
      <c r="A893">
        <f t="shared" si="112"/>
        <v>924</v>
      </c>
      <c r="B893" s="42" t="s">
        <v>32</v>
      </c>
      <c r="C893" s="313">
        <f>SUMIF('Employees Supported'!$A$2:$A$29,$B893,'Employees Supported'!$C$2:$C$29)</f>
        <v>400</v>
      </c>
      <c r="E893" s="2">
        <f t="shared" si="111"/>
        <v>81</v>
      </c>
      <c r="F893" t="str">
        <f t="shared" si="109"/>
        <v>Reserved-81</v>
      </c>
      <c r="G893" t="str">
        <f t="shared" si="113"/>
        <v>Seattle CtrReserved-81</v>
      </c>
      <c r="H893" s="2" t="s">
        <v>67</v>
      </c>
      <c r="O893" s="2" t="s">
        <v>2678</v>
      </c>
      <c r="P893" s="3" t="str">
        <f t="shared" si="114"/>
        <v>NR</v>
      </c>
      <c r="R893" s="127">
        <f t="shared" si="115"/>
        <v>0</v>
      </c>
    </row>
    <row r="894" spans="1:18">
      <c r="A894">
        <f t="shared" si="112"/>
        <v>925</v>
      </c>
      <c r="B894" s="42" t="s">
        <v>23</v>
      </c>
      <c r="C894" s="313">
        <v>6500</v>
      </c>
      <c r="E894" s="2">
        <f>+E883+1</f>
        <v>82</v>
      </c>
      <c r="F894" t="str">
        <f t="shared" si="109"/>
        <v>Reserved-82</v>
      </c>
      <c r="G894" t="str">
        <f t="shared" si="113"/>
        <v>FAS-CentralizedReserved-82</v>
      </c>
      <c r="H894" s="2" t="s">
        <v>67</v>
      </c>
      <c r="O894" s="2" t="s">
        <v>2678</v>
      </c>
      <c r="P894" s="3" t="str">
        <f t="shared" si="114"/>
        <v>NR</v>
      </c>
      <c r="R894" s="127">
        <f t="shared" si="115"/>
        <v>0</v>
      </c>
    </row>
    <row r="895" spans="1:18" hidden="1">
      <c r="A895">
        <f t="shared" si="112"/>
        <v>926</v>
      </c>
      <c r="B895" s="42" t="s">
        <v>25</v>
      </c>
      <c r="C895" s="313">
        <f>SUMIF('Employees Supported'!$A$2:$A$29,$B895,'Employees Supported'!$C$2:$C$29)</f>
        <v>1500</v>
      </c>
      <c r="E895" s="2">
        <f t="shared" ref="E895:E958" si="116">+E884+1</f>
        <v>82</v>
      </c>
      <c r="F895" t="str">
        <f t="shared" si="109"/>
        <v>Reserved-82</v>
      </c>
      <c r="G895" t="str">
        <f t="shared" si="113"/>
        <v>SPDReserved-82</v>
      </c>
      <c r="H895" s="2" t="s">
        <v>67</v>
      </c>
      <c r="O895" s="2" t="s">
        <v>2678</v>
      </c>
      <c r="P895" s="3" t="str">
        <f t="shared" si="114"/>
        <v>NR</v>
      </c>
      <c r="R895" s="127">
        <f t="shared" si="115"/>
        <v>0</v>
      </c>
    </row>
    <row r="896" spans="1:18" hidden="1">
      <c r="A896">
        <f t="shared" si="112"/>
        <v>927</v>
      </c>
      <c r="B896" s="42" t="s">
        <v>24</v>
      </c>
      <c r="C896" s="313">
        <f>SUMIF('Employees Supported'!$A$2:$A$29,$B896,'Employees Supported'!$C$2:$C$29)</f>
        <v>1100</v>
      </c>
      <c r="E896" s="2">
        <f t="shared" si="116"/>
        <v>82</v>
      </c>
      <c r="F896" t="str">
        <f t="shared" si="109"/>
        <v>Reserved-82</v>
      </c>
      <c r="G896" t="str">
        <f t="shared" si="113"/>
        <v>SFDReserved-82</v>
      </c>
      <c r="H896" s="2" t="s">
        <v>67</v>
      </c>
      <c r="O896" s="2" t="s">
        <v>2678</v>
      </c>
      <c r="P896" s="3" t="str">
        <f t="shared" si="114"/>
        <v>NR</v>
      </c>
      <c r="R896" s="127">
        <f t="shared" si="115"/>
        <v>0</v>
      </c>
    </row>
    <row r="897" spans="1:18" hidden="1">
      <c r="A897">
        <f t="shared" si="112"/>
        <v>928</v>
      </c>
      <c r="B897" s="42" t="s">
        <v>28</v>
      </c>
      <c r="C897" s="313">
        <f>SUMIF('Employees Supported'!$A$2:$A$29,$B897,'Employees Supported'!$C$2:$C$29)</f>
        <v>1100</v>
      </c>
      <c r="E897" s="2">
        <f t="shared" si="116"/>
        <v>82</v>
      </c>
      <c r="F897" t="str">
        <f t="shared" si="109"/>
        <v>Reserved-82</v>
      </c>
      <c r="G897" t="str">
        <f t="shared" si="113"/>
        <v>SDOTReserved-82</v>
      </c>
      <c r="H897" s="2" t="s">
        <v>67</v>
      </c>
      <c r="O897" s="2" t="s">
        <v>2678</v>
      </c>
      <c r="P897" s="3" t="str">
        <f t="shared" si="114"/>
        <v>NR</v>
      </c>
      <c r="R897" s="127">
        <f t="shared" si="115"/>
        <v>0</v>
      </c>
    </row>
    <row r="898" spans="1:18" hidden="1">
      <c r="A898">
        <f t="shared" si="112"/>
        <v>929</v>
      </c>
      <c r="B898" s="42" t="s">
        <v>33</v>
      </c>
      <c r="C898" s="313">
        <f>SUMIF('Employees Supported'!$A$2:$A$29,$B898,'Employees Supported'!$C$2:$C$29)</f>
        <v>400</v>
      </c>
      <c r="E898" s="2">
        <f t="shared" si="116"/>
        <v>82</v>
      </c>
      <c r="F898" t="str">
        <f t="shared" si="109"/>
        <v>Reserved-82</v>
      </c>
      <c r="G898" t="str">
        <f t="shared" si="113"/>
        <v>SCLReserved-82</v>
      </c>
      <c r="H898" s="2" t="s">
        <v>67</v>
      </c>
      <c r="O898" s="2" t="s">
        <v>2678</v>
      </c>
      <c r="P898" s="3" t="str">
        <f t="shared" si="114"/>
        <v>NR</v>
      </c>
      <c r="R898" s="127">
        <f t="shared" si="115"/>
        <v>0</v>
      </c>
    </row>
    <row r="899" spans="1:18" hidden="1">
      <c r="A899">
        <f t="shared" si="112"/>
        <v>930</v>
      </c>
      <c r="B899" s="42" t="s">
        <v>31</v>
      </c>
      <c r="C899" s="313">
        <f>SUMIF('Employees Supported'!$A$2:$A$29,$B899,'Employees Supported'!$C$2:$C$29)</f>
        <v>700</v>
      </c>
      <c r="E899" s="2">
        <f t="shared" si="116"/>
        <v>82</v>
      </c>
      <c r="F899" t="str">
        <f t="shared" si="109"/>
        <v>Reserved-82</v>
      </c>
      <c r="G899" t="str">
        <f t="shared" si="113"/>
        <v>SeaITReserved-82</v>
      </c>
      <c r="H899" s="2" t="s">
        <v>67</v>
      </c>
      <c r="O899" s="2" t="s">
        <v>2678</v>
      </c>
      <c r="P899" s="3" t="str">
        <f t="shared" si="114"/>
        <v>NR</v>
      </c>
      <c r="R899" s="127">
        <f t="shared" si="115"/>
        <v>0</v>
      </c>
    </row>
    <row r="900" spans="1:18" hidden="1">
      <c r="A900">
        <f t="shared" si="112"/>
        <v>931</v>
      </c>
      <c r="B900" s="42" t="s">
        <v>29</v>
      </c>
      <c r="C900" s="313">
        <f>SUMIF('Employees Supported'!$A$2:$A$29,$B900,'Employees Supported'!$C$2:$C$29)</f>
        <v>550</v>
      </c>
      <c r="E900" s="2">
        <f t="shared" si="116"/>
        <v>82</v>
      </c>
      <c r="F900" t="str">
        <f t="shared" si="109"/>
        <v>Reserved-82</v>
      </c>
      <c r="G900" t="str">
        <f t="shared" si="113"/>
        <v>SDCIReserved-82</v>
      </c>
      <c r="H900" s="2" t="s">
        <v>67</v>
      </c>
      <c r="O900" s="2" t="s">
        <v>2678</v>
      </c>
      <c r="P900" s="3" t="str">
        <f t="shared" si="114"/>
        <v>NR</v>
      </c>
      <c r="R900" s="127">
        <f t="shared" si="115"/>
        <v>0</v>
      </c>
    </row>
    <row r="901" spans="1:18" hidden="1">
      <c r="A901">
        <f t="shared" si="112"/>
        <v>932</v>
      </c>
      <c r="B901" s="42" t="s">
        <v>27</v>
      </c>
      <c r="C901" s="313">
        <f>SUMIF('Employees Supported'!$A$2:$A$29,$B901,'Employees Supported'!$C$2:$C$29)</f>
        <v>400</v>
      </c>
      <c r="E901" s="2">
        <f t="shared" si="116"/>
        <v>82</v>
      </c>
      <c r="F901" t="str">
        <f t="shared" si="109"/>
        <v>Reserved-82</v>
      </c>
      <c r="G901" t="str">
        <f t="shared" si="113"/>
        <v>SPUReserved-82</v>
      </c>
      <c r="H901" s="2" t="s">
        <v>67</v>
      </c>
      <c r="O901" s="2" t="s">
        <v>2678</v>
      </c>
      <c r="P901" s="3" t="str">
        <f t="shared" si="114"/>
        <v>NR</v>
      </c>
      <c r="R901" s="127">
        <f t="shared" si="115"/>
        <v>0</v>
      </c>
    </row>
    <row r="902" spans="1:18" hidden="1">
      <c r="A902">
        <f t="shared" si="112"/>
        <v>933</v>
      </c>
      <c r="B902" s="42" t="s">
        <v>30</v>
      </c>
      <c r="C902" s="313">
        <f>SUMIF('Employees Supported'!$A$2:$A$29,$B902,'Employees Supported'!$C$2:$C$29)</f>
        <v>300</v>
      </c>
      <c r="E902" s="2">
        <f t="shared" si="116"/>
        <v>82</v>
      </c>
      <c r="F902" t="str">
        <f t="shared" si="109"/>
        <v>Reserved-82</v>
      </c>
      <c r="G902" t="str">
        <f t="shared" si="113"/>
        <v>LibrariesReserved-82</v>
      </c>
      <c r="H902" s="2" t="s">
        <v>67</v>
      </c>
      <c r="O902" s="2" t="s">
        <v>2678</v>
      </c>
      <c r="P902" s="3" t="str">
        <f t="shared" si="114"/>
        <v>NR</v>
      </c>
      <c r="R902" s="127">
        <f t="shared" si="115"/>
        <v>0</v>
      </c>
    </row>
    <row r="903" spans="1:18" hidden="1">
      <c r="A903">
        <f t="shared" si="112"/>
        <v>934</v>
      </c>
      <c r="B903" s="42" t="s">
        <v>26</v>
      </c>
      <c r="C903" s="313">
        <f>SUMIF('Employees Supported'!$A$2:$A$29,$B903,'Employees Supported'!$C$2:$C$29)</f>
        <v>400</v>
      </c>
      <c r="E903" s="2">
        <f t="shared" si="116"/>
        <v>82</v>
      </c>
      <c r="F903" t="str">
        <f t="shared" si="109"/>
        <v>Reserved-82</v>
      </c>
      <c r="G903" t="str">
        <f t="shared" si="113"/>
        <v>ParksReserved-82</v>
      </c>
      <c r="H903" s="2" t="s">
        <v>67</v>
      </c>
      <c r="O903" s="2" t="s">
        <v>2678</v>
      </c>
      <c r="P903" s="3" t="str">
        <f t="shared" si="114"/>
        <v>NR</v>
      </c>
      <c r="R903" s="127">
        <f t="shared" si="115"/>
        <v>0</v>
      </c>
    </row>
    <row r="904" spans="1:18" hidden="1">
      <c r="A904">
        <f t="shared" si="112"/>
        <v>935</v>
      </c>
      <c r="B904" s="42" t="s">
        <v>32</v>
      </c>
      <c r="C904" s="313">
        <f>SUMIF('Employees Supported'!$A$2:$A$29,$B904,'Employees Supported'!$C$2:$C$29)</f>
        <v>400</v>
      </c>
      <c r="E904" s="2">
        <f t="shared" si="116"/>
        <v>82</v>
      </c>
      <c r="F904" t="str">
        <f t="shared" si="109"/>
        <v>Reserved-82</v>
      </c>
      <c r="G904" t="str">
        <f t="shared" si="113"/>
        <v>Seattle CtrReserved-82</v>
      </c>
      <c r="H904" s="2" t="s">
        <v>67</v>
      </c>
      <c r="O904" s="2" t="s">
        <v>2678</v>
      </c>
      <c r="P904" s="3" t="str">
        <f t="shared" si="114"/>
        <v>NR</v>
      </c>
      <c r="R904" s="127">
        <f t="shared" si="115"/>
        <v>0</v>
      </c>
    </row>
    <row r="905" spans="1:18">
      <c r="A905">
        <f t="shared" si="112"/>
        <v>936</v>
      </c>
      <c r="B905" s="42" t="s">
        <v>23</v>
      </c>
      <c r="C905" s="313">
        <v>6500</v>
      </c>
      <c r="E905" s="2">
        <f>+E894+1</f>
        <v>83</v>
      </c>
      <c r="F905" t="str">
        <f t="shared" si="109"/>
        <v>Reserved-83</v>
      </c>
      <c r="G905" t="str">
        <f t="shared" si="113"/>
        <v>FAS-CentralizedReserved-83</v>
      </c>
      <c r="H905" s="2" t="s">
        <v>67</v>
      </c>
      <c r="O905" s="2" t="s">
        <v>2678</v>
      </c>
      <c r="P905" s="3" t="str">
        <f t="shared" si="114"/>
        <v>NR</v>
      </c>
      <c r="R905" s="127">
        <f t="shared" si="115"/>
        <v>0</v>
      </c>
    </row>
    <row r="906" spans="1:18" hidden="1">
      <c r="A906">
        <f t="shared" si="112"/>
        <v>937</v>
      </c>
      <c r="B906" s="42" t="s">
        <v>25</v>
      </c>
      <c r="C906" s="313">
        <f>SUMIF('Employees Supported'!$A$2:$A$29,$B906,'Employees Supported'!$C$2:$C$29)</f>
        <v>1500</v>
      </c>
      <c r="E906" s="2">
        <f t="shared" si="116"/>
        <v>83</v>
      </c>
      <c r="F906" t="str">
        <f t="shared" si="109"/>
        <v>Reserved-83</v>
      </c>
      <c r="G906" t="str">
        <f t="shared" si="113"/>
        <v>SPDReserved-83</v>
      </c>
      <c r="H906" s="2" t="s">
        <v>67</v>
      </c>
      <c r="O906" s="2" t="s">
        <v>2678</v>
      </c>
      <c r="P906" s="3" t="str">
        <f t="shared" si="114"/>
        <v>NR</v>
      </c>
      <c r="R906" s="127">
        <f t="shared" si="115"/>
        <v>0</v>
      </c>
    </row>
    <row r="907" spans="1:18" hidden="1">
      <c r="A907">
        <f t="shared" si="112"/>
        <v>938</v>
      </c>
      <c r="B907" s="42" t="s">
        <v>24</v>
      </c>
      <c r="C907" s="313">
        <f>SUMIF('Employees Supported'!$A$2:$A$29,$B907,'Employees Supported'!$C$2:$C$29)</f>
        <v>1100</v>
      </c>
      <c r="E907" s="2">
        <f t="shared" si="116"/>
        <v>83</v>
      </c>
      <c r="F907" t="str">
        <f t="shared" ref="F907:F970" si="117">_xlfn.SINGLE(_xlfn.CONCAT("Reserved-",E907))</f>
        <v>Reserved-83</v>
      </c>
      <c r="G907" t="str">
        <f t="shared" si="113"/>
        <v>SFDReserved-83</v>
      </c>
      <c r="H907" s="2" t="s">
        <v>67</v>
      </c>
      <c r="O907" s="2" t="s">
        <v>2678</v>
      </c>
      <c r="P907" s="3" t="str">
        <f t="shared" si="114"/>
        <v>NR</v>
      </c>
      <c r="R907" s="127">
        <f t="shared" si="115"/>
        <v>0</v>
      </c>
    </row>
    <row r="908" spans="1:18" hidden="1">
      <c r="A908">
        <f t="shared" si="112"/>
        <v>939</v>
      </c>
      <c r="B908" s="42" t="s">
        <v>28</v>
      </c>
      <c r="C908" s="313">
        <f>SUMIF('Employees Supported'!$A$2:$A$29,$B908,'Employees Supported'!$C$2:$C$29)</f>
        <v>1100</v>
      </c>
      <c r="E908" s="2">
        <f t="shared" si="116"/>
        <v>83</v>
      </c>
      <c r="F908" t="str">
        <f t="shared" si="117"/>
        <v>Reserved-83</v>
      </c>
      <c r="G908" t="str">
        <f t="shared" si="113"/>
        <v>SDOTReserved-83</v>
      </c>
      <c r="H908" s="2" t="s">
        <v>67</v>
      </c>
      <c r="O908" s="2" t="s">
        <v>2678</v>
      </c>
      <c r="P908" s="3" t="str">
        <f t="shared" si="114"/>
        <v>NR</v>
      </c>
      <c r="R908" s="127">
        <f t="shared" si="115"/>
        <v>0</v>
      </c>
    </row>
    <row r="909" spans="1:18" hidden="1">
      <c r="A909">
        <f t="shared" si="112"/>
        <v>940</v>
      </c>
      <c r="B909" s="42" t="s">
        <v>33</v>
      </c>
      <c r="C909" s="313">
        <f>SUMIF('Employees Supported'!$A$2:$A$29,$B909,'Employees Supported'!$C$2:$C$29)</f>
        <v>400</v>
      </c>
      <c r="E909" s="2">
        <f t="shared" si="116"/>
        <v>83</v>
      </c>
      <c r="F909" t="str">
        <f t="shared" si="117"/>
        <v>Reserved-83</v>
      </c>
      <c r="G909" t="str">
        <f t="shared" si="113"/>
        <v>SCLReserved-83</v>
      </c>
      <c r="H909" s="2" t="s">
        <v>67</v>
      </c>
      <c r="O909" s="2" t="s">
        <v>2678</v>
      </c>
      <c r="P909" s="3" t="str">
        <f t="shared" si="114"/>
        <v>NR</v>
      </c>
      <c r="R909" s="127">
        <f t="shared" si="115"/>
        <v>0</v>
      </c>
    </row>
    <row r="910" spans="1:18" hidden="1">
      <c r="A910">
        <f t="shared" si="112"/>
        <v>941</v>
      </c>
      <c r="B910" s="42" t="s">
        <v>31</v>
      </c>
      <c r="C910" s="313">
        <f>SUMIF('Employees Supported'!$A$2:$A$29,$B910,'Employees Supported'!$C$2:$C$29)</f>
        <v>700</v>
      </c>
      <c r="E910" s="2">
        <f t="shared" si="116"/>
        <v>83</v>
      </c>
      <c r="F910" t="str">
        <f t="shared" si="117"/>
        <v>Reserved-83</v>
      </c>
      <c r="G910" t="str">
        <f t="shared" si="113"/>
        <v>SeaITReserved-83</v>
      </c>
      <c r="H910" s="2" t="s">
        <v>67</v>
      </c>
      <c r="O910" s="2" t="s">
        <v>2678</v>
      </c>
      <c r="P910" s="3" t="str">
        <f t="shared" si="114"/>
        <v>NR</v>
      </c>
      <c r="R910" s="127">
        <f t="shared" si="115"/>
        <v>0</v>
      </c>
    </row>
    <row r="911" spans="1:18" hidden="1">
      <c r="A911">
        <f t="shared" si="112"/>
        <v>942</v>
      </c>
      <c r="B911" s="42" t="s">
        <v>29</v>
      </c>
      <c r="C911" s="313">
        <f>SUMIF('Employees Supported'!$A$2:$A$29,$B911,'Employees Supported'!$C$2:$C$29)</f>
        <v>550</v>
      </c>
      <c r="E911" s="2">
        <f t="shared" si="116"/>
        <v>83</v>
      </c>
      <c r="F911" t="str">
        <f t="shared" si="117"/>
        <v>Reserved-83</v>
      </c>
      <c r="G911" t="str">
        <f t="shared" si="113"/>
        <v>SDCIReserved-83</v>
      </c>
      <c r="H911" s="2" t="s">
        <v>67</v>
      </c>
      <c r="O911" s="2" t="s">
        <v>2678</v>
      </c>
      <c r="P911" s="3" t="str">
        <f t="shared" si="114"/>
        <v>NR</v>
      </c>
      <c r="R911" s="127">
        <f t="shared" si="115"/>
        <v>0</v>
      </c>
    </row>
    <row r="912" spans="1:18" hidden="1">
      <c r="A912">
        <f t="shared" si="112"/>
        <v>943</v>
      </c>
      <c r="B912" s="42" t="s">
        <v>27</v>
      </c>
      <c r="C912" s="313">
        <f>SUMIF('Employees Supported'!$A$2:$A$29,$B912,'Employees Supported'!$C$2:$C$29)</f>
        <v>400</v>
      </c>
      <c r="E912" s="2">
        <f t="shared" si="116"/>
        <v>83</v>
      </c>
      <c r="F912" t="str">
        <f t="shared" si="117"/>
        <v>Reserved-83</v>
      </c>
      <c r="G912" t="str">
        <f t="shared" si="113"/>
        <v>SPUReserved-83</v>
      </c>
      <c r="H912" s="2" t="s">
        <v>67</v>
      </c>
      <c r="O912" s="2" t="s">
        <v>2678</v>
      </c>
      <c r="P912" s="3" t="str">
        <f t="shared" si="114"/>
        <v>NR</v>
      </c>
      <c r="R912" s="127">
        <f t="shared" si="115"/>
        <v>0</v>
      </c>
    </row>
    <row r="913" spans="1:18" hidden="1">
      <c r="A913">
        <f t="shared" si="112"/>
        <v>944</v>
      </c>
      <c r="B913" s="42" t="s">
        <v>30</v>
      </c>
      <c r="C913" s="313">
        <f>SUMIF('Employees Supported'!$A$2:$A$29,$B913,'Employees Supported'!$C$2:$C$29)</f>
        <v>300</v>
      </c>
      <c r="E913" s="2">
        <f t="shared" si="116"/>
        <v>83</v>
      </c>
      <c r="F913" t="str">
        <f t="shared" si="117"/>
        <v>Reserved-83</v>
      </c>
      <c r="G913" t="str">
        <f t="shared" si="113"/>
        <v>LibrariesReserved-83</v>
      </c>
      <c r="H913" s="2" t="s">
        <v>67</v>
      </c>
      <c r="O913" s="2" t="s">
        <v>2678</v>
      </c>
      <c r="P913" s="3" t="str">
        <f t="shared" si="114"/>
        <v>NR</v>
      </c>
      <c r="R913" s="127">
        <f t="shared" si="115"/>
        <v>0</v>
      </c>
    </row>
    <row r="914" spans="1:18" hidden="1">
      <c r="A914">
        <f t="shared" si="112"/>
        <v>945</v>
      </c>
      <c r="B914" s="42" t="s">
        <v>26</v>
      </c>
      <c r="C914" s="313">
        <f>SUMIF('Employees Supported'!$A$2:$A$29,$B914,'Employees Supported'!$C$2:$C$29)</f>
        <v>400</v>
      </c>
      <c r="E914" s="2">
        <f t="shared" si="116"/>
        <v>83</v>
      </c>
      <c r="F914" t="str">
        <f t="shared" si="117"/>
        <v>Reserved-83</v>
      </c>
      <c r="G914" t="str">
        <f t="shared" si="113"/>
        <v>ParksReserved-83</v>
      </c>
      <c r="H914" s="2" t="s">
        <v>67</v>
      </c>
      <c r="O914" s="2" t="s">
        <v>2678</v>
      </c>
      <c r="P914" s="3" t="str">
        <f t="shared" si="114"/>
        <v>NR</v>
      </c>
      <c r="R914" s="127">
        <f t="shared" si="115"/>
        <v>0</v>
      </c>
    </row>
    <row r="915" spans="1:18" hidden="1">
      <c r="A915">
        <f t="shared" si="112"/>
        <v>946</v>
      </c>
      <c r="B915" s="42" t="s">
        <v>32</v>
      </c>
      <c r="C915" s="313">
        <f>SUMIF('Employees Supported'!$A$2:$A$29,$B915,'Employees Supported'!$C$2:$C$29)</f>
        <v>400</v>
      </c>
      <c r="E915" s="2">
        <f t="shared" si="116"/>
        <v>83</v>
      </c>
      <c r="F915" t="str">
        <f t="shared" si="117"/>
        <v>Reserved-83</v>
      </c>
      <c r="G915" t="str">
        <f t="shared" si="113"/>
        <v>Seattle CtrReserved-83</v>
      </c>
      <c r="H915" s="2" t="s">
        <v>67</v>
      </c>
      <c r="O915" s="2" t="s">
        <v>2678</v>
      </c>
      <c r="P915" s="3" t="str">
        <f t="shared" si="114"/>
        <v>NR</v>
      </c>
      <c r="R915" s="127">
        <f t="shared" si="115"/>
        <v>0</v>
      </c>
    </row>
    <row r="916" spans="1:18">
      <c r="A916">
        <f t="shared" si="112"/>
        <v>947</v>
      </c>
      <c r="B916" s="42" t="s">
        <v>23</v>
      </c>
      <c r="C916" s="313">
        <v>6500</v>
      </c>
      <c r="E916" s="2">
        <f>+E905+1</f>
        <v>84</v>
      </c>
      <c r="F916" t="str">
        <f t="shared" si="117"/>
        <v>Reserved-84</v>
      </c>
      <c r="G916" t="str">
        <f t="shared" si="113"/>
        <v>FAS-CentralizedReserved-84</v>
      </c>
      <c r="H916" s="2" t="s">
        <v>67</v>
      </c>
      <c r="O916" s="2" t="s">
        <v>2678</v>
      </c>
      <c r="P916" s="3" t="str">
        <f t="shared" si="114"/>
        <v>NR</v>
      </c>
      <c r="R916" s="127">
        <f t="shared" si="115"/>
        <v>0</v>
      </c>
    </row>
    <row r="917" spans="1:18" hidden="1">
      <c r="A917">
        <f t="shared" si="112"/>
        <v>948</v>
      </c>
      <c r="B917" s="42" t="s">
        <v>25</v>
      </c>
      <c r="C917" s="313">
        <f>SUMIF('Employees Supported'!$A$2:$A$29,$B917,'Employees Supported'!$C$2:$C$29)</f>
        <v>1500</v>
      </c>
      <c r="E917" s="2">
        <f t="shared" si="116"/>
        <v>84</v>
      </c>
      <c r="F917" t="str">
        <f t="shared" si="117"/>
        <v>Reserved-84</v>
      </c>
      <c r="G917" t="str">
        <f t="shared" si="113"/>
        <v>SPDReserved-84</v>
      </c>
      <c r="H917" s="2" t="s">
        <v>67</v>
      </c>
      <c r="O917" s="2" t="s">
        <v>2678</v>
      </c>
      <c r="P917" s="3" t="str">
        <f t="shared" si="114"/>
        <v>NR</v>
      </c>
      <c r="R917" s="127">
        <f t="shared" si="115"/>
        <v>0</v>
      </c>
    </row>
    <row r="918" spans="1:18" hidden="1">
      <c r="A918">
        <f t="shared" si="112"/>
        <v>949</v>
      </c>
      <c r="B918" s="42" t="s">
        <v>24</v>
      </c>
      <c r="C918" s="313">
        <f>SUMIF('Employees Supported'!$A$2:$A$29,$B918,'Employees Supported'!$C$2:$C$29)</f>
        <v>1100</v>
      </c>
      <c r="E918" s="2">
        <f t="shared" si="116"/>
        <v>84</v>
      </c>
      <c r="F918" t="str">
        <f t="shared" si="117"/>
        <v>Reserved-84</v>
      </c>
      <c r="G918" t="str">
        <f t="shared" si="113"/>
        <v>SFDReserved-84</v>
      </c>
      <c r="H918" s="2" t="s">
        <v>67</v>
      </c>
      <c r="O918" s="2" t="s">
        <v>2678</v>
      </c>
      <c r="P918" s="3" t="str">
        <f t="shared" si="114"/>
        <v>NR</v>
      </c>
      <c r="R918" s="127">
        <f t="shared" si="115"/>
        <v>0</v>
      </c>
    </row>
    <row r="919" spans="1:18" hidden="1">
      <c r="A919">
        <f t="shared" si="112"/>
        <v>950</v>
      </c>
      <c r="B919" s="42" t="s">
        <v>28</v>
      </c>
      <c r="C919" s="313">
        <f>SUMIF('Employees Supported'!$A$2:$A$29,$B919,'Employees Supported'!$C$2:$C$29)</f>
        <v>1100</v>
      </c>
      <c r="E919" s="2">
        <f t="shared" si="116"/>
        <v>84</v>
      </c>
      <c r="F919" t="str">
        <f t="shared" si="117"/>
        <v>Reserved-84</v>
      </c>
      <c r="G919" t="str">
        <f t="shared" si="113"/>
        <v>SDOTReserved-84</v>
      </c>
      <c r="H919" s="2" t="s">
        <v>67</v>
      </c>
      <c r="O919" s="2" t="s">
        <v>2678</v>
      </c>
      <c r="P919" s="3" t="str">
        <f t="shared" si="114"/>
        <v>NR</v>
      </c>
      <c r="R919" s="127">
        <f t="shared" si="115"/>
        <v>0</v>
      </c>
    </row>
    <row r="920" spans="1:18" hidden="1">
      <c r="A920">
        <f t="shared" si="112"/>
        <v>951</v>
      </c>
      <c r="B920" s="42" t="s">
        <v>33</v>
      </c>
      <c r="C920" s="313">
        <f>SUMIF('Employees Supported'!$A$2:$A$29,$B920,'Employees Supported'!$C$2:$C$29)</f>
        <v>400</v>
      </c>
      <c r="E920" s="2">
        <f t="shared" si="116"/>
        <v>84</v>
      </c>
      <c r="F920" t="str">
        <f t="shared" si="117"/>
        <v>Reserved-84</v>
      </c>
      <c r="G920" t="str">
        <f t="shared" si="113"/>
        <v>SCLReserved-84</v>
      </c>
      <c r="H920" s="2" t="s">
        <v>67</v>
      </c>
      <c r="O920" s="2" t="s">
        <v>2678</v>
      </c>
      <c r="P920" s="3" t="str">
        <f t="shared" si="114"/>
        <v>NR</v>
      </c>
      <c r="R920" s="127">
        <f t="shared" si="115"/>
        <v>0</v>
      </c>
    </row>
    <row r="921" spans="1:18" hidden="1">
      <c r="A921">
        <f t="shared" si="112"/>
        <v>952</v>
      </c>
      <c r="B921" s="42" t="s">
        <v>31</v>
      </c>
      <c r="C921" s="313">
        <f>SUMIF('Employees Supported'!$A$2:$A$29,$B921,'Employees Supported'!$C$2:$C$29)</f>
        <v>700</v>
      </c>
      <c r="E921" s="2">
        <f t="shared" si="116"/>
        <v>84</v>
      </c>
      <c r="F921" t="str">
        <f t="shared" si="117"/>
        <v>Reserved-84</v>
      </c>
      <c r="G921" t="str">
        <f t="shared" si="113"/>
        <v>SeaITReserved-84</v>
      </c>
      <c r="H921" s="2" t="s">
        <v>67</v>
      </c>
      <c r="O921" s="2" t="s">
        <v>2678</v>
      </c>
      <c r="P921" s="3" t="str">
        <f t="shared" si="114"/>
        <v>NR</v>
      </c>
      <c r="R921" s="127">
        <f t="shared" si="115"/>
        <v>0</v>
      </c>
    </row>
    <row r="922" spans="1:18" hidden="1">
      <c r="A922">
        <f t="shared" si="112"/>
        <v>953</v>
      </c>
      <c r="B922" s="42" t="s">
        <v>29</v>
      </c>
      <c r="C922" s="313">
        <f>SUMIF('Employees Supported'!$A$2:$A$29,$B922,'Employees Supported'!$C$2:$C$29)</f>
        <v>550</v>
      </c>
      <c r="E922" s="2">
        <f t="shared" si="116"/>
        <v>84</v>
      </c>
      <c r="F922" t="str">
        <f t="shared" si="117"/>
        <v>Reserved-84</v>
      </c>
      <c r="G922" t="str">
        <f t="shared" si="113"/>
        <v>SDCIReserved-84</v>
      </c>
      <c r="H922" s="2" t="s">
        <v>67</v>
      </c>
      <c r="O922" s="2" t="s">
        <v>2678</v>
      </c>
      <c r="P922" s="3" t="str">
        <f t="shared" si="114"/>
        <v>NR</v>
      </c>
      <c r="R922" s="127">
        <f t="shared" si="115"/>
        <v>0</v>
      </c>
    </row>
    <row r="923" spans="1:18" hidden="1">
      <c r="A923">
        <f t="shared" si="112"/>
        <v>954</v>
      </c>
      <c r="B923" s="42" t="s">
        <v>27</v>
      </c>
      <c r="C923" s="313">
        <f>SUMIF('Employees Supported'!$A$2:$A$29,$B923,'Employees Supported'!$C$2:$C$29)</f>
        <v>400</v>
      </c>
      <c r="E923" s="2">
        <f t="shared" si="116"/>
        <v>84</v>
      </c>
      <c r="F923" t="str">
        <f t="shared" si="117"/>
        <v>Reserved-84</v>
      </c>
      <c r="G923" t="str">
        <f t="shared" si="113"/>
        <v>SPUReserved-84</v>
      </c>
      <c r="H923" s="2" t="s">
        <v>67</v>
      </c>
      <c r="O923" s="2" t="s">
        <v>2678</v>
      </c>
      <c r="P923" s="3" t="str">
        <f t="shared" si="114"/>
        <v>NR</v>
      </c>
      <c r="R923" s="127">
        <f t="shared" si="115"/>
        <v>0</v>
      </c>
    </row>
    <row r="924" spans="1:18" hidden="1">
      <c r="A924">
        <f t="shared" si="112"/>
        <v>955</v>
      </c>
      <c r="B924" s="42" t="s">
        <v>30</v>
      </c>
      <c r="C924" s="313">
        <f>SUMIF('Employees Supported'!$A$2:$A$29,$B924,'Employees Supported'!$C$2:$C$29)</f>
        <v>300</v>
      </c>
      <c r="E924" s="2">
        <f t="shared" si="116"/>
        <v>84</v>
      </c>
      <c r="F924" t="str">
        <f t="shared" si="117"/>
        <v>Reserved-84</v>
      </c>
      <c r="G924" t="str">
        <f t="shared" si="113"/>
        <v>LibrariesReserved-84</v>
      </c>
      <c r="H924" s="2" t="s">
        <v>67</v>
      </c>
      <c r="O924" s="2" t="s">
        <v>2678</v>
      </c>
      <c r="P924" s="3" t="str">
        <f t="shared" si="114"/>
        <v>NR</v>
      </c>
      <c r="R924" s="127">
        <f t="shared" si="115"/>
        <v>0</v>
      </c>
    </row>
    <row r="925" spans="1:18" hidden="1">
      <c r="A925">
        <f t="shared" si="112"/>
        <v>956</v>
      </c>
      <c r="B925" s="42" t="s">
        <v>26</v>
      </c>
      <c r="C925" s="313">
        <f>SUMIF('Employees Supported'!$A$2:$A$29,$B925,'Employees Supported'!$C$2:$C$29)</f>
        <v>400</v>
      </c>
      <c r="E925" s="2">
        <f t="shared" si="116"/>
        <v>84</v>
      </c>
      <c r="F925" t="str">
        <f t="shared" si="117"/>
        <v>Reserved-84</v>
      </c>
      <c r="G925" t="str">
        <f t="shared" si="113"/>
        <v>ParksReserved-84</v>
      </c>
      <c r="H925" s="2" t="s">
        <v>67</v>
      </c>
      <c r="O925" s="2" t="s">
        <v>2678</v>
      </c>
      <c r="P925" s="3" t="str">
        <f t="shared" si="114"/>
        <v>NR</v>
      </c>
      <c r="R925" s="127">
        <f t="shared" si="115"/>
        <v>0</v>
      </c>
    </row>
    <row r="926" spans="1:18" hidden="1">
      <c r="A926">
        <f t="shared" si="112"/>
        <v>957</v>
      </c>
      <c r="B926" s="42" t="s">
        <v>32</v>
      </c>
      <c r="C926" s="313">
        <f>SUMIF('Employees Supported'!$A$2:$A$29,$B926,'Employees Supported'!$C$2:$C$29)</f>
        <v>400</v>
      </c>
      <c r="E926" s="2">
        <f t="shared" si="116"/>
        <v>84</v>
      </c>
      <c r="F926" t="str">
        <f t="shared" si="117"/>
        <v>Reserved-84</v>
      </c>
      <c r="G926" t="str">
        <f t="shared" si="113"/>
        <v>Seattle CtrReserved-84</v>
      </c>
      <c r="H926" s="2" t="s">
        <v>67</v>
      </c>
      <c r="O926" s="2" t="s">
        <v>2678</v>
      </c>
      <c r="P926" s="3" t="str">
        <f t="shared" si="114"/>
        <v>NR</v>
      </c>
      <c r="R926" s="127">
        <f t="shared" si="115"/>
        <v>0</v>
      </c>
    </row>
    <row r="927" spans="1:18">
      <c r="A927">
        <f t="shared" si="112"/>
        <v>958</v>
      </c>
      <c r="B927" s="42" t="s">
        <v>23</v>
      </c>
      <c r="C927" s="313">
        <v>6500</v>
      </c>
      <c r="E927" s="2">
        <f>+E916+1</f>
        <v>85</v>
      </c>
      <c r="F927" t="str">
        <f t="shared" si="117"/>
        <v>Reserved-85</v>
      </c>
      <c r="G927" t="str">
        <f t="shared" si="113"/>
        <v>FAS-CentralizedReserved-85</v>
      </c>
      <c r="H927" s="2" t="s">
        <v>67</v>
      </c>
      <c r="O927" s="2" t="s">
        <v>2678</v>
      </c>
      <c r="P927" s="3" t="str">
        <f t="shared" si="114"/>
        <v>NR</v>
      </c>
      <c r="R927" s="127">
        <f t="shared" si="115"/>
        <v>0</v>
      </c>
    </row>
    <row r="928" spans="1:18" hidden="1">
      <c r="A928">
        <f t="shared" si="112"/>
        <v>959</v>
      </c>
      <c r="B928" s="42" t="s">
        <v>25</v>
      </c>
      <c r="C928" s="313">
        <f>SUMIF('Employees Supported'!$A$2:$A$29,$B928,'Employees Supported'!$C$2:$C$29)</f>
        <v>1500</v>
      </c>
      <c r="E928" s="2">
        <f t="shared" si="116"/>
        <v>85</v>
      </c>
      <c r="F928" t="str">
        <f t="shared" si="117"/>
        <v>Reserved-85</v>
      </c>
      <c r="G928" t="str">
        <f t="shared" si="113"/>
        <v>SPDReserved-85</v>
      </c>
      <c r="H928" s="2" t="s">
        <v>67</v>
      </c>
      <c r="O928" s="2" t="s">
        <v>2678</v>
      </c>
      <c r="P928" s="3" t="str">
        <f t="shared" si="114"/>
        <v>NR</v>
      </c>
      <c r="R928" s="127">
        <f t="shared" si="115"/>
        <v>0</v>
      </c>
    </row>
    <row r="929" spans="1:18" hidden="1">
      <c r="A929">
        <f t="shared" si="112"/>
        <v>960</v>
      </c>
      <c r="B929" s="42" t="s">
        <v>24</v>
      </c>
      <c r="C929" s="313">
        <f>SUMIF('Employees Supported'!$A$2:$A$29,$B929,'Employees Supported'!$C$2:$C$29)</f>
        <v>1100</v>
      </c>
      <c r="E929" s="2">
        <f t="shared" si="116"/>
        <v>85</v>
      </c>
      <c r="F929" t="str">
        <f t="shared" si="117"/>
        <v>Reserved-85</v>
      </c>
      <c r="G929" t="str">
        <f t="shared" si="113"/>
        <v>SFDReserved-85</v>
      </c>
      <c r="H929" s="2" t="s">
        <v>67</v>
      </c>
      <c r="O929" s="2" t="s">
        <v>2678</v>
      </c>
      <c r="P929" s="3" t="str">
        <f t="shared" si="114"/>
        <v>NR</v>
      </c>
      <c r="R929" s="127">
        <f t="shared" si="115"/>
        <v>0</v>
      </c>
    </row>
    <row r="930" spans="1:18" hidden="1">
      <c r="A930">
        <f t="shared" si="112"/>
        <v>961</v>
      </c>
      <c r="B930" s="42" t="s">
        <v>28</v>
      </c>
      <c r="C930" s="313">
        <f>SUMIF('Employees Supported'!$A$2:$A$29,$B930,'Employees Supported'!$C$2:$C$29)</f>
        <v>1100</v>
      </c>
      <c r="E930" s="2">
        <f t="shared" si="116"/>
        <v>85</v>
      </c>
      <c r="F930" t="str">
        <f t="shared" si="117"/>
        <v>Reserved-85</v>
      </c>
      <c r="G930" t="str">
        <f t="shared" si="113"/>
        <v>SDOTReserved-85</v>
      </c>
      <c r="H930" s="2" t="s">
        <v>67</v>
      </c>
      <c r="O930" s="2" t="s">
        <v>2678</v>
      </c>
      <c r="P930" s="3" t="str">
        <f t="shared" si="114"/>
        <v>NR</v>
      </c>
      <c r="R930" s="127">
        <f t="shared" si="115"/>
        <v>0</v>
      </c>
    </row>
    <row r="931" spans="1:18" hidden="1">
      <c r="A931">
        <f t="shared" si="112"/>
        <v>962</v>
      </c>
      <c r="B931" s="42" t="s">
        <v>33</v>
      </c>
      <c r="C931" s="313">
        <f>SUMIF('Employees Supported'!$A$2:$A$29,$B931,'Employees Supported'!$C$2:$C$29)</f>
        <v>400</v>
      </c>
      <c r="E931" s="2">
        <f t="shared" si="116"/>
        <v>85</v>
      </c>
      <c r="F931" t="str">
        <f t="shared" si="117"/>
        <v>Reserved-85</v>
      </c>
      <c r="G931" t="str">
        <f t="shared" si="113"/>
        <v>SCLReserved-85</v>
      </c>
      <c r="H931" s="2" t="s">
        <v>67</v>
      </c>
      <c r="O931" s="2" t="s">
        <v>2678</v>
      </c>
      <c r="P931" s="3" t="str">
        <f t="shared" si="114"/>
        <v>NR</v>
      </c>
      <c r="R931" s="127">
        <f t="shared" si="115"/>
        <v>0</v>
      </c>
    </row>
    <row r="932" spans="1:18" hidden="1">
      <c r="A932">
        <f t="shared" si="112"/>
        <v>963</v>
      </c>
      <c r="B932" s="42" t="s">
        <v>31</v>
      </c>
      <c r="C932" s="313">
        <f>SUMIF('Employees Supported'!$A$2:$A$29,$B932,'Employees Supported'!$C$2:$C$29)</f>
        <v>700</v>
      </c>
      <c r="E932" s="2">
        <f t="shared" si="116"/>
        <v>85</v>
      </c>
      <c r="F932" t="str">
        <f t="shared" si="117"/>
        <v>Reserved-85</v>
      </c>
      <c r="G932" t="str">
        <f t="shared" si="113"/>
        <v>SeaITReserved-85</v>
      </c>
      <c r="H932" s="2" t="s">
        <v>67</v>
      </c>
      <c r="O932" s="2" t="s">
        <v>2678</v>
      </c>
      <c r="P932" s="3" t="str">
        <f t="shared" si="114"/>
        <v>NR</v>
      </c>
      <c r="R932" s="127">
        <f t="shared" si="115"/>
        <v>0</v>
      </c>
    </row>
    <row r="933" spans="1:18" hidden="1">
      <c r="A933">
        <f t="shared" si="112"/>
        <v>964</v>
      </c>
      <c r="B933" s="42" t="s">
        <v>29</v>
      </c>
      <c r="C933" s="313">
        <f>SUMIF('Employees Supported'!$A$2:$A$29,$B933,'Employees Supported'!$C$2:$C$29)</f>
        <v>550</v>
      </c>
      <c r="E933" s="2">
        <f t="shared" si="116"/>
        <v>85</v>
      </c>
      <c r="F933" t="str">
        <f t="shared" si="117"/>
        <v>Reserved-85</v>
      </c>
      <c r="G933" t="str">
        <f t="shared" si="113"/>
        <v>SDCIReserved-85</v>
      </c>
      <c r="H933" s="2" t="s">
        <v>67</v>
      </c>
      <c r="O933" s="2" t="s">
        <v>2678</v>
      </c>
      <c r="P933" s="3" t="str">
        <f t="shared" si="114"/>
        <v>NR</v>
      </c>
      <c r="R933" s="127">
        <f t="shared" si="115"/>
        <v>0</v>
      </c>
    </row>
    <row r="934" spans="1:18" hidden="1">
      <c r="A934">
        <f t="shared" si="112"/>
        <v>965</v>
      </c>
      <c r="B934" s="42" t="s">
        <v>27</v>
      </c>
      <c r="C934" s="313">
        <f>SUMIF('Employees Supported'!$A$2:$A$29,$B934,'Employees Supported'!$C$2:$C$29)</f>
        <v>400</v>
      </c>
      <c r="E934" s="2">
        <f t="shared" si="116"/>
        <v>85</v>
      </c>
      <c r="F934" t="str">
        <f t="shared" si="117"/>
        <v>Reserved-85</v>
      </c>
      <c r="G934" t="str">
        <f t="shared" si="113"/>
        <v>SPUReserved-85</v>
      </c>
      <c r="H934" s="2" t="s">
        <v>67</v>
      </c>
      <c r="O934" s="2" t="s">
        <v>2678</v>
      </c>
      <c r="P934" s="3" t="str">
        <f t="shared" si="114"/>
        <v>NR</v>
      </c>
      <c r="R934" s="127">
        <f t="shared" si="115"/>
        <v>0</v>
      </c>
    </row>
    <row r="935" spans="1:18" hidden="1">
      <c r="A935">
        <f t="shared" si="112"/>
        <v>966</v>
      </c>
      <c r="B935" s="42" t="s">
        <v>30</v>
      </c>
      <c r="C935" s="313">
        <f>SUMIF('Employees Supported'!$A$2:$A$29,$B935,'Employees Supported'!$C$2:$C$29)</f>
        <v>300</v>
      </c>
      <c r="E935" s="2">
        <f t="shared" si="116"/>
        <v>85</v>
      </c>
      <c r="F935" t="str">
        <f t="shared" si="117"/>
        <v>Reserved-85</v>
      </c>
      <c r="G935" t="str">
        <f t="shared" si="113"/>
        <v>LibrariesReserved-85</v>
      </c>
      <c r="H935" s="2" t="s">
        <v>67</v>
      </c>
      <c r="O935" s="2" t="s">
        <v>2678</v>
      </c>
      <c r="P935" s="3" t="str">
        <f t="shared" si="114"/>
        <v>NR</v>
      </c>
      <c r="R935" s="127">
        <f t="shared" si="115"/>
        <v>0</v>
      </c>
    </row>
    <row r="936" spans="1:18" hidden="1">
      <c r="A936">
        <f t="shared" si="112"/>
        <v>967</v>
      </c>
      <c r="B936" s="42" t="s">
        <v>26</v>
      </c>
      <c r="C936" s="313">
        <f>SUMIF('Employees Supported'!$A$2:$A$29,$B936,'Employees Supported'!$C$2:$C$29)</f>
        <v>400</v>
      </c>
      <c r="E936" s="2">
        <f t="shared" si="116"/>
        <v>85</v>
      </c>
      <c r="F936" t="str">
        <f t="shared" si="117"/>
        <v>Reserved-85</v>
      </c>
      <c r="G936" t="str">
        <f t="shared" si="113"/>
        <v>ParksReserved-85</v>
      </c>
      <c r="H936" s="2" t="s">
        <v>67</v>
      </c>
      <c r="O936" s="2" t="s">
        <v>2678</v>
      </c>
      <c r="P936" s="3" t="str">
        <f t="shared" si="114"/>
        <v>NR</v>
      </c>
      <c r="R936" s="127">
        <f t="shared" si="115"/>
        <v>0</v>
      </c>
    </row>
    <row r="937" spans="1:18" hidden="1">
      <c r="A937">
        <f t="shared" si="112"/>
        <v>968</v>
      </c>
      <c r="B937" s="42" t="s">
        <v>32</v>
      </c>
      <c r="C937" s="313">
        <f>SUMIF('Employees Supported'!$A$2:$A$29,$B937,'Employees Supported'!$C$2:$C$29)</f>
        <v>400</v>
      </c>
      <c r="E937" s="2">
        <f t="shared" si="116"/>
        <v>85</v>
      </c>
      <c r="F937" t="str">
        <f t="shared" si="117"/>
        <v>Reserved-85</v>
      </c>
      <c r="G937" t="str">
        <f t="shared" si="113"/>
        <v>Seattle CtrReserved-85</v>
      </c>
      <c r="H937" s="2" t="s">
        <v>67</v>
      </c>
      <c r="O937" s="2" t="s">
        <v>2678</v>
      </c>
      <c r="P937" s="3" t="str">
        <f t="shared" si="114"/>
        <v>NR</v>
      </c>
      <c r="R937" s="127">
        <f t="shared" si="115"/>
        <v>0</v>
      </c>
    </row>
    <row r="938" spans="1:18">
      <c r="A938">
        <f t="shared" si="112"/>
        <v>969</v>
      </c>
      <c r="B938" s="42" t="s">
        <v>23</v>
      </c>
      <c r="C938" s="313">
        <v>6500</v>
      </c>
      <c r="E938" s="2">
        <f>+E927+1</f>
        <v>86</v>
      </c>
      <c r="F938" t="str">
        <f t="shared" si="117"/>
        <v>Reserved-86</v>
      </c>
      <c r="G938" t="str">
        <f t="shared" si="113"/>
        <v>FAS-CentralizedReserved-86</v>
      </c>
      <c r="H938" s="2" t="s">
        <v>67</v>
      </c>
      <c r="O938" s="2" t="s">
        <v>2678</v>
      </c>
      <c r="P938" s="3" t="str">
        <f t="shared" si="114"/>
        <v>NR</v>
      </c>
      <c r="R938" s="127">
        <f t="shared" si="115"/>
        <v>0</v>
      </c>
    </row>
    <row r="939" spans="1:18" hidden="1">
      <c r="A939">
        <f t="shared" si="112"/>
        <v>970</v>
      </c>
      <c r="B939" s="42" t="s">
        <v>25</v>
      </c>
      <c r="C939" s="313">
        <f>SUMIF('Employees Supported'!$A$2:$A$29,$B939,'Employees Supported'!$C$2:$C$29)</f>
        <v>1500</v>
      </c>
      <c r="E939" s="2">
        <f t="shared" si="116"/>
        <v>86</v>
      </c>
      <c r="F939" t="str">
        <f t="shared" si="117"/>
        <v>Reserved-86</v>
      </c>
      <c r="G939" t="str">
        <f t="shared" si="113"/>
        <v>SPDReserved-86</v>
      </c>
      <c r="H939" s="2" t="s">
        <v>67</v>
      </c>
      <c r="O939" s="2" t="s">
        <v>2678</v>
      </c>
      <c r="P939" s="3" t="str">
        <f t="shared" si="114"/>
        <v>NR</v>
      </c>
      <c r="R939" s="127">
        <f t="shared" si="115"/>
        <v>0</v>
      </c>
    </row>
    <row r="940" spans="1:18" hidden="1">
      <c r="A940">
        <f t="shared" si="112"/>
        <v>971</v>
      </c>
      <c r="B940" s="42" t="s">
        <v>24</v>
      </c>
      <c r="C940" s="313">
        <f>SUMIF('Employees Supported'!$A$2:$A$29,$B940,'Employees Supported'!$C$2:$C$29)</f>
        <v>1100</v>
      </c>
      <c r="E940" s="2">
        <f t="shared" si="116"/>
        <v>86</v>
      </c>
      <c r="F940" t="str">
        <f t="shared" si="117"/>
        <v>Reserved-86</v>
      </c>
      <c r="G940" t="str">
        <f t="shared" si="113"/>
        <v>SFDReserved-86</v>
      </c>
      <c r="H940" s="2" t="s">
        <v>67</v>
      </c>
      <c r="O940" s="2" t="s">
        <v>2678</v>
      </c>
      <c r="P940" s="3" t="str">
        <f t="shared" si="114"/>
        <v>NR</v>
      </c>
      <c r="R940" s="127">
        <f t="shared" si="115"/>
        <v>0</v>
      </c>
    </row>
    <row r="941" spans="1:18" hidden="1">
      <c r="A941">
        <f t="shared" si="112"/>
        <v>972</v>
      </c>
      <c r="B941" s="42" t="s">
        <v>28</v>
      </c>
      <c r="C941" s="313">
        <f>SUMIF('Employees Supported'!$A$2:$A$29,$B941,'Employees Supported'!$C$2:$C$29)</f>
        <v>1100</v>
      </c>
      <c r="E941" s="2">
        <f t="shared" si="116"/>
        <v>86</v>
      </c>
      <c r="F941" t="str">
        <f t="shared" si="117"/>
        <v>Reserved-86</v>
      </c>
      <c r="G941" t="str">
        <f t="shared" si="113"/>
        <v>SDOTReserved-86</v>
      </c>
      <c r="H941" s="2" t="s">
        <v>67</v>
      </c>
      <c r="O941" s="2" t="s">
        <v>2678</v>
      </c>
      <c r="P941" s="3" t="str">
        <f t="shared" si="114"/>
        <v>NR</v>
      </c>
      <c r="R941" s="127">
        <f t="shared" si="115"/>
        <v>0</v>
      </c>
    </row>
    <row r="942" spans="1:18" hidden="1">
      <c r="A942">
        <f t="shared" si="112"/>
        <v>973</v>
      </c>
      <c r="B942" s="42" t="s">
        <v>33</v>
      </c>
      <c r="C942" s="313">
        <f>SUMIF('Employees Supported'!$A$2:$A$29,$B942,'Employees Supported'!$C$2:$C$29)</f>
        <v>400</v>
      </c>
      <c r="E942" s="2">
        <f t="shared" si="116"/>
        <v>86</v>
      </c>
      <c r="F942" t="str">
        <f t="shared" si="117"/>
        <v>Reserved-86</v>
      </c>
      <c r="G942" t="str">
        <f t="shared" si="113"/>
        <v>SCLReserved-86</v>
      </c>
      <c r="H942" s="2" t="s">
        <v>67</v>
      </c>
      <c r="O942" s="2" t="s">
        <v>2678</v>
      </c>
      <c r="P942" s="3" t="str">
        <f t="shared" si="114"/>
        <v>NR</v>
      </c>
      <c r="R942" s="127">
        <f t="shared" si="115"/>
        <v>0</v>
      </c>
    </row>
    <row r="943" spans="1:18" hidden="1">
      <c r="A943">
        <f t="shared" si="112"/>
        <v>974</v>
      </c>
      <c r="B943" s="42" t="s">
        <v>31</v>
      </c>
      <c r="C943" s="313">
        <f>SUMIF('Employees Supported'!$A$2:$A$29,$B943,'Employees Supported'!$C$2:$C$29)</f>
        <v>700</v>
      </c>
      <c r="E943" s="2">
        <f t="shared" si="116"/>
        <v>86</v>
      </c>
      <c r="F943" t="str">
        <f t="shared" si="117"/>
        <v>Reserved-86</v>
      </c>
      <c r="G943" t="str">
        <f t="shared" si="113"/>
        <v>SeaITReserved-86</v>
      </c>
      <c r="H943" s="2" t="s">
        <v>67</v>
      </c>
      <c r="O943" s="2" t="s">
        <v>2678</v>
      </c>
      <c r="P943" s="3" t="str">
        <f t="shared" si="114"/>
        <v>NR</v>
      </c>
      <c r="R943" s="127">
        <f t="shared" si="115"/>
        <v>0</v>
      </c>
    </row>
    <row r="944" spans="1:18" hidden="1">
      <c r="A944">
        <f t="shared" si="112"/>
        <v>975</v>
      </c>
      <c r="B944" s="42" t="s">
        <v>29</v>
      </c>
      <c r="C944" s="313">
        <f>SUMIF('Employees Supported'!$A$2:$A$29,$B944,'Employees Supported'!$C$2:$C$29)</f>
        <v>550</v>
      </c>
      <c r="E944" s="2">
        <f t="shared" si="116"/>
        <v>86</v>
      </c>
      <c r="F944" t="str">
        <f t="shared" si="117"/>
        <v>Reserved-86</v>
      </c>
      <c r="G944" t="str">
        <f t="shared" si="113"/>
        <v>SDCIReserved-86</v>
      </c>
      <c r="H944" s="2" t="s">
        <v>67</v>
      </c>
      <c r="O944" s="2" t="s">
        <v>2678</v>
      </c>
      <c r="P944" s="3" t="str">
        <f t="shared" si="114"/>
        <v>NR</v>
      </c>
      <c r="R944" s="127">
        <f t="shared" si="115"/>
        <v>0</v>
      </c>
    </row>
    <row r="945" spans="1:18" hidden="1">
      <c r="A945">
        <f t="shared" si="112"/>
        <v>976</v>
      </c>
      <c r="B945" s="42" t="s">
        <v>27</v>
      </c>
      <c r="C945" s="313">
        <f>SUMIF('Employees Supported'!$A$2:$A$29,$B945,'Employees Supported'!$C$2:$C$29)</f>
        <v>400</v>
      </c>
      <c r="E945" s="2">
        <f t="shared" si="116"/>
        <v>86</v>
      </c>
      <c r="F945" t="str">
        <f t="shared" si="117"/>
        <v>Reserved-86</v>
      </c>
      <c r="G945" t="str">
        <f t="shared" si="113"/>
        <v>SPUReserved-86</v>
      </c>
      <c r="H945" s="2" t="s">
        <v>67</v>
      </c>
      <c r="O945" s="2" t="s">
        <v>2678</v>
      </c>
      <c r="P945" s="3" t="str">
        <f t="shared" si="114"/>
        <v>NR</v>
      </c>
      <c r="R945" s="127">
        <f t="shared" si="115"/>
        <v>0</v>
      </c>
    </row>
    <row r="946" spans="1:18" hidden="1">
      <c r="A946">
        <f t="shared" si="112"/>
        <v>977</v>
      </c>
      <c r="B946" s="42" t="s">
        <v>30</v>
      </c>
      <c r="C946" s="313">
        <f>SUMIF('Employees Supported'!$A$2:$A$29,$B946,'Employees Supported'!$C$2:$C$29)</f>
        <v>300</v>
      </c>
      <c r="E946" s="2">
        <f t="shared" si="116"/>
        <v>86</v>
      </c>
      <c r="F946" t="str">
        <f t="shared" si="117"/>
        <v>Reserved-86</v>
      </c>
      <c r="G946" t="str">
        <f t="shared" si="113"/>
        <v>LibrariesReserved-86</v>
      </c>
      <c r="H946" s="2" t="s">
        <v>67</v>
      </c>
      <c r="O946" s="2" t="s">
        <v>2678</v>
      </c>
      <c r="P946" s="3" t="str">
        <f t="shared" si="114"/>
        <v>NR</v>
      </c>
      <c r="R946" s="127">
        <f t="shared" si="115"/>
        <v>0</v>
      </c>
    </row>
    <row r="947" spans="1:18" hidden="1">
      <c r="A947">
        <f t="shared" si="112"/>
        <v>978</v>
      </c>
      <c r="B947" s="42" t="s">
        <v>26</v>
      </c>
      <c r="C947" s="313">
        <f>SUMIF('Employees Supported'!$A$2:$A$29,$B947,'Employees Supported'!$C$2:$C$29)</f>
        <v>400</v>
      </c>
      <c r="E947" s="2">
        <f t="shared" si="116"/>
        <v>86</v>
      </c>
      <c r="F947" t="str">
        <f t="shared" si="117"/>
        <v>Reserved-86</v>
      </c>
      <c r="G947" t="str">
        <f t="shared" si="113"/>
        <v>ParksReserved-86</v>
      </c>
      <c r="H947" s="2" t="s">
        <v>67</v>
      </c>
      <c r="O947" s="2" t="s">
        <v>2678</v>
      </c>
      <c r="P947" s="3" t="str">
        <f t="shared" si="114"/>
        <v>NR</v>
      </c>
      <c r="R947" s="127">
        <f t="shared" si="115"/>
        <v>0</v>
      </c>
    </row>
    <row r="948" spans="1:18" hidden="1">
      <c r="A948">
        <f t="shared" si="112"/>
        <v>979</v>
      </c>
      <c r="B948" s="42" t="s">
        <v>32</v>
      </c>
      <c r="C948" s="313">
        <f>SUMIF('Employees Supported'!$A$2:$A$29,$B948,'Employees Supported'!$C$2:$C$29)</f>
        <v>400</v>
      </c>
      <c r="E948" s="2">
        <f t="shared" si="116"/>
        <v>86</v>
      </c>
      <c r="F948" t="str">
        <f t="shared" si="117"/>
        <v>Reserved-86</v>
      </c>
      <c r="G948" t="str">
        <f t="shared" si="113"/>
        <v>Seattle CtrReserved-86</v>
      </c>
      <c r="H948" s="2" t="s">
        <v>67</v>
      </c>
      <c r="O948" s="2" t="s">
        <v>2678</v>
      </c>
      <c r="P948" s="3" t="str">
        <f t="shared" si="114"/>
        <v>NR</v>
      </c>
      <c r="R948" s="127">
        <f t="shared" si="115"/>
        <v>0</v>
      </c>
    </row>
    <row r="949" spans="1:18">
      <c r="A949">
        <f t="shared" si="112"/>
        <v>980</v>
      </c>
      <c r="B949" s="42" t="s">
        <v>23</v>
      </c>
      <c r="C949" s="313">
        <v>6500</v>
      </c>
      <c r="E949" s="2">
        <f>+E938+1</f>
        <v>87</v>
      </c>
      <c r="F949" t="str">
        <f t="shared" si="117"/>
        <v>Reserved-87</v>
      </c>
      <c r="G949" t="str">
        <f t="shared" si="113"/>
        <v>FAS-CentralizedReserved-87</v>
      </c>
      <c r="H949" s="2" t="s">
        <v>67</v>
      </c>
      <c r="O949" s="2" t="s">
        <v>2678</v>
      </c>
      <c r="P949" s="3" t="str">
        <f t="shared" si="114"/>
        <v>NR</v>
      </c>
      <c r="R949" s="127">
        <f t="shared" si="115"/>
        <v>0</v>
      </c>
    </row>
    <row r="950" spans="1:18" hidden="1">
      <c r="A950">
        <f t="shared" si="112"/>
        <v>981</v>
      </c>
      <c r="B950" s="42" t="s">
        <v>25</v>
      </c>
      <c r="C950" s="313">
        <f>SUMIF('Employees Supported'!$A$2:$A$29,$B950,'Employees Supported'!$C$2:$C$29)</f>
        <v>1500</v>
      </c>
      <c r="E950" s="2">
        <f t="shared" si="116"/>
        <v>87</v>
      </c>
      <c r="F950" t="str">
        <f t="shared" si="117"/>
        <v>Reserved-87</v>
      </c>
      <c r="G950" t="str">
        <f t="shared" si="113"/>
        <v>SPDReserved-87</v>
      </c>
      <c r="H950" s="2" t="s">
        <v>67</v>
      </c>
      <c r="O950" s="2" t="s">
        <v>2678</v>
      </c>
      <c r="P950" s="3" t="str">
        <f t="shared" si="114"/>
        <v>NR</v>
      </c>
      <c r="R950" s="127">
        <f t="shared" si="115"/>
        <v>0</v>
      </c>
    </row>
    <row r="951" spans="1:18" hidden="1">
      <c r="A951">
        <f t="shared" ref="A951:A1014" si="118">+A950+1</f>
        <v>982</v>
      </c>
      <c r="B951" s="42" t="s">
        <v>24</v>
      </c>
      <c r="C951" s="313">
        <f>SUMIF('Employees Supported'!$A$2:$A$29,$B951,'Employees Supported'!$C$2:$C$29)</f>
        <v>1100</v>
      </c>
      <c r="E951" s="2">
        <f t="shared" si="116"/>
        <v>87</v>
      </c>
      <c r="F951" t="str">
        <f t="shared" si="117"/>
        <v>Reserved-87</v>
      </c>
      <c r="G951" t="str">
        <f t="shared" si="113"/>
        <v>SFDReserved-87</v>
      </c>
      <c r="H951" s="2" t="s">
        <v>67</v>
      </c>
      <c r="O951" s="2" t="s">
        <v>2678</v>
      </c>
      <c r="P951" s="3" t="str">
        <f t="shared" si="114"/>
        <v>NR</v>
      </c>
      <c r="R951" s="127">
        <f t="shared" si="115"/>
        <v>0</v>
      </c>
    </row>
    <row r="952" spans="1:18" hidden="1">
      <c r="A952">
        <f t="shared" si="118"/>
        <v>983</v>
      </c>
      <c r="B952" s="42" t="s">
        <v>28</v>
      </c>
      <c r="C952" s="313">
        <f>SUMIF('Employees Supported'!$A$2:$A$29,$B952,'Employees Supported'!$C$2:$C$29)</f>
        <v>1100</v>
      </c>
      <c r="E952" s="2">
        <f t="shared" si="116"/>
        <v>87</v>
      </c>
      <c r="F952" t="str">
        <f t="shared" si="117"/>
        <v>Reserved-87</v>
      </c>
      <c r="G952" t="str">
        <f t="shared" ref="G952:G1015" si="119">_xlfn.SINGLE(_xlfn.CONCAT(B952,F952))</f>
        <v>SDOTReserved-87</v>
      </c>
      <c r="H952" s="2" t="s">
        <v>67</v>
      </c>
      <c r="O952" s="2" t="s">
        <v>2678</v>
      </c>
      <c r="P952" s="3" t="str">
        <f t="shared" ref="P952:P1015" si="120">IF(O952="NR","NR",((((C952+D952)*I952)*90)+(J952*90)+(((C952+D952)*K952)*3)+(L952*3)+((C952+D952)*M952)+N952))</f>
        <v>NR</v>
      </c>
      <c r="R952" s="127">
        <f t="shared" ref="R952:R1015" si="121">SUM(P952)/90</f>
        <v>0</v>
      </c>
    </row>
    <row r="953" spans="1:18" hidden="1">
      <c r="A953">
        <f t="shared" si="118"/>
        <v>984</v>
      </c>
      <c r="B953" s="42" t="s">
        <v>33</v>
      </c>
      <c r="C953" s="313">
        <f>SUMIF('Employees Supported'!$A$2:$A$29,$B953,'Employees Supported'!$C$2:$C$29)</f>
        <v>400</v>
      </c>
      <c r="E953" s="2">
        <f t="shared" si="116"/>
        <v>87</v>
      </c>
      <c r="F953" t="str">
        <f t="shared" si="117"/>
        <v>Reserved-87</v>
      </c>
      <c r="G953" t="str">
        <f t="shared" si="119"/>
        <v>SCLReserved-87</v>
      </c>
      <c r="H953" s="2" t="s">
        <v>67</v>
      </c>
      <c r="O953" s="2" t="s">
        <v>2678</v>
      </c>
      <c r="P953" s="3" t="str">
        <f t="shared" si="120"/>
        <v>NR</v>
      </c>
      <c r="R953" s="127">
        <f t="shared" si="121"/>
        <v>0</v>
      </c>
    </row>
    <row r="954" spans="1:18" hidden="1">
      <c r="A954">
        <f t="shared" si="118"/>
        <v>985</v>
      </c>
      <c r="B954" s="42" t="s">
        <v>31</v>
      </c>
      <c r="C954" s="313">
        <f>SUMIF('Employees Supported'!$A$2:$A$29,$B954,'Employees Supported'!$C$2:$C$29)</f>
        <v>700</v>
      </c>
      <c r="E954" s="2">
        <f t="shared" si="116"/>
        <v>87</v>
      </c>
      <c r="F954" t="str">
        <f t="shared" si="117"/>
        <v>Reserved-87</v>
      </c>
      <c r="G954" t="str">
        <f t="shared" si="119"/>
        <v>SeaITReserved-87</v>
      </c>
      <c r="H954" s="2" t="s">
        <v>67</v>
      </c>
      <c r="O954" s="2" t="s">
        <v>2678</v>
      </c>
      <c r="P954" s="3" t="str">
        <f t="shared" si="120"/>
        <v>NR</v>
      </c>
      <c r="R954" s="127">
        <f t="shared" si="121"/>
        <v>0</v>
      </c>
    </row>
    <row r="955" spans="1:18" hidden="1">
      <c r="A955">
        <f t="shared" si="118"/>
        <v>986</v>
      </c>
      <c r="B955" s="42" t="s">
        <v>29</v>
      </c>
      <c r="C955" s="313">
        <f>SUMIF('Employees Supported'!$A$2:$A$29,$B955,'Employees Supported'!$C$2:$C$29)</f>
        <v>550</v>
      </c>
      <c r="E955" s="2">
        <f t="shared" si="116"/>
        <v>87</v>
      </c>
      <c r="F955" t="str">
        <f t="shared" si="117"/>
        <v>Reserved-87</v>
      </c>
      <c r="G955" t="str">
        <f t="shared" si="119"/>
        <v>SDCIReserved-87</v>
      </c>
      <c r="H955" s="2" t="s">
        <v>67</v>
      </c>
      <c r="O955" s="2" t="s">
        <v>2678</v>
      </c>
      <c r="P955" s="3" t="str">
        <f t="shared" si="120"/>
        <v>NR</v>
      </c>
      <c r="R955" s="127">
        <f t="shared" si="121"/>
        <v>0</v>
      </c>
    </row>
    <row r="956" spans="1:18" hidden="1">
      <c r="A956">
        <f t="shared" si="118"/>
        <v>987</v>
      </c>
      <c r="B956" s="42" t="s">
        <v>27</v>
      </c>
      <c r="C956" s="313">
        <f>SUMIF('Employees Supported'!$A$2:$A$29,$B956,'Employees Supported'!$C$2:$C$29)</f>
        <v>400</v>
      </c>
      <c r="E956" s="2">
        <f t="shared" si="116"/>
        <v>87</v>
      </c>
      <c r="F956" t="str">
        <f t="shared" si="117"/>
        <v>Reserved-87</v>
      </c>
      <c r="G956" t="str">
        <f t="shared" si="119"/>
        <v>SPUReserved-87</v>
      </c>
      <c r="H956" s="2" t="s">
        <v>67</v>
      </c>
      <c r="O956" s="2" t="s">
        <v>2678</v>
      </c>
      <c r="P956" s="3" t="str">
        <f t="shared" si="120"/>
        <v>NR</v>
      </c>
      <c r="R956" s="127">
        <f t="shared" si="121"/>
        <v>0</v>
      </c>
    </row>
    <row r="957" spans="1:18" hidden="1">
      <c r="A957">
        <f t="shared" si="118"/>
        <v>988</v>
      </c>
      <c r="B957" s="42" t="s">
        <v>30</v>
      </c>
      <c r="C957" s="313">
        <f>SUMIF('Employees Supported'!$A$2:$A$29,$B957,'Employees Supported'!$C$2:$C$29)</f>
        <v>300</v>
      </c>
      <c r="E957" s="2">
        <f t="shared" si="116"/>
        <v>87</v>
      </c>
      <c r="F957" t="str">
        <f t="shared" si="117"/>
        <v>Reserved-87</v>
      </c>
      <c r="G957" t="str">
        <f t="shared" si="119"/>
        <v>LibrariesReserved-87</v>
      </c>
      <c r="H957" s="2" t="s">
        <v>67</v>
      </c>
      <c r="O957" s="2" t="s">
        <v>2678</v>
      </c>
      <c r="P957" s="3" t="str">
        <f t="shared" si="120"/>
        <v>NR</v>
      </c>
      <c r="R957" s="127">
        <f t="shared" si="121"/>
        <v>0</v>
      </c>
    </row>
    <row r="958" spans="1:18" hidden="1">
      <c r="A958">
        <f t="shared" si="118"/>
        <v>989</v>
      </c>
      <c r="B958" s="42" t="s">
        <v>26</v>
      </c>
      <c r="C958" s="313">
        <f>SUMIF('Employees Supported'!$A$2:$A$29,$B958,'Employees Supported'!$C$2:$C$29)</f>
        <v>400</v>
      </c>
      <c r="E958" s="2">
        <f t="shared" si="116"/>
        <v>87</v>
      </c>
      <c r="F958" t="str">
        <f t="shared" si="117"/>
        <v>Reserved-87</v>
      </c>
      <c r="G958" t="str">
        <f t="shared" si="119"/>
        <v>ParksReserved-87</v>
      </c>
      <c r="H958" s="2" t="s">
        <v>67</v>
      </c>
      <c r="O958" s="2" t="s">
        <v>2678</v>
      </c>
      <c r="P958" s="3" t="str">
        <f t="shared" si="120"/>
        <v>NR</v>
      </c>
      <c r="R958" s="127">
        <f t="shared" si="121"/>
        <v>0</v>
      </c>
    </row>
    <row r="959" spans="1:18" hidden="1">
      <c r="A959">
        <f t="shared" si="118"/>
        <v>990</v>
      </c>
      <c r="B959" s="42" t="s">
        <v>32</v>
      </c>
      <c r="C959" s="313">
        <f>SUMIF('Employees Supported'!$A$2:$A$29,$B959,'Employees Supported'!$C$2:$C$29)</f>
        <v>400</v>
      </c>
      <c r="E959" s="2">
        <f t="shared" ref="E959" si="122">+E948+1</f>
        <v>87</v>
      </c>
      <c r="F959" t="str">
        <f t="shared" si="117"/>
        <v>Reserved-87</v>
      </c>
      <c r="G959" t="str">
        <f t="shared" si="119"/>
        <v>Seattle CtrReserved-87</v>
      </c>
      <c r="H959" s="2" t="s">
        <v>67</v>
      </c>
      <c r="O959" s="2" t="s">
        <v>2678</v>
      </c>
      <c r="P959" s="3" t="str">
        <f t="shared" si="120"/>
        <v>NR</v>
      </c>
      <c r="R959" s="127">
        <f t="shared" si="121"/>
        <v>0</v>
      </c>
    </row>
    <row r="960" spans="1:18">
      <c r="A960">
        <f t="shared" si="118"/>
        <v>991</v>
      </c>
      <c r="B960" s="42" t="s">
        <v>23</v>
      </c>
      <c r="C960" s="313">
        <v>6500</v>
      </c>
      <c r="E960" s="2">
        <f>+E949+1</f>
        <v>88</v>
      </c>
      <c r="F960" t="str">
        <f t="shared" si="117"/>
        <v>Reserved-88</v>
      </c>
      <c r="G960" t="str">
        <f t="shared" si="119"/>
        <v>FAS-CentralizedReserved-88</v>
      </c>
      <c r="H960" s="2" t="s">
        <v>67</v>
      </c>
      <c r="O960" s="2" t="s">
        <v>2678</v>
      </c>
      <c r="P960" s="3" t="str">
        <f t="shared" si="120"/>
        <v>NR</v>
      </c>
      <c r="R960" s="127">
        <f t="shared" si="121"/>
        <v>0</v>
      </c>
    </row>
    <row r="961" spans="1:18" hidden="1">
      <c r="A961">
        <f t="shared" si="118"/>
        <v>992</v>
      </c>
      <c r="B961" s="42" t="s">
        <v>25</v>
      </c>
      <c r="C961" s="313">
        <f>SUMIF('Employees Supported'!$A$2:$A$29,$B961,'Employees Supported'!$C$2:$C$29)</f>
        <v>1500</v>
      </c>
      <c r="E961" s="2">
        <f t="shared" ref="E961:E981" si="123">+E950+1</f>
        <v>88</v>
      </c>
      <c r="F961" t="str">
        <f t="shared" si="117"/>
        <v>Reserved-88</v>
      </c>
      <c r="G961" t="str">
        <f t="shared" si="119"/>
        <v>SPDReserved-88</v>
      </c>
      <c r="H961" s="2" t="s">
        <v>67</v>
      </c>
      <c r="O961" s="2" t="s">
        <v>2678</v>
      </c>
      <c r="P961" s="3" t="str">
        <f t="shared" si="120"/>
        <v>NR</v>
      </c>
      <c r="R961" s="127">
        <f t="shared" si="121"/>
        <v>0</v>
      </c>
    </row>
    <row r="962" spans="1:18" hidden="1">
      <c r="A962">
        <f t="shared" si="118"/>
        <v>993</v>
      </c>
      <c r="B962" s="42" t="s">
        <v>24</v>
      </c>
      <c r="C962" s="313">
        <f>SUMIF('Employees Supported'!$A$2:$A$29,$B962,'Employees Supported'!$C$2:$C$29)</f>
        <v>1100</v>
      </c>
      <c r="E962" s="2">
        <f t="shared" si="123"/>
        <v>88</v>
      </c>
      <c r="F962" t="str">
        <f t="shared" si="117"/>
        <v>Reserved-88</v>
      </c>
      <c r="G962" t="str">
        <f t="shared" si="119"/>
        <v>SFDReserved-88</v>
      </c>
      <c r="H962" s="2" t="s">
        <v>67</v>
      </c>
      <c r="O962" s="2" t="s">
        <v>2678</v>
      </c>
      <c r="P962" s="3" t="str">
        <f t="shared" si="120"/>
        <v>NR</v>
      </c>
      <c r="R962" s="127">
        <f t="shared" si="121"/>
        <v>0</v>
      </c>
    </row>
    <row r="963" spans="1:18" hidden="1">
      <c r="A963">
        <f t="shared" si="118"/>
        <v>994</v>
      </c>
      <c r="B963" s="42" t="s">
        <v>28</v>
      </c>
      <c r="C963" s="313">
        <f>SUMIF('Employees Supported'!$A$2:$A$29,$B963,'Employees Supported'!$C$2:$C$29)</f>
        <v>1100</v>
      </c>
      <c r="E963" s="2">
        <f t="shared" si="123"/>
        <v>88</v>
      </c>
      <c r="F963" t="str">
        <f t="shared" si="117"/>
        <v>Reserved-88</v>
      </c>
      <c r="G963" t="str">
        <f t="shared" si="119"/>
        <v>SDOTReserved-88</v>
      </c>
      <c r="H963" s="2" t="s">
        <v>67</v>
      </c>
      <c r="O963" s="2" t="s">
        <v>2678</v>
      </c>
      <c r="P963" s="3" t="str">
        <f t="shared" si="120"/>
        <v>NR</v>
      </c>
      <c r="R963" s="127">
        <f t="shared" si="121"/>
        <v>0</v>
      </c>
    </row>
    <row r="964" spans="1:18" hidden="1">
      <c r="A964">
        <f t="shared" si="118"/>
        <v>995</v>
      </c>
      <c r="B964" s="42" t="s">
        <v>33</v>
      </c>
      <c r="C964" s="313">
        <f>SUMIF('Employees Supported'!$A$2:$A$29,$B964,'Employees Supported'!$C$2:$C$29)</f>
        <v>400</v>
      </c>
      <c r="E964" s="2">
        <f t="shared" si="123"/>
        <v>88</v>
      </c>
      <c r="F964" t="str">
        <f t="shared" si="117"/>
        <v>Reserved-88</v>
      </c>
      <c r="G964" t="str">
        <f t="shared" si="119"/>
        <v>SCLReserved-88</v>
      </c>
      <c r="H964" s="2" t="s">
        <v>67</v>
      </c>
      <c r="O964" s="2" t="s">
        <v>2678</v>
      </c>
      <c r="P964" s="3" t="str">
        <f t="shared" si="120"/>
        <v>NR</v>
      </c>
      <c r="R964" s="127">
        <f t="shared" si="121"/>
        <v>0</v>
      </c>
    </row>
    <row r="965" spans="1:18" hidden="1">
      <c r="A965">
        <f t="shared" si="118"/>
        <v>996</v>
      </c>
      <c r="B965" s="42" t="s">
        <v>31</v>
      </c>
      <c r="C965" s="313">
        <f>SUMIF('Employees Supported'!$A$2:$A$29,$B965,'Employees Supported'!$C$2:$C$29)</f>
        <v>700</v>
      </c>
      <c r="E965" s="2">
        <f t="shared" si="123"/>
        <v>88</v>
      </c>
      <c r="F965" t="str">
        <f t="shared" si="117"/>
        <v>Reserved-88</v>
      </c>
      <c r="G965" t="str">
        <f t="shared" si="119"/>
        <v>SeaITReserved-88</v>
      </c>
      <c r="H965" s="2" t="s">
        <v>67</v>
      </c>
      <c r="O965" s="2" t="s">
        <v>2678</v>
      </c>
      <c r="P965" s="3" t="str">
        <f t="shared" si="120"/>
        <v>NR</v>
      </c>
      <c r="R965" s="127">
        <f t="shared" si="121"/>
        <v>0</v>
      </c>
    </row>
    <row r="966" spans="1:18" hidden="1">
      <c r="A966">
        <f t="shared" si="118"/>
        <v>997</v>
      </c>
      <c r="B966" s="42" t="s">
        <v>29</v>
      </c>
      <c r="C966" s="313">
        <f>SUMIF('Employees Supported'!$A$2:$A$29,$B966,'Employees Supported'!$C$2:$C$29)</f>
        <v>550</v>
      </c>
      <c r="E966" s="2">
        <f t="shared" si="123"/>
        <v>88</v>
      </c>
      <c r="F966" t="str">
        <f t="shared" si="117"/>
        <v>Reserved-88</v>
      </c>
      <c r="G966" t="str">
        <f t="shared" si="119"/>
        <v>SDCIReserved-88</v>
      </c>
      <c r="H966" s="2" t="s">
        <v>67</v>
      </c>
      <c r="O966" s="2" t="s">
        <v>2678</v>
      </c>
      <c r="P966" s="3" t="str">
        <f t="shared" si="120"/>
        <v>NR</v>
      </c>
      <c r="R966" s="127">
        <f t="shared" si="121"/>
        <v>0</v>
      </c>
    </row>
    <row r="967" spans="1:18" hidden="1">
      <c r="A967">
        <f t="shared" si="118"/>
        <v>998</v>
      </c>
      <c r="B967" s="42" t="s">
        <v>27</v>
      </c>
      <c r="C967" s="313">
        <f>SUMIF('Employees Supported'!$A$2:$A$29,$B967,'Employees Supported'!$C$2:$C$29)</f>
        <v>400</v>
      </c>
      <c r="E967" s="2">
        <f t="shared" si="123"/>
        <v>88</v>
      </c>
      <c r="F967" t="str">
        <f t="shared" si="117"/>
        <v>Reserved-88</v>
      </c>
      <c r="G967" t="str">
        <f t="shared" si="119"/>
        <v>SPUReserved-88</v>
      </c>
      <c r="H967" s="2" t="s">
        <v>67</v>
      </c>
      <c r="O967" s="2" t="s">
        <v>2678</v>
      </c>
      <c r="P967" s="3" t="str">
        <f t="shared" si="120"/>
        <v>NR</v>
      </c>
      <c r="R967" s="127">
        <f t="shared" si="121"/>
        <v>0</v>
      </c>
    </row>
    <row r="968" spans="1:18" hidden="1">
      <c r="A968">
        <f t="shared" si="118"/>
        <v>999</v>
      </c>
      <c r="B968" s="42" t="s">
        <v>30</v>
      </c>
      <c r="C968" s="313">
        <f>SUMIF('Employees Supported'!$A$2:$A$29,$B968,'Employees Supported'!$C$2:$C$29)</f>
        <v>300</v>
      </c>
      <c r="E968" s="2">
        <f t="shared" si="123"/>
        <v>88</v>
      </c>
      <c r="F968" t="str">
        <f t="shared" si="117"/>
        <v>Reserved-88</v>
      </c>
      <c r="G968" t="str">
        <f t="shared" si="119"/>
        <v>LibrariesReserved-88</v>
      </c>
      <c r="H968" s="2" t="s">
        <v>67</v>
      </c>
      <c r="O968" s="2" t="s">
        <v>2678</v>
      </c>
      <c r="P968" s="3" t="str">
        <f t="shared" si="120"/>
        <v>NR</v>
      </c>
      <c r="R968" s="127">
        <f t="shared" si="121"/>
        <v>0</v>
      </c>
    </row>
    <row r="969" spans="1:18" hidden="1">
      <c r="A969">
        <f t="shared" si="118"/>
        <v>1000</v>
      </c>
      <c r="B969" s="42" t="s">
        <v>26</v>
      </c>
      <c r="C969" s="313">
        <f>SUMIF('Employees Supported'!$A$2:$A$29,$B969,'Employees Supported'!$C$2:$C$29)</f>
        <v>400</v>
      </c>
      <c r="E969" s="2">
        <f t="shared" si="123"/>
        <v>88</v>
      </c>
      <c r="F969" t="str">
        <f t="shared" si="117"/>
        <v>Reserved-88</v>
      </c>
      <c r="G969" t="str">
        <f t="shared" si="119"/>
        <v>ParksReserved-88</v>
      </c>
      <c r="H969" s="2" t="s">
        <v>67</v>
      </c>
      <c r="O969" s="2" t="s">
        <v>2678</v>
      </c>
      <c r="P969" s="3" t="str">
        <f t="shared" si="120"/>
        <v>NR</v>
      </c>
      <c r="R969" s="127">
        <f t="shared" si="121"/>
        <v>0</v>
      </c>
    </row>
    <row r="970" spans="1:18" hidden="1">
      <c r="A970">
        <f t="shared" si="118"/>
        <v>1001</v>
      </c>
      <c r="B970" s="42" t="s">
        <v>32</v>
      </c>
      <c r="C970" s="313">
        <f>SUMIF('Employees Supported'!$A$2:$A$29,$B970,'Employees Supported'!$C$2:$C$29)</f>
        <v>400</v>
      </c>
      <c r="E970" s="2">
        <f t="shared" si="123"/>
        <v>88</v>
      </c>
      <c r="F970" t="str">
        <f t="shared" si="117"/>
        <v>Reserved-88</v>
      </c>
      <c r="G970" t="str">
        <f t="shared" si="119"/>
        <v>Seattle CtrReserved-88</v>
      </c>
      <c r="H970" s="2" t="s">
        <v>67</v>
      </c>
      <c r="O970" s="2" t="s">
        <v>2678</v>
      </c>
      <c r="P970" s="3" t="str">
        <f t="shared" si="120"/>
        <v>NR</v>
      </c>
      <c r="R970" s="127">
        <f t="shared" si="121"/>
        <v>0</v>
      </c>
    </row>
    <row r="971" spans="1:18">
      <c r="A971">
        <f t="shared" si="118"/>
        <v>1002</v>
      </c>
      <c r="B971" s="42" t="s">
        <v>23</v>
      </c>
      <c r="C971" s="313">
        <v>6500</v>
      </c>
      <c r="E971" s="2">
        <f>+E960+1</f>
        <v>89</v>
      </c>
      <c r="F971" t="str">
        <f t="shared" ref="F971:F1034" si="124">_xlfn.SINGLE(_xlfn.CONCAT("Reserved-",E971))</f>
        <v>Reserved-89</v>
      </c>
      <c r="G971" t="str">
        <f t="shared" si="119"/>
        <v>FAS-CentralizedReserved-89</v>
      </c>
      <c r="H971" s="2" t="s">
        <v>67</v>
      </c>
      <c r="O971" s="2" t="s">
        <v>2678</v>
      </c>
      <c r="P971" s="3" t="str">
        <f t="shared" si="120"/>
        <v>NR</v>
      </c>
      <c r="R971" s="127">
        <f t="shared" si="121"/>
        <v>0</v>
      </c>
    </row>
    <row r="972" spans="1:18" hidden="1">
      <c r="A972">
        <f t="shared" si="118"/>
        <v>1003</v>
      </c>
      <c r="B972" s="42" t="s">
        <v>25</v>
      </c>
      <c r="C972" s="313">
        <f>SUMIF('Employees Supported'!$A$2:$A$29,$B972,'Employees Supported'!$C$2:$C$29)</f>
        <v>1500</v>
      </c>
      <c r="E972" s="2">
        <f t="shared" si="123"/>
        <v>89</v>
      </c>
      <c r="F972" t="str">
        <f t="shared" si="124"/>
        <v>Reserved-89</v>
      </c>
      <c r="G972" t="str">
        <f t="shared" si="119"/>
        <v>SPDReserved-89</v>
      </c>
      <c r="H972" s="2" t="s">
        <v>67</v>
      </c>
      <c r="O972" s="2" t="s">
        <v>2678</v>
      </c>
      <c r="P972" s="3" t="str">
        <f t="shared" si="120"/>
        <v>NR</v>
      </c>
      <c r="R972" s="127">
        <f t="shared" si="121"/>
        <v>0</v>
      </c>
    </row>
    <row r="973" spans="1:18" hidden="1">
      <c r="A973">
        <f t="shared" si="118"/>
        <v>1004</v>
      </c>
      <c r="B973" s="42" t="s">
        <v>24</v>
      </c>
      <c r="C973" s="313">
        <f>SUMIF('Employees Supported'!$A$2:$A$29,$B973,'Employees Supported'!$C$2:$C$29)</f>
        <v>1100</v>
      </c>
      <c r="E973" s="2">
        <f t="shared" si="123"/>
        <v>89</v>
      </c>
      <c r="F973" t="str">
        <f t="shared" si="124"/>
        <v>Reserved-89</v>
      </c>
      <c r="G973" t="str">
        <f t="shared" si="119"/>
        <v>SFDReserved-89</v>
      </c>
      <c r="H973" s="2" t="s">
        <v>67</v>
      </c>
      <c r="O973" s="2" t="s">
        <v>2678</v>
      </c>
      <c r="P973" s="3" t="str">
        <f t="shared" si="120"/>
        <v>NR</v>
      </c>
      <c r="R973" s="127">
        <f t="shared" si="121"/>
        <v>0</v>
      </c>
    </row>
    <row r="974" spans="1:18" hidden="1">
      <c r="A974">
        <f t="shared" si="118"/>
        <v>1005</v>
      </c>
      <c r="B974" s="42" t="s">
        <v>28</v>
      </c>
      <c r="C974" s="313">
        <f>SUMIF('Employees Supported'!$A$2:$A$29,$B974,'Employees Supported'!$C$2:$C$29)</f>
        <v>1100</v>
      </c>
      <c r="E974" s="2">
        <f t="shared" si="123"/>
        <v>89</v>
      </c>
      <c r="F974" t="str">
        <f t="shared" si="124"/>
        <v>Reserved-89</v>
      </c>
      <c r="G974" t="str">
        <f t="shared" si="119"/>
        <v>SDOTReserved-89</v>
      </c>
      <c r="H974" s="2" t="s">
        <v>67</v>
      </c>
      <c r="O974" s="2" t="s">
        <v>2678</v>
      </c>
      <c r="P974" s="3" t="str">
        <f t="shared" si="120"/>
        <v>NR</v>
      </c>
      <c r="R974" s="127">
        <f t="shared" si="121"/>
        <v>0</v>
      </c>
    </row>
    <row r="975" spans="1:18" hidden="1">
      <c r="A975">
        <f t="shared" si="118"/>
        <v>1006</v>
      </c>
      <c r="B975" s="42" t="s">
        <v>33</v>
      </c>
      <c r="C975" s="313">
        <f>SUMIF('Employees Supported'!$A$2:$A$29,$B975,'Employees Supported'!$C$2:$C$29)</f>
        <v>400</v>
      </c>
      <c r="E975" s="2">
        <f t="shared" si="123"/>
        <v>89</v>
      </c>
      <c r="F975" t="str">
        <f t="shared" si="124"/>
        <v>Reserved-89</v>
      </c>
      <c r="G975" t="str">
        <f t="shared" si="119"/>
        <v>SCLReserved-89</v>
      </c>
      <c r="H975" s="2" t="s">
        <v>67</v>
      </c>
      <c r="O975" s="2" t="s">
        <v>2678</v>
      </c>
      <c r="P975" s="3" t="str">
        <f t="shared" si="120"/>
        <v>NR</v>
      </c>
      <c r="R975" s="127">
        <f t="shared" si="121"/>
        <v>0</v>
      </c>
    </row>
    <row r="976" spans="1:18" hidden="1">
      <c r="A976">
        <f t="shared" si="118"/>
        <v>1007</v>
      </c>
      <c r="B976" s="42" t="s">
        <v>31</v>
      </c>
      <c r="C976" s="313">
        <f>SUMIF('Employees Supported'!$A$2:$A$29,$B976,'Employees Supported'!$C$2:$C$29)</f>
        <v>700</v>
      </c>
      <c r="E976" s="2">
        <f t="shared" si="123"/>
        <v>89</v>
      </c>
      <c r="F976" t="str">
        <f t="shared" si="124"/>
        <v>Reserved-89</v>
      </c>
      <c r="G976" t="str">
        <f t="shared" si="119"/>
        <v>SeaITReserved-89</v>
      </c>
      <c r="H976" s="2" t="s">
        <v>67</v>
      </c>
      <c r="O976" s="2" t="s">
        <v>2678</v>
      </c>
      <c r="P976" s="3" t="str">
        <f t="shared" si="120"/>
        <v>NR</v>
      </c>
      <c r="R976" s="127">
        <f t="shared" si="121"/>
        <v>0</v>
      </c>
    </row>
    <row r="977" spans="1:18" hidden="1">
      <c r="A977">
        <f t="shared" si="118"/>
        <v>1008</v>
      </c>
      <c r="B977" s="42" t="s">
        <v>29</v>
      </c>
      <c r="C977" s="313">
        <f>SUMIF('Employees Supported'!$A$2:$A$29,$B977,'Employees Supported'!$C$2:$C$29)</f>
        <v>550</v>
      </c>
      <c r="E977" s="2">
        <f t="shared" si="123"/>
        <v>89</v>
      </c>
      <c r="F977" t="str">
        <f t="shared" si="124"/>
        <v>Reserved-89</v>
      </c>
      <c r="G977" t="str">
        <f t="shared" si="119"/>
        <v>SDCIReserved-89</v>
      </c>
      <c r="H977" s="2" t="s">
        <v>67</v>
      </c>
      <c r="O977" s="2" t="s">
        <v>2678</v>
      </c>
      <c r="P977" s="3" t="str">
        <f t="shared" si="120"/>
        <v>NR</v>
      </c>
      <c r="R977" s="127">
        <f t="shared" si="121"/>
        <v>0</v>
      </c>
    </row>
    <row r="978" spans="1:18" hidden="1">
      <c r="A978">
        <f t="shared" si="118"/>
        <v>1009</v>
      </c>
      <c r="B978" s="42" t="s">
        <v>27</v>
      </c>
      <c r="C978" s="313">
        <f>SUMIF('Employees Supported'!$A$2:$A$29,$B978,'Employees Supported'!$C$2:$C$29)</f>
        <v>400</v>
      </c>
      <c r="E978" s="2">
        <f t="shared" si="123"/>
        <v>89</v>
      </c>
      <c r="F978" t="str">
        <f t="shared" si="124"/>
        <v>Reserved-89</v>
      </c>
      <c r="G978" t="str">
        <f t="shared" si="119"/>
        <v>SPUReserved-89</v>
      </c>
      <c r="H978" s="2" t="s">
        <v>67</v>
      </c>
      <c r="O978" s="2" t="s">
        <v>2678</v>
      </c>
      <c r="P978" s="3" t="str">
        <f t="shared" si="120"/>
        <v>NR</v>
      </c>
      <c r="R978" s="127">
        <f t="shared" si="121"/>
        <v>0</v>
      </c>
    </row>
    <row r="979" spans="1:18" hidden="1">
      <c r="A979">
        <f t="shared" si="118"/>
        <v>1010</v>
      </c>
      <c r="B979" s="42" t="s">
        <v>30</v>
      </c>
      <c r="C979" s="313">
        <f>SUMIF('Employees Supported'!$A$2:$A$29,$B979,'Employees Supported'!$C$2:$C$29)</f>
        <v>300</v>
      </c>
      <c r="E979" s="2">
        <f t="shared" si="123"/>
        <v>89</v>
      </c>
      <c r="F979" t="str">
        <f t="shared" si="124"/>
        <v>Reserved-89</v>
      </c>
      <c r="G979" t="str">
        <f t="shared" si="119"/>
        <v>LibrariesReserved-89</v>
      </c>
      <c r="H979" s="2" t="s">
        <v>67</v>
      </c>
      <c r="O979" s="2" t="s">
        <v>2678</v>
      </c>
      <c r="P979" s="3" t="str">
        <f t="shared" si="120"/>
        <v>NR</v>
      </c>
      <c r="R979" s="127">
        <f t="shared" si="121"/>
        <v>0</v>
      </c>
    </row>
    <row r="980" spans="1:18" hidden="1">
      <c r="A980">
        <f t="shared" si="118"/>
        <v>1011</v>
      </c>
      <c r="B980" s="42" t="s">
        <v>26</v>
      </c>
      <c r="C980" s="313">
        <f>SUMIF('Employees Supported'!$A$2:$A$29,$B980,'Employees Supported'!$C$2:$C$29)</f>
        <v>400</v>
      </c>
      <c r="E980" s="2">
        <f t="shared" si="123"/>
        <v>89</v>
      </c>
      <c r="F980" t="str">
        <f t="shared" si="124"/>
        <v>Reserved-89</v>
      </c>
      <c r="G980" t="str">
        <f t="shared" si="119"/>
        <v>ParksReserved-89</v>
      </c>
      <c r="H980" s="2" t="s">
        <v>67</v>
      </c>
      <c r="O980" s="2" t="s">
        <v>2678</v>
      </c>
      <c r="P980" s="3" t="str">
        <f t="shared" si="120"/>
        <v>NR</v>
      </c>
      <c r="R980" s="127">
        <f t="shared" si="121"/>
        <v>0</v>
      </c>
    </row>
    <row r="981" spans="1:18" hidden="1">
      <c r="A981">
        <f t="shared" si="118"/>
        <v>1012</v>
      </c>
      <c r="B981" s="42" t="s">
        <v>32</v>
      </c>
      <c r="C981" s="313">
        <f>SUMIF('Employees Supported'!$A$2:$A$29,$B981,'Employees Supported'!$C$2:$C$29)</f>
        <v>400</v>
      </c>
      <c r="E981" s="2">
        <f t="shared" si="123"/>
        <v>89</v>
      </c>
      <c r="F981" t="str">
        <f t="shared" si="124"/>
        <v>Reserved-89</v>
      </c>
      <c r="G981" t="str">
        <f t="shared" si="119"/>
        <v>Seattle CtrReserved-89</v>
      </c>
      <c r="H981" s="2" t="s">
        <v>67</v>
      </c>
      <c r="O981" s="2" t="s">
        <v>2678</v>
      </c>
      <c r="P981" s="3" t="str">
        <f t="shared" si="120"/>
        <v>NR</v>
      </c>
      <c r="R981" s="127">
        <f t="shared" si="121"/>
        <v>0</v>
      </c>
    </row>
    <row r="982" spans="1:18">
      <c r="A982">
        <f t="shared" si="118"/>
        <v>1013</v>
      </c>
      <c r="B982" s="42" t="s">
        <v>23</v>
      </c>
      <c r="C982" s="313">
        <v>6500</v>
      </c>
      <c r="E982" s="2">
        <f>+E971+1</f>
        <v>90</v>
      </c>
      <c r="F982" t="str">
        <f t="shared" si="124"/>
        <v>Reserved-90</v>
      </c>
      <c r="G982" t="str">
        <f t="shared" si="119"/>
        <v>FAS-CentralizedReserved-90</v>
      </c>
      <c r="H982" s="2" t="s">
        <v>67</v>
      </c>
      <c r="O982" s="2" t="s">
        <v>2678</v>
      </c>
      <c r="P982" s="3" t="str">
        <f t="shared" si="120"/>
        <v>NR</v>
      </c>
      <c r="R982" s="127">
        <f t="shared" si="121"/>
        <v>0</v>
      </c>
    </row>
    <row r="983" spans="1:18" hidden="1">
      <c r="A983">
        <f t="shared" si="118"/>
        <v>1014</v>
      </c>
      <c r="B983" s="42" t="s">
        <v>25</v>
      </c>
      <c r="C983" s="313">
        <f>SUMIF('Employees Supported'!$A$2:$A$29,$B983,'Employees Supported'!$C$2:$C$29)</f>
        <v>1500</v>
      </c>
      <c r="E983" s="2">
        <f t="shared" ref="E983:E1046" si="125">+E972+1</f>
        <v>90</v>
      </c>
      <c r="F983" t="str">
        <f t="shared" si="124"/>
        <v>Reserved-90</v>
      </c>
      <c r="G983" t="str">
        <f t="shared" si="119"/>
        <v>SPDReserved-90</v>
      </c>
      <c r="H983" s="2" t="s">
        <v>67</v>
      </c>
      <c r="O983" s="2" t="s">
        <v>2678</v>
      </c>
      <c r="P983" s="3" t="str">
        <f t="shared" si="120"/>
        <v>NR</v>
      </c>
      <c r="R983" s="127">
        <f t="shared" si="121"/>
        <v>0</v>
      </c>
    </row>
    <row r="984" spans="1:18" hidden="1">
      <c r="A984">
        <f t="shared" si="118"/>
        <v>1015</v>
      </c>
      <c r="B984" s="42" t="s">
        <v>24</v>
      </c>
      <c r="C984" s="313">
        <f>SUMIF('Employees Supported'!$A$2:$A$29,$B984,'Employees Supported'!$C$2:$C$29)</f>
        <v>1100</v>
      </c>
      <c r="E984" s="2">
        <f t="shared" si="125"/>
        <v>90</v>
      </c>
      <c r="F984" t="str">
        <f t="shared" si="124"/>
        <v>Reserved-90</v>
      </c>
      <c r="G984" t="str">
        <f t="shared" si="119"/>
        <v>SFDReserved-90</v>
      </c>
      <c r="H984" s="2" t="s">
        <v>67</v>
      </c>
      <c r="O984" s="2" t="s">
        <v>2678</v>
      </c>
      <c r="P984" s="3" t="str">
        <f t="shared" si="120"/>
        <v>NR</v>
      </c>
      <c r="R984" s="127">
        <f t="shared" si="121"/>
        <v>0</v>
      </c>
    </row>
    <row r="985" spans="1:18" hidden="1">
      <c r="A985">
        <f t="shared" si="118"/>
        <v>1016</v>
      </c>
      <c r="B985" s="42" t="s">
        <v>28</v>
      </c>
      <c r="C985" s="313">
        <f>SUMIF('Employees Supported'!$A$2:$A$29,$B985,'Employees Supported'!$C$2:$C$29)</f>
        <v>1100</v>
      </c>
      <c r="E985" s="2">
        <f t="shared" si="125"/>
        <v>90</v>
      </c>
      <c r="F985" t="str">
        <f t="shared" si="124"/>
        <v>Reserved-90</v>
      </c>
      <c r="G985" t="str">
        <f t="shared" si="119"/>
        <v>SDOTReserved-90</v>
      </c>
      <c r="H985" s="2" t="s">
        <v>67</v>
      </c>
      <c r="O985" s="2" t="s">
        <v>2678</v>
      </c>
      <c r="P985" s="3" t="str">
        <f t="shared" si="120"/>
        <v>NR</v>
      </c>
      <c r="R985" s="127">
        <f t="shared" si="121"/>
        <v>0</v>
      </c>
    </row>
    <row r="986" spans="1:18" hidden="1">
      <c r="A986">
        <f t="shared" si="118"/>
        <v>1017</v>
      </c>
      <c r="B986" s="42" t="s">
        <v>33</v>
      </c>
      <c r="C986" s="313">
        <f>SUMIF('Employees Supported'!$A$2:$A$29,$B986,'Employees Supported'!$C$2:$C$29)</f>
        <v>400</v>
      </c>
      <c r="E986" s="2">
        <f t="shared" si="125"/>
        <v>90</v>
      </c>
      <c r="F986" t="str">
        <f t="shared" si="124"/>
        <v>Reserved-90</v>
      </c>
      <c r="G986" t="str">
        <f t="shared" si="119"/>
        <v>SCLReserved-90</v>
      </c>
      <c r="H986" s="2" t="s">
        <v>67</v>
      </c>
      <c r="O986" s="2" t="s">
        <v>2678</v>
      </c>
      <c r="P986" s="3" t="str">
        <f t="shared" si="120"/>
        <v>NR</v>
      </c>
      <c r="R986" s="127">
        <f t="shared" si="121"/>
        <v>0</v>
      </c>
    </row>
    <row r="987" spans="1:18" hidden="1">
      <c r="A987">
        <f t="shared" si="118"/>
        <v>1018</v>
      </c>
      <c r="B987" s="42" t="s">
        <v>31</v>
      </c>
      <c r="C987" s="313">
        <f>SUMIF('Employees Supported'!$A$2:$A$29,$B987,'Employees Supported'!$C$2:$C$29)</f>
        <v>700</v>
      </c>
      <c r="E987" s="2">
        <f t="shared" si="125"/>
        <v>90</v>
      </c>
      <c r="F987" t="str">
        <f t="shared" si="124"/>
        <v>Reserved-90</v>
      </c>
      <c r="G987" t="str">
        <f t="shared" si="119"/>
        <v>SeaITReserved-90</v>
      </c>
      <c r="H987" s="2" t="s">
        <v>67</v>
      </c>
      <c r="O987" s="2" t="s">
        <v>2678</v>
      </c>
      <c r="P987" s="3" t="str">
        <f t="shared" si="120"/>
        <v>NR</v>
      </c>
      <c r="R987" s="127">
        <f t="shared" si="121"/>
        <v>0</v>
      </c>
    </row>
    <row r="988" spans="1:18" hidden="1">
      <c r="A988">
        <f t="shared" si="118"/>
        <v>1019</v>
      </c>
      <c r="B988" s="42" t="s">
        <v>29</v>
      </c>
      <c r="C988" s="313">
        <f>SUMIF('Employees Supported'!$A$2:$A$29,$B988,'Employees Supported'!$C$2:$C$29)</f>
        <v>550</v>
      </c>
      <c r="E988" s="2">
        <f t="shared" si="125"/>
        <v>90</v>
      </c>
      <c r="F988" t="str">
        <f t="shared" si="124"/>
        <v>Reserved-90</v>
      </c>
      <c r="G988" t="str">
        <f t="shared" si="119"/>
        <v>SDCIReserved-90</v>
      </c>
      <c r="H988" s="2" t="s">
        <v>67</v>
      </c>
      <c r="O988" s="2" t="s">
        <v>2678</v>
      </c>
      <c r="P988" s="3" t="str">
        <f t="shared" si="120"/>
        <v>NR</v>
      </c>
      <c r="R988" s="127">
        <f t="shared" si="121"/>
        <v>0</v>
      </c>
    </row>
    <row r="989" spans="1:18" hidden="1">
      <c r="A989">
        <f t="shared" si="118"/>
        <v>1020</v>
      </c>
      <c r="B989" s="42" t="s">
        <v>27</v>
      </c>
      <c r="C989" s="313">
        <f>SUMIF('Employees Supported'!$A$2:$A$29,$B989,'Employees Supported'!$C$2:$C$29)</f>
        <v>400</v>
      </c>
      <c r="E989" s="2">
        <f t="shared" si="125"/>
        <v>90</v>
      </c>
      <c r="F989" t="str">
        <f t="shared" si="124"/>
        <v>Reserved-90</v>
      </c>
      <c r="G989" t="str">
        <f t="shared" si="119"/>
        <v>SPUReserved-90</v>
      </c>
      <c r="H989" s="2" t="s">
        <v>67</v>
      </c>
      <c r="O989" s="2" t="s">
        <v>2678</v>
      </c>
      <c r="P989" s="3" t="str">
        <f t="shared" si="120"/>
        <v>NR</v>
      </c>
      <c r="R989" s="127">
        <f t="shared" si="121"/>
        <v>0</v>
      </c>
    </row>
    <row r="990" spans="1:18" hidden="1">
      <c r="A990">
        <f t="shared" si="118"/>
        <v>1021</v>
      </c>
      <c r="B990" s="42" t="s">
        <v>30</v>
      </c>
      <c r="C990" s="313">
        <f>SUMIF('Employees Supported'!$A$2:$A$29,$B990,'Employees Supported'!$C$2:$C$29)</f>
        <v>300</v>
      </c>
      <c r="E990" s="2">
        <f t="shared" si="125"/>
        <v>90</v>
      </c>
      <c r="F990" t="str">
        <f t="shared" si="124"/>
        <v>Reserved-90</v>
      </c>
      <c r="G990" t="str">
        <f t="shared" si="119"/>
        <v>LibrariesReserved-90</v>
      </c>
      <c r="H990" s="2" t="s">
        <v>67</v>
      </c>
      <c r="O990" s="2" t="s">
        <v>2678</v>
      </c>
      <c r="P990" s="3" t="str">
        <f t="shared" si="120"/>
        <v>NR</v>
      </c>
      <c r="R990" s="127">
        <f t="shared" si="121"/>
        <v>0</v>
      </c>
    </row>
    <row r="991" spans="1:18" hidden="1">
      <c r="A991">
        <f t="shared" si="118"/>
        <v>1022</v>
      </c>
      <c r="B991" s="42" t="s">
        <v>26</v>
      </c>
      <c r="C991" s="313">
        <f>SUMIF('Employees Supported'!$A$2:$A$29,$B991,'Employees Supported'!$C$2:$C$29)</f>
        <v>400</v>
      </c>
      <c r="E991" s="2">
        <f t="shared" si="125"/>
        <v>90</v>
      </c>
      <c r="F991" t="str">
        <f t="shared" si="124"/>
        <v>Reserved-90</v>
      </c>
      <c r="G991" t="str">
        <f t="shared" si="119"/>
        <v>ParksReserved-90</v>
      </c>
      <c r="H991" s="2" t="s">
        <v>67</v>
      </c>
      <c r="O991" s="2" t="s">
        <v>2678</v>
      </c>
      <c r="P991" s="3" t="str">
        <f t="shared" si="120"/>
        <v>NR</v>
      </c>
      <c r="R991" s="127">
        <f t="shared" si="121"/>
        <v>0</v>
      </c>
    </row>
    <row r="992" spans="1:18" hidden="1">
      <c r="A992">
        <f t="shared" si="118"/>
        <v>1023</v>
      </c>
      <c r="B992" s="42" t="s">
        <v>32</v>
      </c>
      <c r="C992" s="313">
        <f>SUMIF('Employees Supported'!$A$2:$A$29,$B992,'Employees Supported'!$C$2:$C$29)</f>
        <v>400</v>
      </c>
      <c r="E992" s="2">
        <f t="shared" si="125"/>
        <v>90</v>
      </c>
      <c r="F992" t="str">
        <f t="shared" si="124"/>
        <v>Reserved-90</v>
      </c>
      <c r="G992" t="str">
        <f t="shared" si="119"/>
        <v>Seattle CtrReserved-90</v>
      </c>
      <c r="H992" s="2" t="s">
        <v>67</v>
      </c>
      <c r="O992" s="2" t="s">
        <v>2678</v>
      </c>
      <c r="P992" s="3" t="str">
        <f t="shared" si="120"/>
        <v>NR</v>
      </c>
      <c r="R992" s="127">
        <f t="shared" si="121"/>
        <v>0</v>
      </c>
    </row>
    <row r="993" spans="1:18">
      <c r="A993">
        <f t="shared" si="118"/>
        <v>1024</v>
      </c>
      <c r="B993" s="42" t="s">
        <v>23</v>
      </c>
      <c r="C993" s="313">
        <v>6500</v>
      </c>
      <c r="E993" s="2">
        <f>+E982+1</f>
        <v>91</v>
      </c>
      <c r="F993" t="str">
        <f t="shared" si="124"/>
        <v>Reserved-91</v>
      </c>
      <c r="G993" t="str">
        <f t="shared" si="119"/>
        <v>FAS-CentralizedReserved-91</v>
      </c>
      <c r="H993" s="2" t="s">
        <v>67</v>
      </c>
      <c r="O993" s="2" t="s">
        <v>2678</v>
      </c>
      <c r="P993" s="3" t="str">
        <f t="shared" si="120"/>
        <v>NR</v>
      </c>
      <c r="R993" s="127">
        <f t="shared" si="121"/>
        <v>0</v>
      </c>
    </row>
    <row r="994" spans="1:18" hidden="1">
      <c r="A994">
        <f t="shared" si="118"/>
        <v>1025</v>
      </c>
      <c r="B994" s="42" t="s">
        <v>25</v>
      </c>
      <c r="C994" s="313">
        <f>SUMIF('Employees Supported'!$A$2:$A$29,$B994,'Employees Supported'!$C$2:$C$29)</f>
        <v>1500</v>
      </c>
      <c r="E994" s="2">
        <f t="shared" si="125"/>
        <v>91</v>
      </c>
      <c r="F994" t="str">
        <f t="shared" si="124"/>
        <v>Reserved-91</v>
      </c>
      <c r="G994" t="str">
        <f t="shared" si="119"/>
        <v>SPDReserved-91</v>
      </c>
      <c r="H994" s="2" t="s">
        <v>67</v>
      </c>
      <c r="O994" s="2" t="s">
        <v>2678</v>
      </c>
      <c r="P994" s="3" t="str">
        <f t="shared" si="120"/>
        <v>NR</v>
      </c>
      <c r="R994" s="127">
        <f t="shared" si="121"/>
        <v>0</v>
      </c>
    </row>
    <row r="995" spans="1:18" hidden="1">
      <c r="A995">
        <f t="shared" si="118"/>
        <v>1026</v>
      </c>
      <c r="B995" s="42" t="s">
        <v>24</v>
      </c>
      <c r="C995" s="313">
        <f>SUMIF('Employees Supported'!$A$2:$A$29,$B995,'Employees Supported'!$C$2:$C$29)</f>
        <v>1100</v>
      </c>
      <c r="E995" s="2">
        <f t="shared" si="125"/>
        <v>91</v>
      </c>
      <c r="F995" t="str">
        <f t="shared" si="124"/>
        <v>Reserved-91</v>
      </c>
      <c r="G995" t="str">
        <f t="shared" si="119"/>
        <v>SFDReserved-91</v>
      </c>
      <c r="H995" s="2" t="s">
        <v>67</v>
      </c>
      <c r="O995" s="2" t="s">
        <v>2678</v>
      </c>
      <c r="P995" s="3" t="str">
        <f t="shared" si="120"/>
        <v>NR</v>
      </c>
      <c r="R995" s="127">
        <f t="shared" si="121"/>
        <v>0</v>
      </c>
    </row>
    <row r="996" spans="1:18" hidden="1">
      <c r="A996">
        <f t="shared" si="118"/>
        <v>1027</v>
      </c>
      <c r="B996" s="42" t="s">
        <v>28</v>
      </c>
      <c r="C996" s="313">
        <f>SUMIF('Employees Supported'!$A$2:$A$29,$B996,'Employees Supported'!$C$2:$C$29)</f>
        <v>1100</v>
      </c>
      <c r="E996" s="2">
        <f t="shared" si="125"/>
        <v>91</v>
      </c>
      <c r="F996" t="str">
        <f t="shared" si="124"/>
        <v>Reserved-91</v>
      </c>
      <c r="G996" t="str">
        <f t="shared" si="119"/>
        <v>SDOTReserved-91</v>
      </c>
      <c r="H996" s="2" t="s">
        <v>67</v>
      </c>
      <c r="O996" s="2" t="s">
        <v>2678</v>
      </c>
      <c r="P996" s="3" t="str">
        <f t="shared" si="120"/>
        <v>NR</v>
      </c>
      <c r="R996" s="127">
        <f t="shared" si="121"/>
        <v>0</v>
      </c>
    </row>
    <row r="997" spans="1:18" hidden="1">
      <c r="A997">
        <f t="shared" si="118"/>
        <v>1028</v>
      </c>
      <c r="B997" s="42" t="s">
        <v>33</v>
      </c>
      <c r="C997" s="313">
        <f>SUMIF('Employees Supported'!$A$2:$A$29,$B997,'Employees Supported'!$C$2:$C$29)</f>
        <v>400</v>
      </c>
      <c r="E997" s="2">
        <f t="shared" si="125"/>
        <v>91</v>
      </c>
      <c r="F997" t="str">
        <f t="shared" si="124"/>
        <v>Reserved-91</v>
      </c>
      <c r="G997" t="str">
        <f t="shared" si="119"/>
        <v>SCLReserved-91</v>
      </c>
      <c r="H997" s="2" t="s">
        <v>67</v>
      </c>
      <c r="O997" s="2" t="s">
        <v>2678</v>
      </c>
      <c r="P997" s="3" t="str">
        <f t="shared" si="120"/>
        <v>NR</v>
      </c>
      <c r="R997" s="127">
        <f t="shared" si="121"/>
        <v>0</v>
      </c>
    </row>
    <row r="998" spans="1:18" hidden="1">
      <c r="A998">
        <f t="shared" si="118"/>
        <v>1029</v>
      </c>
      <c r="B998" s="42" t="s">
        <v>31</v>
      </c>
      <c r="C998" s="313">
        <f>SUMIF('Employees Supported'!$A$2:$A$29,$B998,'Employees Supported'!$C$2:$C$29)</f>
        <v>700</v>
      </c>
      <c r="E998" s="2">
        <f t="shared" si="125"/>
        <v>91</v>
      </c>
      <c r="F998" t="str">
        <f t="shared" si="124"/>
        <v>Reserved-91</v>
      </c>
      <c r="G998" t="str">
        <f t="shared" si="119"/>
        <v>SeaITReserved-91</v>
      </c>
      <c r="H998" s="2" t="s">
        <v>67</v>
      </c>
      <c r="O998" s="2" t="s">
        <v>2678</v>
      </c>
      <c r="P998" s="3" t="str">
        <f t="shared" si="120"/>
        <v>NR</v>
      </c>
      <c r="R998" s="127">
        <f t="shared" si="121"/>
        <v>0</v>
      </c>
    </row>
    <row r="999" spans="1:18" hidden="1">
      <c r="A999">
        <f t="shared" si="118"/>
        <v>1030</v>
      </c>
      <c r="B999" s="42" t="s">
        <v>29</v>
      </c>
      <c r="C999" s="313">
        <f>SUMIF('Employees Supported'!$A$2:$A$29,$B999,'Employees Supported'!$C$2:$C$29)</f>
        <v>550</v>
      </c>
      <c r="E999" s="2">
        <f t="shared" si="125"/>
        <v>91</v>
      </c>
      <c r="F999" t="str">
        <f t="shared" si="124"/>
        <v>Reserved-91</v>
      </c>
      <c r="G999" t="str">
        <f t="shared" si="119"/>
        <v>SDCIReserved-91</v>
      </c>
      <c r="H999" s="2" t="s">
        <v>67</v>
      </c>
      <c r="O999" s="2" t="s">
        <v>2678</v>
      </c>
      <c r="P999" s="3" t="str">
        <f t="shared" si="120"/>
        <v>NR</v>
      </c>
      <c r="R999" s="127">
        <f t="shared" si="121"/>
        <v>0</v>
      </c>
    </row>
    <row r="1000" spans="1:18" hidden="1">
      <c r="A1000">
        <f t="shared" si="118"/>
        <v>1031</v>
      </c>
      <c r="B1000" s="42" t="s">
        <v>27</v>
      </c>
      <c r="C1000" s="313">
        <f>SUMIF('Employees Supported'!$A$2:$A$29,$B1000,'Employees Supported'!$C$2:$C$29)</f>
        <v>400</v>
      </c>
      <c r="E1000" s="2">
        <f t="shared" si="125"/>
        <v>91</v>
      </c>
      <c r="F1000" t="str">
        <f t="shared" si="124"/>
        <v>Reserved-91</v>
      </c>
      <c r="G1000" t="str">
        <f t="shared" si="119"/>
        <v>SPUReserved-91</v>
      </c>
      <c r="H1000" s="2" t="s">
        <v>67</v>
      </c>
      <c r="O1000" s="2" t="s">
        <v>2678</v>
      </c>
      <c r="P1000" s="3" t="str">
        <f t="shared" si="120"/>
        <v>NR</v>
      </c>
      <c r="R1000" s="127">
        <f t="shared" si="121"/>
        <v>0</v>
      </c>
    </row>
    <row r="1001" spans="1:18" hidden="1">
      <c r="A1001">
        <f t="shared" si="118"/>
        <v>1032</v>
      </c>
      <c r="B1001" s="42" t="s">
        <v>30</v>
      </c>
      <c r="C1001" s="313">
        <f>SUMIF('Employees Supported'!$A$2:$A$29,$B1001,'Employees Supported'!$C$2:$C$29)</f>
        <v>300</v>
      </c>
      <c r="E1001" s="2">
        <f t="shared" si="125"/>
        <v>91</v>
      </c>
      <c r="F1001" t="str">
        <f t="shared" si="124"/>
        <v>Reserved-91</v>
      </c>
      <c r="G1001" t="str">
        <f t="shared" si="119"/>
        <v>LibrariesReserved-91</v>
      </c>
      <c r="H1001" s="2" t="s">
        <v>67</v>
      </c>
      <c r="O1001" s="2" t="s">
        <v>2678</v>
      </c>
      <c r="P1001" s="3" t="str">
        <f t="shared" si="120"/>
        <v>NR</v>
      </c>
      <c r="R1001" s="127">
        <f t="shared" si="121"/>
        <v>0</v>
      </c>
    </row>
    <row r="1002" spans="1:18" hidden="1">
      <c r="A1002">
        <f t="shared" si="118"/>
        <v>1033</v>
      </c>
      <c r="B1002" s="42" t="s">
        <v>26</v>
      </c>
      <c r="C1002" s="313">
        <f>SUMIF('Employees Supported'!$A$2:$A$29,$B1002,'Employees Supported'!$C$2:$C$29)</f>
        <v>400</v>
      </c>
      <c r="E1002" s="2">
        <f t="shared" si="125"/>
        <v>91</v>
      </c>
      <c r="F1002" t="str">
        <f t="shared" si="124"/>
        <v>Reserved-91</v>
      </c>
      <c r="G1002" t="str">
        <f t="shared" si="119"/>
        <v>ParksReserved-91</v>
      </c>
      <c r="H1002" s="2" t="s">
        <v>67</v>
      </c>
      <c r="O1002" s="2" t="s">
        <v>2678</v>
      </c>
      <c r="P1002" s="3" t="str">
        <f t="shared" si="120"/>
        <v>NR</v>
      </c>
      <c r="R1002" s="127">
        <f t="shared" si="121"/>
        <v>0</v>
      </c>
    </row>
    <row r="1003" spans="1:18" hidden="1">
      <c r="A1003">
        <f t="shared" si="118"/>
        <v>1034</v>
      </c>
      <c r="B1003" s="42" t="s">
        <v>32</v>
      </c>
      <c r="C1003" s="313">
        <f>SUMIF('Employees Supported'!$A$2:$A$29,$B1003,'Employees Supported'!$C$2:$C$29)</f>
        <v>400</v>
      </c>
      <c r="E1003" s="2">
        <f t="shared" si="125"/>
        <v>91</v>
      </c>
      <c r="F1003" t="str">
        <f t="shared" si="124"/>
        <v>Reserved-91</v>
      </c>
      <c r="G1003" t="str">
        <f t="shared" si="119"/>
        <v>Seattle CtrReserved-91</v>
      </c>
      <c r="H1003" s="2" t="s">
        <v>67</v>
      </c>
      <c r="O1003" s="2" t="s">
        <v>2678</v>
      </c>
      <c r="P1003" s="3" t="str">
        <f t="shared" si="120"/>
        <v>NR</v>
      </c>
      <c r="R1003" s="127">
        <f t="shared" si="121"/>
        <v>0</v>
      </c>
    </row>
    <row r="1004" spans="1:18">
      <c r="A1004">
        <f t="shared" si="118"/>
        <v>1035</v>
      </c>
      <c r="B1004" s="42" t="s">
        <v>23</v>
      </c>
      <c r="C1004" s="313">
        <v>6500</v>
      </c>
      <c r="E1004" s="2">
        <f>+E993+1</f>
        <v>92</v>
      </c>
      <c r="F1004" t="str">
        <f t="shared" si="124"/>
        <v>Reserved-92</v>
      </c>
      <c r="G1004" t="str">
        <f t="shared" si="119"/>
        <v>FAS-CentralizedReserved-92</v>
      </c>
      <c r="H1004" s="2" t="s">
        <v>67</v>
      </c>
      <c r="O1004" s="2" t="s">
        <v>2678</v>
      </c>
      <c r="P1004" s="3" t="str">
        <f t="shared" si="120"/>
        <v>NR</v>
      </c>
      <c r="R1004" s="127">
        <f t="shared" si="121"/>
        <v>0</v>
      </c>
    </row>
    <row r="1005" spans="1:18" hidden="1">
      <c r="A1005">
        <f t="shared" si="118"/>
        <v>1036</v>
      </c>
      <c r="B1005" s="42" t="s">
        <v>25</v>
      </c>
      <c r="C1005" s="313">
        <f>SUMIF('Employees Supported'!$A$2:$A$29,$B1005,'Employees Supported'!$C$2:$C$29)</f>
        <v>1500</v>
      </c>
      <c r="E1005" s="2">
        <f t="shared" si="125"/>
        <v>92</v>
      </c>
      <c r="F1005" t="str">
        <f t="shared" si="124"/>
        <v>Reserved-92</v>
      </c>
      <c r="G1005" t="str">
        <f t="shared" si="119"/>
        <v>SPDReserved-92</v>
      </c>
      <c r="H1005" s="2" t="s">
        <v>67</v>
      </c>
      <c r="O1005" s="2" t="s">
        <v>2678</v>
      </c>
      <c r="P1005" s="3" t="str">
        <f t="shared" si="120"/>
        <v>NR</v>
      </c>
      <c r="R1005" s="127">
        <f t="shared" si="121"/>
        <v>0</v>
      </c>
    </row>
    <row r="1006" spans="1:18" hidden="1">
      <c r="A1006">
        <f t="shared" si="118"/>
        <v>1037</v>
      </c>
      <c r="B1006" s="42" t="s">
        <v>24</v>
      </c>
      <c r="C1006" s="313">
        <f>SUMIF('Employees Supported'!$A$2:$A$29,$B1006,'Employees Supported'!$C$2:$C$29)</f>
        <v>1100</v>
      </c>
      <c r="E1006" s="2">
        <f t="shared" si="125"/>
        <v>92</v>
      </c>
      <c r="F1006" t="str">
        <f t="shared" si="124"/>
        <v>Reserved-92</v>
      </c>
      <c r="G1006" t="str">
        <f t="shared" si="119"/>
        <v>SFDReserved-92</v>
      </c>
      <c r="H1006" s="2" t="s">
        <v>67</v>
      </c>
      <c r="O1006" s="2" t="s">
        <v>2678</v>
      </c>
      <c r="P1006" s="3" t="str">
        <f t="shared" si="120"/>
        <v>NR</v>
      </c>
      <c r="R1006" s="127">
        <f t="shared" si="121"/>
        <v>0</v>
      </c>
    </row>
    <row r="1007" spans="1:18" hidden="1">
      <c r="A1007">
        <f t="shared" si="118"/>
        <v>1038</v>
      </c>
      <c r="B1007" s="42" t="s">
        <v>28</v>
      </c>
      <c r="C1007" s="313">
        <f>SUMIF('Employees Supported'!$A$2:$A$29,$B1007,'Employees Supported'!$C$2:$C$29)</f>
        <v>1100</v>
      </c>
      <c r="E1007" s="2">
        <f t="shared" si="125"/>
        <v>92</v>
      </c>
      <c r="F1007" t="str">
        <f t="shared" si="124"/>
        <v>Reserved-92</v>
      </c>
      <c r="G1007" t="str">
        <f t="shared" si="119"/>
        <v>SDOTReserved-92</v>
      </c>
      <c r="H1007" s="2" t="s">
        <v>67</v>
      </c>
      <c r="O1007" s="2" t="s">
        <v>2678</v>
      </c>
      <c r="P1007" s="3" t="str">
        <f t="shared" si="120"/>
        <v>NR</v>
      </c>
      <c r="R1007" s="127">
        <f t="shared" si="121"/>
        <v>0</v>
      </c>
    </row>
    <row r="1008" spans="1:18" hidden="1">
      <c r="A1008">
        <f t="shared" si="118"/>
        <v>1039</v>
      </c>
      <c r="B1008" s="42" t="s">
        <v>33</v>
      </c>
      <c r="C1008" s="313">
        <f>SUMIF('Employees Supported'!$A$2:$A$29,$B1008,'Employees Supported'!$C$2:$C$29)</f>
        <v>400</v>
      </c>
      <c r="E1008" s="2">
        <f t="shared" si="125"/>
        <v>92</v>
      </c>
      <c r="F1008" t="str">
        <f t="shared" si="124"/>
        <v>Reserved-92</v>
      </c>
      <c r="G1008" t="str">
        <f t="shared" si="119"/>
        <v>SCLReserved-92</v>
      </c>
      <c r="H1008" s="2" t="s">
        <v>67</v>
      </c>
      <c r="O1008" s="2" t="s">
        <v>2678</v>
      </c>
      <c r="P1008" s="3" t="str">
        <f t="shared" si="120"/>
        <v>NR</v>
      </c>
      <c r="R1008" s="127">
        <f t="shared" si="121"/>
        <v>0</v>
      </c>
    </row>
    <row r="1009" spans="1:18" hidden="1">
      <c r="A1009">
        <f t="shared" si="118"/>
        <v>1040</v>
      </c>
      <c r="B1009" s="42" t="s">
        <v>31</v>
      </c>
      <c r="C1009" s="313">
        <f>SUMIF('Employees Supported'!$A$2:$A$29,$B1009,'Employees Supported'!$C$2:$C$29)</f>
        <v>700</v>
      </c>
      <c r="E1009" s="2">
        <f t="shared" si="125"/>
        <v>92</v>
      </c>
      <c r="F1009" t="str">
        <f t="shared" si="124"/>
        <v>Reserved-92</v>
      </c>
      <c r="G1009" t="str">
        <f t="shared" si="119"/>
        <v>SeaITReserved-92</v>
      </c>
      <c r="H1009" s="2" t="s">
        <v>67</v>
      </c>
      <c r="O1009" s="2" t="s">
        <v>2678</v>
      </c>
      <c r="P1009" s="3" t="str">
        <f t="shared" si="120"/>
        <v>NR</v>
      </c>
      <c r="R1009" s="127">
        <f t="shared" si="121"/>
        <v>0</v>
      </c>
    </row>
    <row r="1010" spans="1:18" hidden="1">
      <c r="A1010">
        <f t="shared" si="118"/>
        <v>1041</v>
      </c>
      <c r="B1010" s="42" t="s">
        <v>29</v>
      </c>
      <c r="C1010" s="313">
        <f>SUMIF('Employees Supported'!$A$2:$A$29,$B1010,'Employees Supported'!$C$2:$C$29)</f>
        <v>550</v>
      </c>
      <c r="E1010" s="2">
        <f t="shared" si="125"/>
        <v>92</v>
      </c>
      <c r="F1010" t="str">
        <f t="shared" si="124"/>
        <v>Reserved-92</v>
      </c>
      <c r="G1010" t="str">
        <f t="shared" si="119"/>
        <v>SDCIReserved-92</v>
      </c>
      <c r="H1010" s="2" t="s">
        <v>67</v>
      </c>
      <c r="O1010" s="2" t="s">
        <v>2678</v>
      </c>
      <c r="P1010" s="3" t="str">
        <f t="shared" si="120"/>
        <v>NR</v>
      </c>
      <c r="R1010" s="127">
        <f t="shared" si="121"/>
        <v>0</v>
      </c>
    </row>
    <row r="1011" spans="1:18" hidden="1">
      <c r="A1011">
        <f t="shared" si="118"/>
        <v>1042</v>
      </c>
      <c r="B1011" s="42" t="s">
        <v>27</v>
      </c>
      <c r="C1011" s="313">
        <f>SUMIF('Employees Supported'!$A$2:$A$29,$B1011,'Employees Supported'!$C$2:$C$29)</f>
        <v>400</v>
      </c>
      <c r="E1011" s="2">
        <f t="shared" si="125"/>
        <v>92</v>
      </c>
      <c r="F1011" t="str">
        <f t="shared" si="124"/>
        <v>Reserved-92</v>
      </c>
      <c r="G1011" t="str">
        <f t="shared" si="119"/>
        <v>SPUReserved-92</v>
      </c>
      <c r="H1011" s="2" t="s">
        <v>67</v>
      </c>
      <c r="O1011" s="2" t="s">
        <v>2678</v>
      </c>
      <c r="P1011" s="3" t="str">
        <f t="shared" si="120"/>
        <v>NR</v>
      </c>
      <c r="R1011" s="127">
        <f t="shared" si="121"/>
        <v>0</v>
      </c>
    </row>
    <row r="1012" spans="1:18" hidden="1">
      <c r="A1012">
        <f t="shared" si="118"/>
        <v>1043</v>
      </c>
      <c r="B1012" s="42" t="s">
        <v>30</v>
      </c>
      <c r="C1012" s="313">
        <f>SUMIF('Employees Supported'!$A$2:$A$29,$B1012,'Employees Supported'!$C$2:$C$29)</f>
        <v>300</v>
      </c>
      <c r="E1012" s="2">
        <f t="shared" si="125"/>
        <v>92</v>
      </c>
      <c r="F1012" t="str">
        <f t="shared" si="124"/>
        <v>Reserved-92</v>
      </c>
      <c r="G1012" t="str">
        <f t="shared" si="119"/>
        <v>LibrariesReserved-92</v>
      </c>
      <c r="H1012" s="2" t="s">
        <v>67</v>
      </c>
      <c r="O1012" s="2" t="s">
        <v>2678</v>
      </c>
      <c r="P1012" s="3" t="str">
        <f t="shared" si="120"/>
        <v>NR</v>
      </c>
      <c r="R1012" s="127">
        <f t="shared" si="121"/>
        <v>0</v>
      </c>
    </row>
    <row r="1013" spans="1:18" hidden="1">
      <c r="A1013">
        <f t="shared" si="118"/>
        <v>1044</v>
      </c>
      <c r="B1013" s="42" t="s">
        <v>26</v>
      </c>
      <c r="C1013" s="313">
        <f>SUMIF('Employees Supported'!$A$2:$A$29,$B1013,'Employees Supported'!$C$2:$C$29)</f>
        <v>400</v>
      </c>
      <c r="E1013" s="2">
        <f t="shared" si="125"/>
        <v>92</v>
      </c>
      <c r="F1013" t="str">
        <f t="shared" si="124"/>
        <v>Reserved-92</v>
      </c>
      <c r="G1013" t="str">
        <f t="shared" si="119"/>
        <v>ParksReserved-92</v>
      </c>
      <c r="H1013" s="2" t="s">
        <v>67</v>
      </c>
      <c r="O1013" s="2" t="s">
        <v>2678</v>
      </c>
      <c r="P1013" s="3" t="str">
        <f t="shared" si="120"/>
        <v>NR</v>
      </c>
      <c r="R1013" s="127">
        <f t="shared" si="121"/>
        <v>0</v>
      </c>
    </row>
    <row r="1014" spans="1:18" hidden="1">
      <c r="A1014">
        <f t="shared" si="118"/>
        <v>1045</v>
      </c>
      <c r="B1014" s="42" t="s">
        <v>32</v>
      </c>
      <c r="C1014" s="313">
        <f>SUMIF('Employees Supported'!$A$2:$A$29,$B1014,'Employees Supported'!$C$2:$C$29)</f>
        <v>400</v>
      </c>
      <c r="E1014" s="2">
        <f t="shared" si="125"/>
        <v>92</v>
      </c>
      <c r="F1014" t="str">
        <f t="shared" si="124"/>
        <v>Reserved-92</v>
      </c>
      <c r="G1014" t="str">
        <f t="shared" si="119"/>
        <v>Seattle CtrReserved-92</v>
      </c>
      <c r="H1014" s="2" t="s">
        <v>67</v>
      </c>
      <c r="O1014" s="2" t="s">
        <v>2678</v>
      </c>
      <c r="P1014" s="3" t="str">
        <f t="shared" si="120"/>
        <v>NR</v>
      </c>
      <c r="R1014" s="127">
        <f t="shared" si="121"/>
        <v>0</v>
      </c>
    </row>
    <row r="1015" spans="1:18">
      <c r="A1015">
        <f t="shared" ref="A1015:A1078" si="126">+A1014+1</f>
        <v>1046</v>
      </c>
      <c r="B1015" s="42" t="s">
        <v>23</v>
      </c>
      <c r="C1015" s="313">
        <v>6500</v>
      </c>
      <c r="E1015" s="2">
        <f>+E1004+1</f>
        <v>93</v>
      </c>
      <c r="F1015" t="str">
        <f t="shared" si="124"/>
        <v>Reserved-93</v>
      </c>
      <c r="G1015" t="str">
        <f t="shared" si="119"/>
        <v>FAS-CentralizedReserved-93</v>
      </c>
      <c r="H1015" s="2" t="s">
        <v>67</v>
      </c>
      <c r="O1015" s="2" t="s">
        <v>2678</v>
      </c>
      <c r="P1015" s="3" t="str">
        <f t="shared" si="120"/>
        <v>NR</v>
      </c>
      <c r="R1015" s="127">
        <f t="shared" si="121"/>
        <v>0</v>
      </c>
    </row>
    <row r="1016" spans="1:18" hidden="1">
      <c r="A1016">
        <f t="shared" si="126"/>
        <v>1047</v>
      </c>
      <c r="B1016" s="42" t="s">
        <v>25</v>
      </c>
      <c r="C1016" s="313">
        <f>SUMIF('Employees Supported'!$A$2:$A$29,$B1016,'Employees Supported'!$C$2:$C$29)</f>
        <v>1500</v>
      </c>
      <c r="E1016" s="2">
        <f t="shared" si="125"/>
        <v>93</v>
      </c>
      <c r="F1016" t="str">
        <f t="shared" si="124"/>
        <v>Reserved-93</v>
      </c>
      <c r="G1016" t="str">
        <f t="shared" ref="G1016:G1079" si="127">_xlfn.SINGLE(_xlfn.CONCAT(B1016,F1016))</f>
        <v>SPDReserved-93</v>
      </c>
      <c r="H1016" s="2" t="s">
        <v>67</v>
      </c>
      <c r="O1016" s="2" t="s">
        <v>2678</v>
      </c>
      <c r="P1016" s="3" t="str">
        <f t="shared" ref="P1016:P1079" si="128">IF(O1016="NR","NR",((((C1016+D1016)*I1016)*90)+(J1016*90)+(((C1016+D1016)*K1016)*3)+(L1016*3)+((C1016+D1016)*M1016)+N1016))</f>
        <v>NR</v>
      </c>
      <c r="R1016" s="127">
        <f t="shared" ref="R1016:R1079" si="129">SUM(P1016)/90</f>
        <v>0</v>
      </c>
    </row>
    <row r="1017" spans="1:18" hidden="1">
      <c r="A1017">
        <f t="shared" si="126"/>
        <v>1048</v>
      </c>
      <c r="B1017" s="42" t="s">
        <v>24</v>
      </c>
      <c r="C1017" s="313">
        <f>SUMIF('Employees Supported'!$A$2:$A$29,$B1017,'Employees Supported'!$C$2:$C$29)</f>
        <v>1100</v>
      </c>
      <c r="E1017" s="2">
        <f t="shared" si="125"/>
        <v>93</v>
      </c>
      <c r="F1017" t="str">
        <f t="shared" si="124"/>
        <v>Reserved-93</v>
      </c>
      <c r="G1017" t="str">
        <f t="shared" si="127"/>
        <v>SFDReserved-93</v>
      </c>
      <c r="H1017" s="2" t="s">
        <v>67</v>
      </c>
      <c r="O1017" s="2" t="s">
        <v>2678</v>
      </c>
      <c r="P1017" s="3" t="str">
        <f t="shared" si="128"/>
        <v>NR</v>
      </c>
      <c r="R1017" s="127">
        <f t="shared" si="129"/>
        <v>0</v>
      </c>
    </row>
    <row r="1018" spans="1:18" hidden="1">
      <c r="A1018">
        <f t="shared" si="126"/>
        <v>1049</v>
      </c>
      <c r="B1018" s="42" t="s">
        <v>28</v>
      </c>
      <c r="C1018" s="313">
        <f>SUMIF('Employees Supported'!$A$2:$A$29,$B1018,'Employees Supported'!$C$2:$C$29)</f>
        <v>1100</v>
      </c>
      <c r="E1018" s="2">
        <f t="shared" si="125"/>
        <v>93</v>
      </c>
      <c r="F1018" t="str">
        <f t="shared" si="124"/>
        <v>Reserved-93</v>
      </c>
      <c r="G1018" t="str">
        <f t="shared" si="127"/>
        <v>SDOTReserved-93</v>
      </c>
      <c r="H1018" s="2" t="s">
        <v>67</v>
      </c>
      <c r="O1018" s="2" t="s">
        <v>2678</v>
      </c>
      <c r="P1018" s="3" t="str">
        <f t="shared" si="128"/>
        <v>NR</v>
      </c>
      <c r="R1018" s="127">
        <f t="shared" si="129"/>
        <v>0</v>
      </c>
    </row>
    <row r="1019" spans="1:18" hidden="1">
      <c r="A1019">
        <f t="shared" si="126"/>
        <v>1050</v>
      </c>
      <c r="B1019" s="42" t="s">
        <v>33</v>
      </c>
      <c r="C1019" s="313">
        <f>SUMIF('Employees Supported'!$A$2:$A$29,$B1019,'Employees Supported'!$C$2:$C$29)</f>
        <v>400</v>
      </c>
      <c r="E1019" s="2">
        <f t="shared" si="125"/>
        <v>93</v>
      </c>
      <c r="F1019" t="str">
        <f t="shared" si="124"/>
        <v>Reserved-93</v>
      </c>
      <c r="G1019" t="str">
        <f t="shared" si="127"/>
        <v>SCLReserved-93</v>
      </c>
      <c r="H1019" s="2" t="s">
        <v>67</v>
      </c>
      <c r="O1019" s="2" t="s">
        <v>2678</v>
      </c>
      <c r="P1019" s="3" t="str">
        <f t="shared" si="128"/>
        <v>NR</v>
      </c>
      <c r="R1019" s="127">
        <f t="shared" si="129"/>
        <v>0</v>
      </c>
    </row>
    <row r="1020" spans="1:18" hidden="1">
      <c r="A1020">
        <f t="shared" si="126"/>
        <v>1051</v>
      </c>
      <c r="B1020" s="42" t="s">
        <v>31</v>
      </c>
      <c r="C1020" s="313">
        <f>SUMIF('Employees Supported'!$A$2:$A$29,$B1020,'Employees Supported'!$C$2:$C$29)</f>
        <v>700</v>
      </c>
      <c r="E1020" s="2">
        <f t="shared" si="125"/>
        <v>93</v>
      </c>
      <c r="F1020" t="str">
        <f t="shared" si="124"/>
        <v>Reserved-93</v>
      </c>
      <c r="G1020" t="str">
        <f t="shared" si="127"/>
        <v>SeaITReserved-93</v>
      </c>
      <c r="H1020" s="2" t="s">
        <v>67</v>
      </c>
      <c r="O1020" s="2" t="s">
        <v>2678</v>
      </c>
      <c r="P1020" s="3" t="str">
        <f t="shared" si="128"/>
        <v>NR</v>
      </c>
      <c r="R1020" s="127">
        <f t="shared" si="129"/>
        <v>0</v>
      </c>
    </row>
    <row r="1021" spans="1:18" hidden="1">
      <c r="A1021">
        <f t="shared" si="126"/>
        <v>1052</v>
      </c>
      <c r="B1021" s="42" t="s">
        <v>29</v>
      </c>
      <c r="C1021" s="313">
        <f>SUMIF('Employees Supported'!$A$2:$A$29,$B1021,'Employees Supported'!$C$2:$C$29)</f>
        <v>550</v>
      </c>
      <c r="E1021" s="2">
        <f t="shared" si="125"/>
        <v>93</v>
      </c>
      <c r="F1021" t="str">
        <f t="shared" si="124"/>
        <v>Reserved-93</v>
      </c>
      <c r="G1021" t="str">
        <f t="shared" si="127"/>
        <v>SDCIReserved-93</v>
      </c>
      <c r="H1021" s="2" t="s">
        <v>67</v>
      </c>
      <c r="O1021" s="2" t="s">
        <v>2678</v>
      </c>
      <c r="P1021" s="3" t="str">
        <f t="shared" si="128"/>
        <v>NR</v>
      </c>
      <c r="R1021" s="127">
        <f t="shared" si="129"/>
        <v>0</v>
      </c>
    </row>
    <row r="1022" spans="1:18" hidden="1">
      <c r="A1022">
        <f t="shared" si="126"/>
        <v>1053</v>
      </c>
      <c r="B1022" s="42" t="s">
        <v>27</v>
      </c>
      <c r="C1022" s="313">
        <f>SUMIF('Employees Supported'!$A$2:$A$29,$B1022,'Employees Supported'!$C$2:$C$29)</f>
        <v>400</v>
      </c>
      <c r="E1022" s="2">
        <f t="shared" si="125"/>
        <v>93</v>
      </c>
      <c r="F1022" t="str">
        <f t="shared" si="124"/>
        <v>Reserved-93</v>
      </c>
      <c r="G1022" t="str">
        <f t="shared" si="127"/>
        <v>SPUReserved-93</v>
      </c>
      <c r="H1022" s="2" t="s">
        <v>67</v>
      </c>
      <c r="O1022" s="2" t="s">
        <v>2678</v>
      </c>
      <c r="P1022" s="3" t="str">
        <f t="shared" si="128"/>
        <v>NR</v>
      </c>
      <c r="R1022" s="127">
        <f t="shared" si="129"/>
        <v>0</v>
      </c>
    </row>
    <row r="1023" spans="1:18" hidden="1">
      <c r="A1023">
        <f t="shared" si="126"/>
        <v>1054</v>
      </c>
      <c r="B1023" s="42" t="s">
        <v>30</v>
      </c>
      <c r="C1023" s="313">
        <f>SUMIF('Employees Supported'!$A$2:$A$29,$B1023,'Employees Supported'!$C$2:$C$29)</f>
        <v>300</v>
      </c>
      <c r="E1023" s="2">
        <f t="shared" si="125"/>
        <v>93</v>
      </c>
      <c r="F1023" t="str">
        <f t="shared" si="124"/>
        <v>Reserved-93</v>
      </c>
      <c r="G1023" t="str">
        <f t="shared" si="127"/>
        <v>LibrariesReserved-93</v>
      </c>
      <c r="H1023" s="2" t="s">
        <v>67</v>
      </c>
      <c r="O1023" s="2" t="s">
        <v>2678</v>
      </c>
      <c r="P1023" s="3" t="str">
        <f t="shared" si="128"/>
        <v>NR</v>
      </c>
      <c r="R1023" s="127">
        <f t="shared" si="129"/>
        <v>0</v>
      </c>
    </row>
    <row r="1024" spans="1:18" hidden="1">
      <c r="A1024">
        <f t="shared" si="126"/>
        <v>1055</v>
      </c>
      <c r="B1024" s="42" t="s">
        <v>26</v>
      </c>
      <c r="C1024" s="313">
        <f>SUMIF('Employees Supported'!$A$2:$A$29,$B1024,'Employees Supported'!$C$2:$C$29)</f>
        <v>400</v>
      </c>
      <c r="E1024" s="2">
        <f t="shared" si="125"/>
        <v>93</v>
      </c>
      <c r="F1024" t="str">
        <f t="shared" si="124"/>
        <v>Reserved-93</v>
      </c>
      <c r="G1024" t="str">
        <f t="shared" si="127"/>
        <v>ParksReserved-93</v>
      </c>
      <c r="H1024" s="2" t="s">
        <v>67</v>
      </c>
      <c r="O1024" s="2" t="s">
        <v>2678</v>
      </c>
      <c r="P1024" s="3" t="str">
        <f t="shared" si="128"/>
        <v>NR</v>
      </c>
      <c r="R1024" s="127">
        <f t="shared" si="129"/>
        <v>0</v>
      </c>
    </row>
    <row r="1025" spans="1:18" hidden="1">
      <c r="A1025">
        <f t="shared" si="126"/>
        <v>1056</v>
      </c>
      <c r="B1025" s="42" t="s">
        <v>32</v>
      </c>
      <c r="C1025" s="313">
        <f>SUMIF('Employees Supported'!$A$2:$A$29,$B1025,'Employees Supported'!$C$2:$C$29)</f>
        <v>400</v>
      </c>
      <c r="E1025" s="2">
        <f t="shared" si="125"/>
        <v>93</v>
      </c>
      <c r="F1025" t="str">
        <f t="shared" si="124"/>
        <v>Reserved-93</v>
      </c>
      <c r="G1025" t="str">
        <f t="shared" si="127"/>
        <v>Seattle CtrReserved-93</v>
      </c>
      <c r="H1025" s="2" t="s">
        <v>67</v>
      </c>
      <c r="O1025" s="2" t="s">
        <v>2678</v>
      </c>
      <c r="P1025" s="3" t="str">
        <f t="shared" si="128"/>
        <v>NR</v>
      </c>
      <c r="R1025" s="127">
        <f t="shared" si="129"/>
        <v>0</v>
      </c>
    </row>
    <row r="1026" spans="1:18">
      <c r="A1026">
        <f t="shared" si="126"/>
        <v>1057</v>
      </c>
      <c r="B1026" s="42" t="s">
        <v>23</v>
      </c>
      <c r="C1026" s="313">
        <v>6500</v>
      </c>
      <c r="E1026" s="2">
        <f>+E1015+1</f>
        <v>94</v>
      </c>
      <c r="F1026" t="str">
        <f t="shared" si="124"/>
        <v>Reserved-94</v>
      </c>
      <c r="G1026" t="str">
        <f t="shared" si="127"/>
        <v>FAS-CentralizedReserved-94</v>
      </c>
      <c r="H1026" s="2" t="s">
        <v>67</v>
      </c>
      <c r="O1026" s="2" t="s">
        <v>2678</v>
      </c>
      <c r="P1026" s="3" t="str">
        <f t="shared" si="128"/>
        <v>NR</v>
      </c>
      <c r="R1026" s="127">
        <f t="shared" si="129"/>
        <v>0</v>
      </c>
    </row>
    <row r="1027" spans="1:18" hidden="1">
      <c r="A1027">
        <f t="shared" si="126"/>
        <v>1058</v>
      </c>
      <c r="B1027" s="42" t="s">
        <v>25</v>
      </c>
      <c r="C1027" s="313">
        <f>SUMIF('Employees Supported'!$A$2:$A$29,$B1027,'Employees Supported'!$C$2:$C$29)</f>
        <v>1500</v>
      </c>
      <c r="E1027" s="2">
        <f t="shared" si="125"/>
        <v>94</v>
      </c>
      <c r="F1027" t="str">
        <f t="shared" si="124"/>
        <v>Reserved-94</v>
      </c>
      <c r="G1027" t="str">
        <f t="shared" si="127"/>
        <v>SPDReserved-94</v>
      </c>
      <c r="H1027" s="2" t="s">
        <v>67</v>
      </c>
      <c r="O1027" s="2" t="s">
        <v>2678</v>
      </c>
      <c r="P1027" s="3" t="str">
        <f t="shared" si="128"/>
        <v>NR</v>
      </c>
      <c r="R1027" s="127">
        <f t="shared" si="129"/>
        <v>0</v>
      </c>
    </row>
    <row r="1028" spans="1:18" hidden="1">
      <c r="A1028">
        <f t="shared" si="126"/>
        <v>1059</v>
      </c>
      <c r="B1028" s="42" t="s">
        <v>24</v>
      </c>
      <c r="C1028" s="313">
        <f>SUMIF('Employees Supported'!$A$2:$A$29,$B1028,'Employees Supported'!$C$2:$C$29)</f>
        <v>1100</v>
      </c>
      <c r="E1028" s="2">
        <f t="shared" si="125"/>
        <v>94</v>
      </c>
      <c r="F1028" t="str">
        <f t="shared" si="124"/>
        <v>Reserved-94</v>
      </c>
      <c r="G1028" t="str">
        <f t="shared" si="127"/>
        <v>SFDReserved-94</v>
      </c>
      <c r="H1028" s="2" t="s">
        <v>67</v>
      </c>
      <c r="O1028" s="2" t="s">
        <v>2678</v>
      </c>
      <c r="P1028" s="3" t="str">
        <f t="shared" si="128"/>
        <v>NR</v>
      </c>
      <c r="R1028" s="127">
        <f t="shared" si="129"/>
        <v>0</v>
      </c>
    </row>
    <row r="1029" spans="1:18" hidden="1">
      <c r="A1029">
        <f t="shared" si="126"/>
        <v>1060</v>
      </c>
      <c r="B1029" s="42" t="s">
        <v>28</v>
      </c>
      <c r="C1029" s="313">
        <f>SUMIF('Employees Supported'!$A$2:$A$29,$B1029,'Employees Supported'!$C$2:$C$29)</f>
        <v>1100</v>
      </c>
      <c r="E1029" s="2">
        <f t="shared" si="125"/>
        <v>94</v>
      </c>
      <c r="F1029" t="str">
        <f t="shared" si="124"/>
        <v>Reserved-94</v>
      </c>
      <c r="G1029" t="str">
        <f t="shared" si="127"/>
        <v>SDOTReserved-94</v>
      </c>
      <c r="H1029" s="2" t="s">
        <v>67</v>
      </c>
      <c r="O1029" s="2" t="s">
        <v>2678</v>
      </c>
      <c r="P1029" s="3" t="str">
        <f t="shared" si="128"/>
        <v>NR</v>
      </c>
      <c r="R1029" s="127">
        <f t="shared" si="129"/>
        <v>0</v>
      </c>
    </row>
    <row r="1030" spans="1:18" hidden="1">
      <c r="A1030">
        <f t="shared" si="126"/>
        <v>1061</v>
      </c>
      <c r="B1030" s="42" t="s">
        <v>33</v>
      </c>
      <c r="C1030" s="313">
        <f>SUMIF('Employees Supported'!$A$2:$A$29,$B1030,'Employees Supported'!$C$2:$C$29)</f>
        <v>400</v>
      </c>
      <c r="E1030" s="2">
        <f t="shared" si="125"/>
        <v>94</v>
      </c>
      <c r="F1030" t="str">
        <f t="shared" si="124"/>
        <v>Reserved-94</v>
      </c>
      <c r="G1030" t="str">
        <f t="shared" si="127"/>
        <v>SCLReserved-94</v>
      </c>
      <c r="H1030" s="2" t="s">
        <v>67</v>
      </c>
      <c r="O1030" s="2" t="s">
        <v>2678</v>
      </c>
      <c r="P1030" s="3" t="str">
        <f t="shared" si="128"/>
        <v>NR</v>
      </c>
      <c r="R1030" s="127">
        <f t="shared" si="129"/>
        <v>0</v>
      </c>
    </row>
    <row r="1031" spans="1:18" hidden="1">
      <c r="A1031">
        <f t="shared" si="126"/>
        <v>1062</v>
      </c>
      <c r="B1031" s="42" t="s">
        <v>31</v>
      </c>
      <c r="C1031" s="313">
        <f>SUMIF('Employees Supported'!$A$2:$A$29,$B1031,'Employees Supported'!$C$2:$C$29)</f>
        <v>700</v>
      </c>
      <c r="E1031" s="2">
        <f t="shared" si="125"/>
        <v>94</v>
      </c>
      <c r="F1031" t="str">
        <f t="shared" si="124"/>
        <v>Reserved-94</v>
      </c>
      <c r="G1031" t="str">
        <f t="shared" si="127"/>
        <v>SeaITReserved-94</v>
      </c>
      <c r="H1031" s="2" t="s">
        <v>67</v>
      </c>
      <c r="O1031" s="2" t="s">
        <v>2678</v>
      </c>
      <c r="P1031" s="3" t="str">
        <f t="shared" si="128"/>
        <v>NR</v>
      </c>
      <c r="R1031" s="127">
        <f t="shared" si="129"/>
        <v>0</v>
      </c>
    </row>
    <row r="1032" spans="1:18" hidden="1">
      <c r="A1032">
        <f t="shared" si="126"/>
        <v>1063</v>
      </c>
      <c r="B1032" s="42" t="s">
        <v>29</v>
      </c>
      <c r="C1032" s="313">
        <f>SUMIF('Employees Supported'!$A$2:$A$29,$B1032,'Employees Supported'!$C$2:$C$29)</f>
        <v>550</v>
      </c>
      <c r="E1032" s="2">
        <f t="shared" si="125"/>
        <v>94</v>
      </c>
      <c r="F1032" t="str">
        <f t="shared" si="124"/>
        <v>Reserved-94</v>
      </c>
      <c r="G1032" t="str">
        <f t="shared" si="127"/>
        <v>SDCIReserved-94</v>
      </c>
      <c r="H1032" s="2" t="s">
        <v>67</v>
      </c>
      <c r="O1032" s="2" t="s">
        <v>2678</v>
      </c>
      <c r="P1032" s="3" t="str">
        <f t="shared" si="128"/>
        <v>NR</v>
      </c>
      <c r="R1032" s="127">
        <f t="shared" si="129"/>
        <v>0</v>
      </c>
    </row>
    <row r="1033" spans="1:18" hidden="1">
      <c r="A1033">
        <f t="shared" si="126"/>
        <v>1064</v>
      </c>
      <c r="B1033" s="42" t="s">
        <v>27</v>
      </c>
      <c r="C1033" s="313">
        <f>SUMIF('Employees Supported'!$A$2:$A$29,$B1033,'Employees Supported'!$C$2:$C$29)</f>
        <v>400</v>
      </c>
      <c r="E1033" s="2">
        <f t="shared" si="125"/>
        <v>94</v>
      </c>
      <c r="F1033" t="str">
        <f t="shared" si="124"/>
        <v>Reserved-94</v>
      </c>
      <c r="G1033" t="str">
        <f t="shared" si="127"/>
        <v>SPUReserved-94</v>
      </c>
      <c r="H1033" s="2" t="s">
        <v>67</v>
      </c>
      <c r="O1033" s="2" t="s">
        <v>2678</v>
      </c>
      <c r="P1033" s="3" t="str">
        <f t="shared" si="128"/>
        <v>NR</v>
      </c>
      <c r="R1033" s="127">
        <f t="shared" si="129"/>
        <v>0</v>
      </c>
    </row>
    <row r="1034" spans="1:18" hidden="1">
      <c r="A1034">
        <f t="shared" si="126"/>
        <v>1065</v>
      </c>
      <c r="B1034" s="42" t="s">
        <v>30</v>
      </c>
      <c r="C1034" s="313">
        <f>SUMIF('Employees Supported'!$A$2:$A$29,$B1034,'Employees Supported'!$C$2:$C$29)</f>
        <v>300</v>
      </c>
      <c r="E1034" s="2">
        <f t="shared" si="125"/>
        <v>94</v>
      </c>
      <c r="F1034" t="str">
        <f t="shared" si="124"/>
        <v>Reserved-94</v>
      </c>
      <c r="G1034" t="str">
        <f t="shared" si="127"/>
        <v>LibrariesReserved-94</v>
      </c>
      <c r="H1034" s="2" t="s">
        <v>67</v>
      </c>
      <c r="O1034" s="2" t="s">
        <v>2678</v>
      </c>
      <c r="P1034" s="3" t="str">
        <f t="shared" si="128"/>
        <v>NR</v>
      </c>
      <c r="R1034" s="127">
        <f t="shared" si="129"/>
        <v>0</v>
      </c>
    </row>
    <row r="1035" spans="1:18" hidden="1">
      <c r="A1035">
        <f t="shared" si="126"/>
        <v>1066</v>
      </c>
      <c r="B1035" s="42" t="s">
        <v>26</v>
      </c>
      <c r="C1035" s="313">
        <f>SUMIF('Employees Supported'!$A$2:$A$29,$B1035,'Employees Supported'!$C$2:$C$29)</f>
        <v>400</v>
      </c>
      <c r="E1035" s="2">
        <f t="shared" si="125"/>
        <v>94</v>
      </c>
      <c r="F1035" t="str">
        <f t="shared" ref="F1035:F1098" si="130">_xlfn.SINGLE(_xlfn.CONCAT("Reserved-",E1035))</f>
        <v>Reserved-94</v>
      </c>
      <c r="G1035" t="str">
        <f t="shared" si="127"/>
        <v>ParksReserved-94</v>
      </c>
      <c r="H1035" s="2" t="s">
        <v>67</v>
      </c>
      <c r="O1035" s="2" t="s">
        <v>2678</v>
      </c>
      <c r="P1035" s="3" t="str">
        <f t="shared" si="128"/>
        <v>NR</v>
      </c>
      <c r="R1035" s="127">
        <f t="shared" si="129"/>
        <v>0</v>
      </c>
    </row>
    <row r="1036" spans="1:18" hidden="1">
      <c r="A1036">
        <f t="shared" si="126"/>
        <v>1067</v>
      </c>
      <c r="B1036" s="42" t="s">
        <v>32</v>
      </c>
      <c r="C1036" s="313">
        <f>SUMIF('Employees Supported'!$A$2:$A$29,$B1036,'Employees Supported'!$C$2:$C$29)</f>
        <v>400</v>
      </c>
      <c r="E1036" s="2">
        <f t="shared" si="125"/>
        <v>94</v>
      </c>
      <c r="F1036" t="str">
        <f t="shared" si="130"/>
        <v>Reserved-94</v>
      </c>
      <c r="G1036" t="str">
        <f t="shared" si="127"/>
        <v>Seattle CtrReserved-94</v>
      </c>
      <c r="H1036" s="2" t="s">
        <v>67</v>
      </c>
      <c r="O1036" s="2" t="s">
        <v>2678</v>
      </c>
      <c r="P1036" s="3" t="str">
        <f t="shared" si="128"/>
        <v>NR</v>
      </c>
      <c r="R1036" s="127">
        <f t="shared" si="129"/>
        <v>0</v>
      </c>
    </row>
    <row r="1037" spans="1:18">
      <c r="A1037">
        <f t="shared" si="126"/>
        <v>1068</v>
      </c>
      <c r="B1037" s="42" t="s">
        <v>23</v>
      </c>
      <c r="C1037" s="313">
        <v>6500</v>
      </c>
      <c r="E1037" s="2">
        <f>+E1026+1</f>
        <v>95</v>
      </c>
      <c r="F1037" t="str">
        <f t="shared" si="130"/>
        <v>Reserved-95</v>
      </c>
      <c r="G1037" t="str">
        <f t="shared" si="127"/>
        <v>FAS-CentralizedReserved-95</v>
      </c>
      <c r="H1037" s="2" t="s">
        <v>67</v>
      </c>
      <c r="O1037" s="2" t="s">
        <v>2678</v>
      </c>
      <c r="P1037" s="3" t="str">
        <f t="shared" si="128"/>
        <v>NR</v>
      </c>
      <c r="R1037" s="127">
        <f t="shared" si="129"/>
        <v>0</v>
      </c>
    </row>
    <row r="1038" spans="1:18" hidden="1">
      <c r="A1038">
        <f t="shared" si="126"/>
        <v>1069</v>
      </c>
      <c r="B1038" s="42" t="s">
        <v>25</v>
      </c>
      <c r="C1038" s="313">
        <f>SUMIF('Employees Supported'!$A$2:$A$29,$B1038,'Employees Supported'!$C$2:$C$29)</f>
        <v>1500</v>
      </c>
      <c r="E1038" s="2">
        <f t="shared" si="125"/>
        <v>95</v>
      </c>
      <c r="F1038" t="str">
        <f t="shared" si="130"/>
        <v>Reserved-95</v>
      </c>
      <c r="G1038" t="str">
        <f t="shared" si="127"/>
        <v>SPDReserved-95</v>
      </c>
      <c r="H1038" s="2" t="s">
        <v>67</v>
      </c>
      <c r="O1038" s="2" t="s">
        <v>2678</v>
      </c>
      <c r="P1038" s="3" t="str">
        <f t="shared" si="128"/>
        <v>NR</v>
      </c>
      <c r="R1038" s="127">
        <f t="shared" si="129"/>
        <v>0</v>
      </c>
    </row>
    <row r="1039" spans="1:18" hidden="1">
      <c r="A1039">
        <f t="shared" si="126"/>
        <v>1070</v>
      </c>
      <c r="B1039" s="42" t="s">
        <v>24</v>
      </c>
      <c r="C1039" s="313">
        <f>SUMIF('Employees Supported'!$A$2:$A$29,$B1039,'Employees Supported'!$C$2:$C$29)</f>
        <v>1100</v>
      </c>
      <c r="E1039" s="2">
        <f t="shared" si="125"/>
        <v>95</v>
      </c>
      <c r="F1039" t="str">
        <f t="shared" si="130"/>
        <v>Reserved-95</v>
      </c>
      <c r="G1039" t="str">
        <f t="shared" si="127"/>
        <v>SFDReserved-95</v>
      </c>
      <c r="H1039" s="2" t="s">
        <v>67</v>
      </c>
      <c r="O1039" s="2" t="s">
        <v>2678</v>
      </c>
      <c r="P1039" s="3" t="str">
        <f t="shared" si="128"/>
        <v>NR</v>
      </c>
      <c r="R1039" s="127">
        <f t="shared" si="129"/>
        <v>0</v>
      </c>
    </row>
    <row r="1040" spans="1:18" hidden="1">
      <c r="A1040">
        <f t="shared" si="126"/>
        <v>1071</v>
      </c>
      <c r="B1040" s="42" t="s">
        <v>28</v>
      </c>
      <c r="C1040" s="313">
        <f>SUMIF('Employees Supported'!$A$2:$A$29,$B1040,'Employees Supported'!$C$2:$C$29)</f>
        <v>1100</v>
      </c>
      <c r="E1040" s="2">
        <f t="shared" si="125"/>
        <v>95</v>
      </c>
      <c r="F1040" t="str">
        <f t="shared" si="130"/>
        <v>Reserved-95</v>
      </c>
      <c r="G1040" t="str">
        <f t="shared" si="127"/>
        <v>SDOTReserved-95</v>
      </c>
      <c r="H1040" s="2" t="s">
        <v>67</v>
      </c>
      <c r="O1040" s="2" t="s">
        <v>2678</v>
      </c>
      <c r="P1040" s="3" t="str">
        <f t="shared" si="128"/>
        <v>NR</v>
      </c>
      <c r="R1040" s="127">
        <f t="shared" si="129"/>
        <v>0</v>
      </c>
    </row>
    <row r="1041" spans="1:18" hidden="1">
      <c r="A1041">
        <f t="shared" si="126"/>
        <v>1072</v>
      </c>
      <c r="B1041" s="42" t="s">
        <v>33</v>
      </c>
      <c r="C1041" s="313">
        <f>SUMIF('Employees Supported'!$A$2:$A$29,$B1041,'Employees Supported'!$C$2:$C$29)</f>
        <v>400</v>
      </c>
      <c r="E1041" s="2">
        <f t="shared" si="125"/>
        <v>95</v>
      </c>
      <c r="F1041" t="str">
        <f t="shared" si="130"/>
        <v>Reserved-95</v>
      </c>
      <c r="G1041" t="str">
        <f t="shared" si="127"/>
        <v>SCLReserved-95</v>
      </c>
      <c r="H1041" s="2" t="s">
        <v>67</v>
      </c>
      <c r="O1041" s="2" t="s">
        <v>2678</v>
      </c>
      <c r="P1041" s="3" t="str">
        <f t="shared" si="128"/>
        <v>NR</v>
      </c>
      <c r="R1041" s="127">
        <f t="shared" si="129"/>
        <v>0</v>
      </c>
    </row>
    <row r="1042" spans="1:18" hidden="1">
      <c r="A1042">
        <f t="shared" si="126"/>
        <v>1073</v>
      </c>
      <c r="B1042" s="42" t="s">
        <v>31</v>
      </c>
      <c r="C1042" s="313">
        <f>SUMIF('Employees Supported'!$A$2:$A$29,$B1042,'Employees Supported'!$C$2:$C$29)</f>
        <v>700</v>
      </c>
      <c r="E1042" s="2">
        <f t="shared" si="125"/>
        <v>95</v>
      </c>
      <c r="F1042" t="str">
        <f t="shared" si="130"/>
        <v>Reserved-95</v>
      </c>
      <c r="G1042" t="str">
        <f t="shared" si="127"/>
        <v>SeaITReserved-95</v>
      </c>
      <c r="H1042" s="2" t="s">
        <v>67</v>
      </c>
      <c r="O1042" s="2" t="s">
        <v>2678</v>
      </c>
      <c r="P1042" s="3" t="str">
        <f t="shared" si="128"/>
        <v>NR</v>
      </c>
      <c r="R1042" s="127">
        <f t="shared" si="129"/>
        <v>0</v>
      </c>
    </row>
    <row r="1043" spans="1:18" hidden="1">
      <c r="A1043">
        <f t="shared" si="126"/>
        <v>1074</v>
      </c>
      <c r="B1043" s="42" t="s">
        <v>29</v>
      </c>
      <c r="C1043" s="313">
        <f>SUMIF('Employees Supported'!$A$2:$A$29,$B1043,'Employees Supported'!$C$2:$C$29)</f>
        <v>550</v>
      </c>
      <c r="E1043" s="2">
        <f t="shared" si="125"/>
        <v>95</v>
      </c>
      <c r="F1043" t="str">
        <f t="shared" si="130"/>
        <v>Reserved-95</v>
      </c>
      <c r="G1043" t="str">
        <f t="shared" si="127"/>
        <v>SDCIReserved-95</v>
      </c>
      <c r="H1043" s="2" t="s">
        <v>67</v>
      </c>
      <c r="O1043" s="2" t="s">
        <v>2678</v>
      </c>
      <c r="P1043" s="3" t="str">
        <f t="shared" si="128"/>
        <v>NR</v>
      </c>
      <c r="R1043" s="127">
        <f t="shared" si="129"/>
        <v>0</v>
      </c>
    </row>
    <row r="1044" spans="1:18" hidden="1">
      <c r="A1044">
        <f t="shared" si="126"/>
        <v>1075</v>
      </c>
      <c r="B1044" s="42" t="s">
        <v>27</v>
      </c>
      <c r="C1044" s="313">
        <f>SUMIF('Employees Supported'!$A$2:$A$29,$B1044,'Employees Supported'!$C$2:$C$29)</f>
        <v>400</v>
      </c>
      <c r="E1044" s="2">
        <f t="shared" si="125"/>
        <v>95</v>
      </c>
      <c r="F1044" t="str">
        <f t="shared" si="130"/>
        <v>Reserved-95</v>
      </c>
      <c r="G1044" t="str">
        <f t="shared" si="127"/>
        <v>SPUReserved-95</v>
      </c>
      <c r="H1044" s="2" t="s">
        <v>67</v>
      </c>
      <c r="O1044" s="2" t="s">
        <v>2678</v>
      </c>
      <c r="P1044" s="3" t="str">
        <f t="shared" si="128"/>
        <v>NR</v>
      </c>
      <c r="R1044" s="127">
        <f t="shared" si="129"/>
        <v>0</v>
      </c>
    </row>
    <row r="1045" spans="1:18" hidden="1">
      <c r="A1045">
        <f t="shared" si="126"/>
        <v>1076</v>
      </c>
      <c r="B1045" s="42" t="s">
        <v>30</v>
      </c>
      <c r="C1045" s="313">
        <f>SUMIF('Employees Supported'!$A$2:$A$29,$B1045,'Employees Supported'!$C$2:$C$29)</f>
        <v>300</v>
      </c>
      <c r="E1045" s="2">
        <f t="shared" si="125"/>
        <v>95</v>
      </c>
      <c r="F1045" t="str">
        <f t="shared" si="130"/>
        <v>Reserved-95</v>
      </c>
      <c r="G1045" t="str">
        <f t="shared" si="127"/>
        <v>LibrariesReserved-95</v>
      </c>
      <c r="H1045" s="2" t="s">
        <v>67</v>
      </c>
      <c r="O1045" s="2" t="s">
        <v>2678</v>
      </c>
      <c r="P1045" s="3" t="str">
        <f t="shared" si="128"/>
        <v>NR</v>
      </c>
      <c r="R1045" s="127">
        <f t="shared" si="129"/>
        <v>0</v>
      </c>
    </row>
    <row r="1046" spans="1:18" hidden="1">
      <c r="A1046">
        <f t="shared" si="126"/>
        <v>1077</v>
      </c>
      <c r="B1046" s="42" t="s">
        <v>26</v>
      </c>
      <c r="C1046" s="313">
        <f>SUMIF('Employees Supported'!$A$2:$A$29,$B1046,'Employees Supported'!$C$2:$C$29)</f>
        <v>400</v>
      </c>
      <c r="E1046" s="2">
        <f t="shared" si="125"/>
        <v>95</v>
      </c>
      <c r="F1046" t="str">
        <f t="shared" si="130"/>
        <v>Reserved-95</v>
      </c>
      <c r="G1046" t="str">
        <f t="shared" si="127"/>
        <v>ParksReserved-95</v>
      </c>
      <c r="H1046" s="2" t="s">
        <v>67</v>
      </c>
      <c r="O1046" s="2" t="s">
        <v>2678</v>
      </c>
      <c r="P1046" s="3" t="str">
        <f t="shared" si="128"/>
        <v>NR</v>
      </c>
      <c r="R1046" s="127">
        <f t="shared" si="129"/>
        <v>0</v>
      </c>
    </row>
    <row r="1047" spans="1:18" hidden="1">
      <c r="A1047">
        <f t="shared" si="126"/>
        <v>1078</v>
      </c>
      <c r="B1047" s="42" t="s">
        <v>32</v>
      </c>
      <c r="C1047" s="313">
        <f>SUMIF('Employees Supported'!$A$2:$A$29,$B1047,'Employees Supported'!$C$2:$C$29)</f>
        <v>400</v>
      </c>
      <c r="E1047" s="2">
        <f t="shared" ref="E1047" si="131">+E1036+1</f>
        <v>95</v>
      </c>
      <c r="F1047" t="str">
        <f t="shared" si="130"/>
        <v>Reserved-95</v>
      </c>
      <c r="G1047" t="str">
        <f t="shared" si="127"/>
        <v>Seattle CtrReserved-95</v>
      </c>
      <c r="H1047" s="2" t="s">
        <v>67</v>
      </c>
      <c r="O1047" s="2" t="s">
        <v>2678</v>
      </c>
      <c r="P1047" s="3" t="str">
        <f t="shared" si="128"/>
        <v>NR</v>
      </c>
      <c r="R1047" s="127">
        <f t="shared" si="129"/>
        <v>0</v>
      </c>
    </row>
    <row r="1048" spans="1:18">
      <c r="A1048">
        <f t="shared" si="126"/>
        <v>1079</v>
      </c>
      <c r="B1048" s="42" t="s">
        <v>23</v>
      </c>
      <c r="C1048" s="313">
        <v>6500</v>
      </c>
      <c r="E1048" s="2">
        <f>+E1037+1</f>
        <v>96</v>
      </c>
      <c r="F1048" t="str">
        <f t="shared" si="130"/>
        <v>Reserved-96</v>
      </c>
      <c r="G1048" t="str">
        <f t="shared" si="127"/>
        <v>FAS-CentralizedReserved-96</v>
      </c>
      <c r="H1048" s="2" t="s">
        <v>67</v>
      </c>
      <c r="O1048" s="2" t="s">
        <v>2678</v>
      </c>
      <c r="P1048" s="3" t="str">
        <f t="shared" si="128"/>
        <v>NR</v>
      </c>
      <c r="R1048" s="127">
        <f t="shared" si="129"/>
        <v>0</v>
      </c>
    </row>
    <row r="1049" spans="1:18" hidden="1">
      <c r="A1049">
        <f t="shared" si="126"/>
        <v>1080</v>
      </c>
      <c r="B1049" s="42" t="s">
        <v>25</v>
      </c>
      <c r="C1049" s="313">
        <f>SUMIF('Employees Supported'!$A$2:$A$29,$B1049,'Employees Supported'!$C$2:$C$29)</f>
        <v>1500</v>
      </c>
      <c r="E1049" s="2">
        <f t="shared" ref="E1049:E1069" si="132">+E1038+1</f>
        <v>96</v>
      </c>
      <c r="F1049" t="str">
        <f t="shared" si="130"/>
        <v>Reserved-96</v>
      </c>
      <c r="G1049" t="str">
        <f t="shared" si="127"/>
        <v>SPDReserved-96</v>
      </c>
      <c r="H1049" s="2" t="s">
        <v>67</v>
      </c>
      <c r="O1049" s="2" t="s">
        <v>2678</v>
      </c>
      <c r="P1049" s="3" t="str">
        <f t="shared" si="128"/>
        <v>NR</v>
      </c>
      <c r="R1049" s="127">
        <f t="shared" si="129"/>
        <v>0</v>
      </c>
    </row>
    <row r="1050" spans="1:18" hidden="1">
      <c r="A1050">
        <f t="shared" si="126"/>
        <v>1081</v>
      </c>
      <c r="B1050" s="42" t="s">
        <v>24</v>
      </c>
      <c r="C1050" s="313">
        <f>SUMIF('Employees Supported'!$A$2:$A$29,$B1050,'Employees Supported'!$C$2:$C$29)</f>
        <v>1100</v>
      </c>
      <c r="E1050" s="2">
        <f t="shared" si="132"/>
        <v>96</v>
      </c>
      <c r="F1050" t="str">
        <f t="shared" si="130"/>
        <v>Reserved-96</v>
      </c>
      <c r="G1050" t="str">
        <f t="shared" si="127"/>
        <v>SFDReserved-96</v>
      </c>
      <c r="H1050" s="2" t="s">
        <v>67</v>
      </c>
      <c r="O1050" s="2" t="s">
        <v>2678</v>
      </c>
      <c r="P1050" s="3" t="str">
        <f t="shared" si="128"/>
        <v>NR</v>
      </c>
      <c r="R1050" s="127">
        <f t="shared" si="129"/>
        <v>0</v>
      </c>
    </row>
    <row r="1051" spans="1:18" hidden="1">
      <c r="A1051">
        <f t="shared" si="126"/>
        <v>1082</v>
      </c>
      <c r="B1051" s="42" t="s">
        <v>28</v>
      </c>
      <c r="C1051" s="313">
        <f>SUMIF('Employees Supported'!$A$2:$A$29,$B1051,'Employees Supported'!$C$2:$C$29)</f>
        <v>1100</v>
      </c>
      <c r="E1051" s="2">
        <f t="shared" si="132"/>
        <v>96</v>
      </c>
      <c r="F1051" t="str">
        <f t="shared" si="130"/>
        <v>Reserved-96</v>
      </c>
      <c r="G1051" t="str">
        <f t="shared" si="127"/>
        <v>SDOTReserved-96</v>
      </c>
      <c r="H1051" s="2" t="s">
        <v>67</v>
      </c>
      <c r="O1051" s="2" t="s">
        <v>2678</v>
      </c>
      <c r="P1051" s="3" t="str">
        <f t="shared" si="128"/>
        <v>NR</v>
      </c>
      <c r="R1051" s="127">
        <f t="shared" si="129"/>
        <v>0</v>
      </c>
    </row>
    <row r="1052" spans="1:18" hidden="1">
      <c r="A1052">
        <f t="shared" si="126"/>
        <v>1083</v>
      </c>
      <c r="B1052" s="42" t="s">
        <v>33</v>
      </c>
      <c r="C1052" s="313">
        <f>SUMIF('Employees Supported'!$A$2:$A$29,$B1052,'Employees Supported'!$C$2:$C$29)</f>
        <v>400</v>
      </c>
      <c r="E1052" s="2">
        <f t="shared" si="132"/>
        <v>96</v>
      </c>
      <c r="F1052" t="str">
        <f t="shared" si="130"/>
        <v>Reserved-96</v>
      </c>
      <c r="G1052" t="str">
        <f t="shared" si="127"/>
        <v>SCLReserved-96</v>
      </c>
      <c r="H1052" s="2" t="s">
        <v>67</v>
      </c>
      <c r="O1052" s="2" t="s">
        <v>2678</v>
      </c>
      <c r="P1052" s="3" t="str">
        <f t="shared" si="128"/>
        <v>NR</v>
      </c>
      <c r="R1052" s="127">
        <f t="shared" si="129"/>
        <v>0</v>
      </c>
    </row>
    <row r="1053" spans="1:18" hidden="1">
      <c r="A1053">
        <f t="shared" si="126"/>
        <v>1084</v>
      </c>
      <c r="B1053" s="42" t="s">
        <v>31</v>
      </c>
      <c r="C1053" s="313">
        <f>SUMIF('Employees Supported'!$A$2:$A$29,$B1053,'Employees Supported'!$C$2:$C$29)</f>
        <v>700</v>
      </c>
      <c r="E1053" s="2">
        <f t="shared" si="132"/>
        <v>96</v>
      </c>
      <c r="F1053" t="str">
        <f t="shared" si="130"/>
        <v>Reserved-96</v>
      </c>
      <c r="G1053" t="str">
        <f t="shared" si="127"/>
        <v>SeaITReserved-96</v>
      </c>
      <c r="H1053" s="2" t="s">
        <v>67</v>
      </c>
      <c r="O1053" s="2" t="s">
        <v>2678</v>
      </c>
      <c r="P1053" s="3" t="str">
        <f t="shared" si="128"/>
        <v>NR</v>
      </c>
      <c r="R1053" s="127">
        <f t="shared" si="129"/>
        <v>0</v>
      </c>
    </row>
    <row r="1054" spans="1:18" hidden="1">
      <c r="A1054">
        <f t="shared" si="126"/>
        <v>1085</v>
      </c>
      <c r="B1054" s="42" t="s">
        <v>29</v>
      </c>
      <c r="C1054" s="313">
        <f>SUMIF('Employees Supported'!$A$2:$A$29,$B1054,'Employees Supported'!$C$2:$C$29)</f>
        <v>550</v>
      </c>
      <c r="E1054" s="2">
        <f t="shared" si="132"/>
        <v>96</v>
      </c>
      <c r="F1054" t="str">
        <f t="shared" si="130"/>
        <v>Reserved-96</v>
      </c>
      <c r="G1054" t="str">
        <f t="shared" si="127"/>
        <v>SDCIReserved-96</v>
      </c>
      <c r="H1054" s="2" t="s">
        <v>67</v>
      </c>
      <c r="O1054" s="2" t="s">
        <v>2678</v>
      </c>
      <c r="P1054" s="3" t="str">
        <f t="shared" si="128"/>
        <v>NR</v>
      </c>
      <c r="R1054" s="127">
        <f t="shared" si="129"/>
        <v>0</v>
      </c>
    </row>
    <row r="1055" spans="1:18" hidden="1">
      <c r="A1055">
        <f t="shared" si="126"/>
        <v>1086</v>
      </c>
      <c r="B1055" s="42" t="s">
        <v>27</v>
      </c>
      <c r="C1055" s="313">
        <f>SUMIF('Employees Supported'!$A$2:$A$29,$B1055,'Employees Supported'!$C$2:$C$29)</f>
        <v>400</v>
      </c>
      <c r="E1055" s="2">
        <f t="shared" si="132"/>
        <v>96</v>
      </c>
      <c r="F1055" t="str">
        <f t="shared" si="130"/>
        <v>Reserved-96</v>
      </c>
      <c r="G1055" t="str">
        <f t="shared" si="127"/>
        <v>SPUReserved-96</v>
      </c>
      <c r="H1055" s="2" t="s">
        <v>67</v>
      </c>
      <c r="O1055" s="2" t="s">
        <v>2678</v>
      </c>
      <c r="P1055" s="3" t="str">
        <f t="shared" si="128"/>
        <v>NR</v>
      </c>
      <c r="R1055" s="127">
        <f t="shared" si="129"/>
        <v>0</v>
      </c>
    </row>
    <row r="1056" spans="1:18" hidden="1">
      <c r="A1056">
        <f t="shared" si="126"/>
        <v>1087</v>
      </c>
      <c r="B1056" s="42" t="s">
        <v>30</v>
      </c>
      <c r="C1056" s="313">
        <f>SUMIF('Employees Supported'!$A$2:$A$29,$B1056,'Employees Supported'!$C$2:$C$29)</f>
        <v>300</v>
      </c>
      <c r="E1056" s="2">
        <f t="shared" si="132"/>
        <v>96</v>
      </c>
      <c r="F1056" t="str">
        <f t="shared" si="130"/>
        <v>Reserved-96</v>
      </c>
      <c r="G1056" t="str">
        <f t="shared" si="127"/>
        <v>LibrariesReserved-96</v>
      </c>
      <c r="H1056" s="2" t="s">
        <v>67</v>
      </c>
      <c r="O1056" s="2" t="s">
        <v>2678</v>
      </c>
      <c r="P1056" s="3" t="str">
        <f t="shared" si="128"/>
        <v>NR</v>
      </c>
      <c r="R1056" s="127">
        <f t="shared" si="129"/>
        <v>0</v>
      </c>
    </row>
    <row r="1057" spans="1:18" hidden="1">
      <c r="A1057">
        <f t="shared" si="126"/>
        <v>1088</v>
      </c>
      <c r="B1057" s="42" t="s">
        <v>26</v>
      </c>
      <c r="C1057" s="313">
        <f>SUMIF('Employees Supported'!$A$2:$A$29,$B1057,'Employees Supported'!$C$2:$C$29)</f>
        <v>400</v>
      </c>
      <c r="E1057" s="2">
        <f t="shared" si="132"/>
        <v>96</v>
      </c>
      <c r="F1057" t="str">
        <f t="shared" si="130"/>
        <v>Reserved-96</v>
      </c>
      <c r="G1057" t="str">
        <f t="shared" si="127"/>
        <v>ParksReserved-96</v>
      </c>
      <c r="H1057" s="2" t="s">
        <v>67</v>
      </c>
      <c r="O1057" s="2" t="s">
        <v>2678</v>
      </c>
      <c r="P1057" s="3" t="str">
        <f t="shared" si="128"/>
        <v>NR</v>
      </c>
      <c r="R1057" s="127">
        <f t="shared" si="129"/>
        <v>0</v>
      </c>
    </row>
    <row r="1058" spans="1:18" hidden="1">
      <c r="A1058">
        <f t="shared" si="126"/>
        <v>1089</v>
      </c>
      <c r="B1058" s="42" t="s">
        <v>32</v>
      </c>
      <c r="C1058" s="313">
        <f>SUMIF('Employees Supported'!$A$2:$A$29,$B1058,'Employees Supported'!$C$2:$C$29)</f>
        <v>400</v>
      </c>
      <c r="E1058" s="2">
        <f t="shared" si="132"/>
        <v>96</v>
      </c>
      <c r="F1058" t="str">
        <f t="shared" si="130"/>
        <v>Reserved-96</v>
      </c>
      <c r="G1058" t="str">
        <f t="shared" si="127"/>
        <v>Seattle CtrReserved-96</v>
      </c>
      <c r="H1058" s="2" t="s">
        <v>67</v>
      </c>
      <c r="O1058" s="2" t="s">
        <v>2678</v>
      </c>
      <c r="P1058" s="3" t="str">
        <f t="shared" si="128"/>
        <v>NR</v>
      </c>
      <c r="R1058" s="127">
        <f t="shared" si="129"/>
        <v>0</v>
      </c>
    </row>
    <row r="1059" spans="1:18">
      <c r="A1059">
        <f t="shared" si="126"/>
        <v>1090</v>
      </c>
      <c r="B1059" s="42" t="s">
        <v>23</v>
      </c>
      <c r="C1059" s="313">
        <v>6500</v>
      </c>
      <c r="E1059" s="2">
        <f>+E1048+1</f>
        <v>97</v>
      </c>
      <c r="F1059" t="str">
        <f t="shared" si="130"/>
        <v>Reserved-97</v>
      </c>
      <c r="G1059" t="str">
        <f t="shared" si="127"/>
        <v>FAS-CentralizedReserved-97</v>
      </c>
      <c r="H1059" s="2" t="s">
        <v>67</v>
      </c>
      <c r="O1059" s="2" t="s">
        <v>2678</v>
      </c>
      <c r="P1059" s="3" t="str">
        <f t="shared" si="128"/>
        <v>NR</v>
      </c>
      <c r="R1059" s="127">
        <f t="shared" si="129"/>
        <v>0</v>
      </c>
    </row>
    <row r="1060" spans="1:18" hidden="1">
      <c r="A1060">
        <f t="shared" si="126"/>
        <v>1091</v>
      </c>
      <c r="B1060" s="42" t="s">
        <v>25</v>
      </c>
      <c r="C1060" s="313">
        <f>SUMIF('Employees Supported'!$A$2:$A$29,$B1060,'Employees Supported'!$C$2:$C$29)</f>
        <v>1500</v>
      </c>
      <c r="E1060" s="2">
        <f t="shared" si="132"/>
        <v>97</v>
      </c>
      <c r="F1060" t="str">
        <f t="shared" si="130"/>
        <v>Reserved-97</v>
      </c>
      <c r="G1060" t="str">
        <f t="shared" si="127"/>
        <v>SPDReserved-97</v>
      </c>
      <c r="H1060" s="2" t="s">
        <v>67</v>
      </c>
      <c r="O1060" s="2" t="s">
        <v>2678</v>
      </c>
      <c r="P1060" s="3" t="str">
        <f t="shared" si="128"/>
        <v>NR</v>
      </c>
      <c r="R1060" s="127">
        <f t="shared" si="129"/>
        <v>0</v>
      </c>
    </row>
    <row r="1061" spans="1:18" hidden="1">
      <c r="A1061">
        <f t="shared" si="126"/>
        <v>1092</v>
      </c>
      <c r="B1061" s="42" t="s">
        <v>24</v>
      </c>
      <c r="C1061" s="313">
        <f>SUMIF('Employees Supported'!$A$2:$A$29,$B1061,'Employees Supported'!$C$2:$C$29)</f>
        <v>1100</v>
      </c>
      <c r="E1061" s="2">
        <f t="shared" si="132"/>
        <v>97</v>
      </c>
      <c r="F1061" t="str">
        <f t="shared" si="130"/>
        <v>Reserved-97</v>
      </c>
      <c r="G1061" t="str">
        <f t="shared" si="127"/>
        <v>SFDReserved-97</v>
      </c>
      <c r="H1061" s="2" t="s">
        <v>67</v>
      </c>
      <c r="O1061" s="2" t="s">
        <v>2678</v>
      </c>
      <c r="P1061" s="3" t="str">
        <f t="shared" si="128"/>
        <v>NR</v>
      </c>
      <c r="R1061" s="127">
        <f t="shared" si="129"/>
        <v>0</v>
      </c>
    </row>
    <row r="1062" spans="1:18" hidden="1">
      <c r="A1062">
        <f t="shared" si="126"/>
        <v>1093</v>
      </c>
      <c r="B1062" s="42" t="s">
        <v>28</v>
      </c>
      <c r="C1062" s="313">
        <f>SUMIF('Employees Supported'!$A$2:$A$29,$B1062,'Employees Supported'!$C$2:$C$29)</f>
        <v>1100</v>
      </c>
      <c r="E1062" s="2">
        <f t="shared" si="132"/>
        <v>97</v>
      </c>
      <c r="F1062" t="str">
        <f t="shared" si="130"/>
        <v>Reserved-97</v>
      </c>
      <c r="G1062" t="str">
        <f t="shared" si="127"/>
        <v>SDOTReserved-97</v>
      </c>
      <c r="H1062" s="2" t="s">
        <v>67</v>
      </c>
      <c r="O1062" s="2" t="s">
        <v>2678</v>
      </c>
      <c r="P1062" s="3" t="str">
        <f t="shared" si="128"/>
        <v>NR</v>
      </c>
      <c r="R1062" s="127">
        <f t="shared" si="129"/>
        <v>0</v>
      </c>
    </row>
    <row r="1063" spans="1:18" hidden="1">
      <c r="A1063">
        <f t="shared" si="126"/>
        <v>1094</v>
      </c>
      <c r="B1063" s="42" t="s">
        <v>33</v>
      </c>
      <c r="C1063" s="313">
        <f>SUMIF('Employees Supported'!$A$2:$A$29,$B1063,'Employees Supported'!$C$2:$C$29)</f>
        <v>400</v>
      </c>
      <c r="E1063" s="2">
        <f t="shared" si="132"/>
        <v>97</v>
      </c>
      <c r="F1063" t="str">
        <f t="shared" si="130"/>
        <v>Reserved-97</v>
      </c>
      <c r="G1063" t="str">
        <f t="shared" si="127"/>
        <v>SCLReserved-97</v>
      </c>
      <c r="H1063" s="2" t="s">
        <v>67</v>
      </c>
      <c r="O1063" s="2" t="s">
        <v>2678</v>
      </c>
      <c r="P1063" s="3" t="str">
        <f t="shared" si="128"/>
        <v>NR</v>
      </c>
      <c r="R1063" s="127">
        <f t="shared" si="129"/>
        <v>0</v>
      </c>
    </row>
    <row r="1064" spans="1:18" hidden="1">
      <c r="A1064">
        <f t="shared" si="126"/>
        <v>1095</v>
      </c>
      <c r="B1064" s="42" t="s">
        <v>31</v>
      </c>
      <c r="C1064" s="313">
        <f>SUMIF('Employees Supported'!$A$2:$A$29,$B1064,'Employees Supported'!$C$2:$C$29)</f>
        <v>700</v>
      </c>
      <c r="E1064" s="2">
        <f t="shared" si="132"/>
        <v>97</v>
      </c>
      <c r="F1064" t="str">
        <f t="shared" si="130"/>
        <v>Reserved-97</v>
      </c>
      <c r="G1064" t="str">
        <f t="shared" si="127"/>
        <v>SeaITReserved-97</v>
      </c>
      <c r="H1064" s="2" t="s">
        <v>67</v>
      </c>
      <c r="O1064" s="2" t="s">
        <v>2678</v>
      </c>
      <c r="P1064" s="3" t="str">
        <f t="shared" si="128"/>
        <v>NR</v>
      </c>
      <c r="R1064" s="127">
        <f t="shared" si="129"/>
        <v>0</v>
      </c>
    </row>
    <row r="1065" spans="1:18" hidden="1">
      <c r="A1065">
        <f t="shared" si="126"/>
        <v>1096</v>
      </c>
      <c r="B1065" s="42" t="s">
        <v>29</v>
      </c>
      <c r="C1065" s="313">
        <f>SUMIF('Employees Supported'!$A$2:$A$29,$B1065,'Employees Supported'!$C$2:$C$29)</f>
        <v>550</v>
      </c>
      <c r="E1065" s="2">
        <f t="shared" si="132"/>
        <v>97</v>
      </c>
      <c r="F1065" t="str">
        <f t="shared" si="130"/>
        <v>Reserved-97</v>
      </c>
      <c r="G1065" t="str">
        <f t="shared" si="127"/>
        <v>SDCIReserved-97</v>
      </c>
      <c r="H1065" s="2" t="s">
        <v>67</v>
      </c>
      <c r="O1065" s="2" t="s">
        <v>2678</v>
      </c>
      <c r="P1065" s="3" t="str">
        <f t="shared" si="128"/>
        <v>NR</v>
      </c>
      <c r="R1065" s="127">
        <f t="shared" si="129"/>
        <v>0</v>
      </c>
    </row>
    <row r="1066" spans="1:18" hidden="1">
      <c r="A1066">
        <f t="shared" si="126"/>
        <v>1097</v>
      </c>
      <c r="B1066" s="42" t="s">
        <v>27</v>
      </c>
      <c r="C1066" s="313">
        <f>SUMIF('Employees Supported'!$A$2:$A$29,$B1066,'Employees Supported'!$C$2:$C$29)</f>
        <v>400</v>
      </c>
      <c r="E1066" s="2">
        <f t="shared" si="132"/>
        <v>97</v>
      </c>
      <c r="F1066" t="str">
        <f t="shared" si="130"/>
        <v>Reserved-97</v>
      </c>
      <c r="G1066" t="str">
        <f t="shared" si="127"/>
        <v>SPUReserved-97</v>
      </c>
      <c r="H1066" s="2" t="s">
        <v>67</v>
      </c>
      <c r="O1066" s="2" t="s">
        <v>2678</v>
      </c>
      <c r="P1066" s="3" t="str">
        <f t="shared" si="128"/>
        <v>NR</v>
      </c>
      <c r="R1066" s="127">
        <f t="shared" si="129"/>
        <v>0</v>
      </c>
    </row>
    <row r="1067" spans="1:18" hidden="1">
      <c r="A1067">
        <f t="shared" si="126"/>
        <v>1098</v>
      </c>
      <c r="B1067" s="42" t="s">
        <v>30</v>
      </c>
      <c r="C1067" s="313">
        <f>SUMIF('Employees Supported'!$A$2:$A$29,$B1067,'Employees Supported'!$C$2:$C$29)</f>
        <v>300</v>
      </c>
      <c r="E1067" s="2">
        <f t="shared" si="132"/>
        <v>97</v>
      </c>
      <c r="F1067" t="str">
        <f t="shared" si="130"/>
        <v>Reserved-97</v>
      </c>
      <c r="G1067" t="str">
        <f t="shared" si="127"/>
        <v>LibrariesReserved-97</v>
      </c>
      <c r="H1067" s="2" t="s">
        <v>67</v>
      </c>
      <c r="O1067" s="2" t="s">
        <v>2678</v>
      </c>
      <c r="P1067" s="3" t="str">
        <f t="shared" si="128"/>
        <v>NR</v>
      </c>
      <c r="R1067" s="127">
        <f t="shared" si="129"/>
        <v>0</v>
      </c>
    </row>
    <row r="1068" spans="1:18" hidden="1">
      <c r="A1068">
        <f t="shared" si="126"/>
        <v>1099</v>
      </c>
      <c r="B1068" s="42" t="s">
        <v>26</v>
      </c>
      <c r="C1068" s="313">
        <f>SUMIF('Employees Supported'!$A$2:$A$29,$B1068,'Employees Supported'!$C$2:$C$29)</f>
        <v>400</v>
      </c>
      <c r="E1068" s="2">
        <f t="shared" si="132"/>
        <v>97</v>
      </c>
      <c r="F1068" t="str">
        <f t="shared" si="130"/>
        <v>Reserved-97</v>
      </c>
      <c r="G1068" t="str">
        <f t="shared" si="127"/>
        <v>ParksReserved-97</v>
      </c>
      <c r="H1068" s="2" t="s">
        <v>67</v>
      </c>
      <c r="O1068" s="2" t="s">
        <v>2678</v>
      </c>
      <c r="P1068" s="3" t="str">
        <f t="shared" si="128"/>
        <v>NR</v>
      </c>
      <c r="R1068" s="127">
        <f t="shared" si="129"/>
        <v>0</v>
      </c>
    </row>
    <row r="1069" spans="1:18" hidden="1">
      <c r="A1069">
        <f t="shared" si="126"/>
        <v>1100</v>
      </c>
      <c r="B1069" s="42" t="s">
        <v>32</v>
      </c>
      <c r="C1069" s="313">
        <f>SUMIF('Employees Supported'!$A$2:$A$29,$B1069,'Employees Supported'!$C$2:$C$29)</f>
        <v>400</v>
      </c>
      <c r="E1069" s="2">
        <f t="shared" si="132"/>
        <v>97</v>
      </c>
      <c r="F1069" t="str">
        <f t="shared" si="130"/>
        <v>Reserved-97</v>
      </c>
      <c r="G1069" t="str">
        <f t="shared" si="127"/>
        <v>Seattle CtrReserved-97</v>
      </c>
      <c r="H1069" s="2" t="s">
        <v>67</v>
      </c>
      <c r="O1069" s="2" t="s">
        <v>2678</v>
      </c>
      <c r="P1069" s="3" t="str">
        <f t="shared" si="128"/>
        <v>NR</v>
      </c>
      <c r="R1069" s="127">
        <f t="shared" si="129"/>
        <v>0</v>
      </c>
    </row>
    <row r="1070" spans="1:18">
      <c r="A1070">
        <f t="shared" si="126"/>
        <v>1101</v>
      </c>
      <c r="B1070" s="42" t="s">
        <v>23</v>
      </c>
      <c r="C1070" s="313">
        <v>6500</v>
      </c>
      <c r="E1070" s="2">
        <f>+E1059+1</f>
        <v>98</v>
      </c>
      <c r="F1070" t="str">
        <f t="shared" si="130"/>
        <v>Reserved-98</v>
      </c>
      <c r="G1070" t="str">
        <f t="shared" si="127"/>
        <v>FAS-CentralizedReserved-98</v>
      </c>
      <c r="H1070" s="2" t="s">
        <v>67</v>
      </c>
      <c r="O1070" s="2" t="s">
        <v>2678</v>
      </c>
      <c r="P1070" s="3" t="str">
        <f t="shared" si="128"/>
        <v>NR</v>
      </c>
      <c r="R1070" s="127">
        <f t="shared" si="129"/>
        <v>0</v>
      </c>
    </row>
    <row r="1071" spans="1:18" hidden="1">
      <c r="A1071">
        <f t="shared" si="126"/>
        <v>1102</v>
      </c>
      <c r="B1071" s="42" t="s">
        <v>25</v>
      </c>
      <c r="C1071" s="313">
        <f>SUMIF('Employees Supported'!$A$2:$A$29,$B1071,'Employees Supported'!$C$2:$C$29)</f>
        <v>1500</v>
      </c>
      <c r="E1071" s="2">
        <f t="shared" ref="E1071:E1102" si="133">+E1060+1</f>
        <v>98</v>
      </c>
      <c r="F1071" t="str">
        <f t="shared" si="130"/>
        <v>Reserved-98</v>
      </c>
      <c r="G1071" t="str">
        <f t="shared" si="127"/>
        <v>SPDReserved-98</v>
      </c>
      <c r="H1071" s="2" t="s">
        <v>67</v>
      </c>
      <c r="O1071" s="2" t="s">
        <v>2678</v>
      </c>
      <c r="P1071" s="3" t="str">
        <f t="shared" si="128"/>
        <v>NR</v>
      </c>
      <c r="R1071" s="127">
        <f t="shared" si="129"/>
        <v>0</v>
      </c>
    </row>
    <row r="1072" spans="1:18" hidden="1">
      <c r="A1072">
        <f t="shared" si="126"/>
        <v>1103</v>
      </c>
      <c r="B1072" s="42" t="s">
        <v>24</v>
      </c>
      <c r="C1072" s="313">
        <f>SUMIF('Employees Supported'!$A$2:$A$29,$B1072,'Employees Supported'!$C$2:$C$29)</f>
        <v>1100</v>
      </c>
      <c r="E1072" s="2">
        <f t="shared" si="133"/>
        <v>98</v>
      </c>
      <c r="F1072" t="str">
        <f t="shared" si="130"/>
        <v>Reserved-98</v>
      </c>
      <c r="G1072" t="str">
        <f t="shared" si="127"/>
        <v>SFDReserved-98</v>
      </c>
      <c r="H1072" s="2" t="s">
        <v>67</v>
      </c>
      <c r="O1072" s="2" t="s">
        <v>2678</v>
      </c>
      <c r="P1072" s="3" t="str">
        <f t="shared" si="128"/>
        <v>NR</v>
      </c>
      <c r="R1072" s="127">
        <f t="shared" si="129"/>
        <v>0</v>
      </c>
    </row>
    <row r="1073" spans="1:18" hidden="1">
      <c r="A1073">
        <f t="shared" si="126"/>
        <v>1104</v>
      </c>
      <c r="B1073" s="42" t="s">
        <v>28</v>
      </c>
      <c r="C1073" s="313">
        <f>SUMIF('Employees Supported'!$A$2:$A$29,$B1073,'Employees Supported'!$C$2:$C$29)</f>
        <v>1100</v>
      </c>
      <c r="E1073" s="2">
        <f t="shared" si="133"/>
        <v>98</v>
      </c>
      <c r="F1073" t="str">
        <f t="shared" si="130"/>
        <v>Reserved-98</v>
      </c>
      <c r="G1073" t="str">
        <f t="shared" si="127"/>
        <v>SDOTReserved-98</v>
      </c>
      <c r="H1073" s="2" t="s">
        <v>67</v>
      </c>
      <c r="O1073" s="2" t="s">
        <v>2678</v>
      </c>
      <c r="P1073" s="3" t="str">
        <f t="shared" si="128"/>
        <v>NR</v>
      </c>
      <c r="R1073" s="127">
        <f t="shared" si="129"/>
        <v>0</v>
      </c>
    </row>
    <row r="1074" spans="1:18" hidden="1">
      <c r="A1074">
        <f t="shared" si="126"/>
        <v>1105</v>
      </c>
      <c r="B1074" s="42" t="s">
        <v>33</v>
      </c>
      <c r="C1074" s="313">
        <f>SUMIF('Employees Supported'!$A$2:$A$29,$B1074,'Employees Supported'!$C$2:$C$29)</f>
        <v>400</v>
      </c>
      <c r="E1074" s="2">
        <f t="shared" si="133"/>
        <v>98</v>
      </c>
      <c r="F1074" t="str">
        <f t="shared" si="130"/>
        <v>Reserved-98</v>
      </c>
      <c r="G1074" t="str">
        <f t="shared" si="127"/>
        <v>SCLReserved-98</v>
      </c>
      <c r="H1074" s="2" t="s">
        <v>67</v>
      </c>
      <c r="O1074" s="2" t="s">
        <v>2678</v>
      </c>
      <c r="P1074" s="3" t="str">
        <f t="shared" si="128"/>
        <v>NR</v>
      </c>
      <c r="R1074" s="127">
        <f t="shared" si="129"/>
        <v>0</v>
      </c>
    </row>
    <row r="1075" spans="1:18" hidden="1">
      <c r="A1075">
        <f t="shared" si="126"/>
        <v>1106</v>
      </c>
      <c r="B1075" s="42" t="s">
        <v>31</v>
      </c>
      <c r="C1075" s="313">
        <f>SUMIF('Employees Supported'!$A$2:$A$29,$B1075,'Employees Supported'!$C$2:$C$29)</f>
        <v>700</v>
      </c>
      <c r="E1075" s="2">
        <f t="shared" si="133"/>
        <v>98</v>
      </c>
      <c r="F1075" t="str">
        <f t="shared" si="130"/>
        <v>Reserved-98</v>
      </c>
      <c r="G1075" t="str">
        <f t="shared" si="127"/>
        <v>SeaITReserved-98</v>
      </c>
      <c r="H1075" s="2" t="s">
        <v>67</v>
      </c>
      <c r="O1075" s="2" t="s">
        <v>2678</v>
      </c>
      <c r="P1075" s="3" t="str">
        <f t="shared" si="128"/>
        <v>NR</v>
      </c>
      <c r="R1075" s="127">
        <f t="shared" si="129"/>
        <v>0</v>
      </c>
    </row>
    <row r="1076" spans="1:18" hidden="1">
      <c r="A1076">
        <f t="shared" si="126"/>
        <v>1107</v>
      </c>
      <c r="B1076" s="42" t="s">
        <v>29</v>
      </c>
      <c r="C1076" s="313">
        <f>SUMIF('Employees Supported'!$A$2:$A$29,$B1076,'Employees Supported'!$C$2:$C$29)</f>
        <v>550</v>
      </c>
      <c r="E1076" s="2">
        <f t="shared" si="133"/>
        <v>98</v>
      </c>
      <c r="F1076" t="str">
        <f t="shared" si="130"/>
        <v>Reserved-98</v>
      </c>
      <c r="G1076" t="str">
        <f t="shared" si="127"/>
        <v>SDCIReserved-98</v>
      </c>
      <c r="H1076" s="2" t="s">
        <v>67</v>
      </c>
      <c r="O1076" s="2" t="s">
        <v>2678</v>
      </c>
      <c r="P1076" s="3" t="str">
        <f t="shared" si="128"/>
        <v>NR</v>
      </c>
      <c r="R1076" s="127">
        <f t="shared" si="129"/>
        <v>0</v>
      </c>
    </row>
    <row r="1077" spans="1:18" hidden="1">
      <c r="A1077">
        <f t="shared" si="126"/>
        <v>1108</v>
      </c>
      <c r="B1077" s="42" t="s">
        <v>27</v>
      </c>
      <c r="C1077" s="313">
        <f>SUMIF('Employees Supported'!$A$2:$A$29,$B1077,'Employees Supported'!$C$2:$C$29)</f>
        <v>400</v>
      </c>
      <c r="E1077" s="2">
        <f t="shared" si="133"/>
        <v>98</v>
      </c>
      <c r="F1077" t="str">
        <f t="shared" si="130"/>
        <v>Reserved-98</v>
      </c>
      <c r="G1077" t="str">
        <f t="shared" si="127"/>
        <v>SPUReserved-98</v>
      </c>
      <c r="H1077" s="2" t="s">
        <v>67</v>
      </c>
      <c r="O1077" s="2" t="s">
        <v>2678</v>
      </c>
      <c r="P1077" s="3" t="str">
        <f t="shared" si="128"/>
        <v>NR</v>
      </c>
      <c r="R1077" s="127">
        <f t="shared" si="129"/>
        <v>0</v>
      </c>
    </row>
    <row r="1078" spans="1:18" hidden="1">
      <c r="A1078">
        <f t="shared" si="126"/>
        <v>1109</v>
      </c>
      <c r="B1078" s="42" t="s">
        <v>30</v>
      </c>
      <c r="C1078" s="313">
        <f>SUMIF('Employees Supported'!$A$2:$A$29,$B1078,'Employees Supported'!$C$2:$C$29)</f>
        <v>300</v>
      </c>
      <c r="E1078" s="2">
        <f t="shared" si="133"/>
        <v>98</v>
      </c>
      <c r="F1078" t="str">
        <f t="shared" si="130"/>
        <v>Reserved-98</v>
      </c>
      <c r="G1078" t="str">
        <f t="shared" si="127"/>
        <v>LibrariesReserved-98</v>
      </c>
      <c r="H1078" s="2" t="s">
        <v>67</v>
      </c>
      <c r="O1078" s="2" t="s">
        <v>2678</v>
      </c>
      <c r="P1078" s="3" t="str">
        <f t="shared" si="128"/>
        <v>NR</v>
      </c>
      <c r="R1078" s="127">
        <f t="shared" si="129"/>
        <v>0</v>
      </c>
    </row>
    <row r="1079" spans="1:18" hidden="1">
      <c r="A1079">
        <f t="shared" ref="A1079:A1102" si="134">+A1078+1</f>
        <v>1110</v>
      </c>
      <c r="B1079" s="42" t="s">
        <v>26</v>
      </c>
      <c r="C1079" s="313">
        <f>SUMIF('Employees Supported'!$A$2:$A$29,$B1079,'Employees Supported'!$C$2:$C$29)</f>
        <v>400</v>
      </c>
      <c r="E1079" s="2">
        <f t="shared" si="133"/>
        <v>98</v>
      </c>
      <c r="F1079" t="str">
        <f t="shared" si="130"/>
        <v>Reserved-98</v>
      </c>
      <c r="G1079" t="str">
        <f t="shared" si="127"/>
        <v>ParksReserved-98</v>
      </c>
      <c r="H1079" s="2" t="s">
        <v>67</v>
      </c>
      <c r="O1079" s="2" t="s">
        <v>2678</v>
      </c>
      <c r="P1079" s="3" t="str">
        <f t="shared" si="128"/>
        <v>NR</v>
      </c>
      <c r="R1079" s="127">
        <f t="shared" si="129"/>
        <v>0</v>
      </c>
    </row>
    <row r="1080" spans="1:18" hidden="1">
      <c r="A1080">
        <f t="shared" si="134"/>
        <v>1111</v>
      </c>
      <c r="B1080" s="42" t="s">
        <v>32</v>
      </c>
      <c r="C1080" s="313">
        <f>SUMIF('Employees Supported'!$A$2:$A$29,$B1080,'Employees Supported'!$C$2:$C$29)</f>
        <v>400</v>
      </c>
      <c r="E1080" s="2">
        <f t="shared" si="133"/>
        <v>98</v>
      </c>
      <c r="F1080" t="str">
        <f t="shared" si="130"/>
        <v>Reserved-98</v>
      </c>
      <c r="G1080" t="str">
        <f t="shared" ref="G1080:G1102" si="135">_xlfn.SINGLE(_xlfn.CONCAT(B1080,F1080))</f>
        <v>Seattle CtrReserved-98</v>
      </c>
      <c r="H1080" s="2" t="s">
        <v>67</v>
      </c>
      <c r="O1080" s="2" t="s">
        <v>2678</v>
      </c>
      <c r="P1080" s="3" t="str">
        <f t="shared" ref="P1080:P1102" si="136">IF(O1080="NR","NR",((((C1080+D1080)*I1080)*90)+(J1080*90)+(((C1080+D1080)*K1080)*3)+(L1080*3)+((C1080+D1080)*M1080)+N1080))</f>
        <v>NR</v>
      </c>
      <c r="R1080" s="127">
        <f t="shared" ref="R1080:R1102" si="137">SUM(P1080)/90</f>
        <v>0</v>
      </c>
    </row>
    <row r="1081" spans="1:18">
      <c r="A1081">
        <f t="shared" si="134"/>
        <v>1112</v>
      </c>
      <c r="B1081" s="42" t="s">
        <v>23</v>
      </c>
      <c r="C1081" s="313">
        <v>6500</v>
      </c>
      <c r="E1081" s="2">
        <f>+E1070+1</f>
        <v>99</v>
      </c>
      <c r="F1081" t="str">
        <f t="shared" si="130"/>
        <v>Reserved-99</v>
      </c>
      <c r="G1081" t="str">
        <f t="shared" si="135"/>
        <v>FAS-CentralizedReserved-99</v>
      </c>
      <c r="H1081" s="2" t="s">
        <v>67</v>
      </c>
      <c r="O1081" s="2" t="s">
        <v>2678</v>
      </c>
      <c r="P1081" s="3" t="str">
        <f t="shared" si="136"/>
        <v>NR</v>
      </c>
      <c r="R1081" s="127">
        <f t="shared" si="137"/>
        <v>0</v>
      </c>
    </row>
    <row r="1082" spans="1:18" hidden="1">
      <c r="A1082">
        <f t="shared" si="134"/>
        <v>1113</v>
      </c>
      <c r="B1082" s="42" t="s">
        <v>25</v>
      </c>
      <c r="C1082" s="313">
        <f>SUMIF('Employees Supported'!$A$2:$A$29,$B1082,'Employees Supported'!$C$2:$C$29)</f>
        <v>1500</v>
      </c>
      <c r="E1082" s="2">
        <f t="shared" si="133"/>
        <v>99</v>
      </c>
      <c r="F1082" t="str">
        <f t="shared" si="130"/>
        <v>Reserved-99</v>
      </c>
      <c r="G1082" t="str">
        <f t="shared" si="135"/>
        <v>SPDReserved-99</v>
      </c>
      <c r="H1082" s="2" t="s">
        <v>67</v>
      </c>
      <c r="O1082" s="2" t="s">
        <v>2678</v>
      </c>
      <c r="P1082" s="3" t="str">
        <f t="shared" si="136"/>
        <v>NR</v>
      </c>
      <c r="R1082" s="127">
        <f t="shared" si="137"/>
        <v>0</v>
      </c>
    </row>
    <row r="1083" spans="1:18" hidden="1">
      <c r="A1083">
        <f t="shared" si="134"/>
        <v>1114</v>
      </c>
      <c r="B1083" s="42" t="s">
        <v>24</v>
      </c>
      <c r="C1083" s="313">
        <f>SUMIF('Employees Supported'!$A$2:$A$29,$B1083,'Employees Supported'!$C$2:$C$29)</f>
        <v>1100</v>
      </c>
      <c r="E1083" s="2">
        <f t="shared" si="133"/>
        <v>99</v>
      </c>
      <c r="F1083" t="str">
        <f t="shared" si="130"/>
        <v>Reserved-99</v>
      </c>
      <c r="G1083" t="str">
        <f t="shared" si="135"/>
        <v>SFDReserved-99</v>
      </c>
      <c r="H1083" s="2" t="s">
        <v>67</v>
      </c>
      <c r="O1083" s="2" t="s">
        <v>2678</v>
      </c>
      <c r="P1083" s="3" t="str">
        <f t="shared" si="136"/>
        <v>NR</v>
      </c>
      <c r="R1083" s="127">
        <f t="shared" si="137"/>
        <v>0</v>
      </c>
    </row>
    <row r="1084" spans="1:18" hidden="1">
      <c r="A1084">
        <f t="shared" si="134"/>
        <v>1115</v>
      </c>
      <c r="B1084" s="42" t="s">
        <v>28</v>
      </c>
      <c r="C1084" s="313">
        <f>SUMIF('Employees Supported'!$A$2:$A$29,$B1084,'Employees Supported'!$C$2:$C$29)</f>
        <v>1100</v>
      </c>
      <c r="E1084" s="2">
        <f t="shared" si="133"/>
        <v>99</v>
      </c>
      <c r="F1084" t="str">
        <f t="shared" si="130"/>
        <v>Reserved-99</v>
      </c>
      <c r="G1084" t="str">
        <f t="shared" si="135"/>
        <v>SDOTReserved-99</v>
      </c>
      <c r="H1084" s="2" t="s">
        <v>67</v>
      </c>
      <c r="O1084" s="2" t="s">
        <v>2678</v>
      </c>
      <c r="P1084" s="3" t="str">
        <f t="shared" si="136"/>
        <v>NR</v>
      </c>
      <c r="R1084" s="127">
        <f t="shared" si="137"/>
        <v>0</v>
      </c>
    </row>
    <row r="1085" spans="1:18" hidden="1">
      <c r="A1085">
        <f t="shared" si="134"/>
        <v>1116</v>
      </c>
      <c r="B1085" s="42" t="s">
        <v>33</v>
      </c>
      <c r="C1085" s="313">
        <f>SUMIF('Employees Supported'!$A$2:$A$29,$B1085,'Employees Supported'!$C$2:$C$29)</f>
        <v>400</v>
      </c>
      <c r="E1085" s="2">
        <f t="shared" si="133"/>
        <v>99</v>
      </c>
      <c r="F1085" t="str">
        <f t="shared" si="130"/>
        <v>Reserved-99</v>
      </c>
      <c r="G1085" t="str">
        <f t="shared" si="135"/>
        <v>SCLReserved-99</v>
      </c>
      <c r="H1085" s="2" t="s">
        <v>67</v>
      </c>
      <c r="O1085" s="2" t="s">
        <v>2678</v>
      </c>
      <c r="P1085" s="3" t="str">
        <f t="shared" si="136"/>
        <v>NR</v>
      </c>
      <c r="R1085" s="127">
        <f t="shared" si="137"/>
        <v>0</v>
      </c>
    </row>
    <row r="1086" spans="1:18" hidden="1">
      <c r="A1086">
        <f t="shared" si="134"/>
        <v>1117</v>
      </c>
      <c r="B1086" s="42" t="s">
        <v>31</v>
      </c>
      <c r="C1086" s="313">
        <f>SUMIF('Employees Supported'!$A$2:$A$29,$B1086,'Employees Supported'!$C$2:$C$29)</f>
        <v>700</v>
      </c>
      <c r="E1086" s="2">
        <f t="shared" si="133"/>
        <v>99</v>
      </c>
      <c r="F1086" t="str">
        <f t="shared" si="130"/>
        <v>Reserved-99</v>
      </c>
      <c r="G1086" t="str">
        <f t="shared" si="135"/>
        <v>SeaITReserved-99</v>
      </c>
      <c r="H1086" s="2" t="s">
        <v>67</v>
      </c>
      <c r="O1086" s="2" t="s">
        <v>2678</v>
      </c>
      <c r="P1086" s="3" t="str">
        <f t="shared" si="136"/>
        <v>NR</v>
      </c>
      <c r="R1086" s="127">
        <f t="shared" si="137"/>
        <v>0</v>
      </c>
    </row>
    <row r="1087" spans="1:18" hidden="1">
      <c r="A1087">
        <f t="shared" si="134"/>
        <v>1118</v>
      </c>
      <c r="B1087" s="42" t="s">
        <v>29</v>
      </c>
      <c r="C1087" s="313">
        <f>SUMIF('Employees Supported'!$A$2:$A$29,$B1087,'Employees Supported'!$C$2:$C$29)</f>
        <v>550</v>
      </c>
      <c r="E1087" s="2">
        <f t="shared" si="133"/>
        <v>99</v>
      </c>
      <c r="F1087" t="str">
        <f t="shared" si="130"/>
        <v>Reserved-99</v>
      </c>
      <c r="G1087" t="str">
        <f t="shared" si="135"/>
        <v>SDCIReserved-99</v>
      </c>
      <c r="H1087" s="2" t="s">
        <v>67</v>
      </c>
      <c r="O1087" s="2" t="s">
        <v>2678</v>
      </c>
      <c r="P1087" s="3" t="str">
        <f t="shared" si="136"/>
        <v>NR</v>
      </c>
      <c r="R1087" s="127">
        <f t="shared" si="137"/>
        <v>0</v>
      </c>
    </row>
    <row r="1088" spans="1:18" hidden="1">
      <c r="A1088">
        <f t="shared" si="134"/>
        <v>1119</v>
      </c>
      <c r="B1088" s="42" t="s">
        <v>27</v>
      </c>
      <c r="C1088" s="313">
        <f>SUMIF('Employees Supported'!$A$2:$A$29,$B1088,'Employees Supported'!$C$2:$C$29)</f>
        <v>400</v>
      </c>
      <c r="E1088" s="2">
        <f t="shared" si="133"/>
        <v>99</v>
      </c>
      <c r="F1088" t="str">
        <f t="shared" si="130"/>
        <v>Reserved-99</v>
      </c>
      <c r="G1088" t="str">
        <f t="shared" si="135"/>
        <v>SPUReserved-99</v>
      </c>
      <c r="H1088" s="2" t="s">
        <v>67</v>
      </c>
      <c r="O1088" s="2" t="s">
        <v>2678</v>
      </c>
      <c r="P1088" s="3" t="str">
        <f t="shared" si="136"/>
        <v>NR</v>
      </c>
      <c r="R1088" s="127">
        <f t="shared" si="137"/>
        <v>0</v>
      </c>
    </row>
    <row r="1089" spans="1:18" hidden="1">
      <c r="A1089">
        <f t="shared" si="134"/>
        <v>1120</v>
      </c>
      <c r="B1089" s="42" t="s">
        <v>30</v>
      </c>
      <c r="C1089" s="313">
        <f>SUMIF('Employees Supported'!$A$2:$A$29,$B1089,'Employees Supported'!$C$2:$C$29)</f>
        <v>300</v>
      </c>
      <c r="E1089" s="2">
        <f t="shared" si="133"/>
        <v>99</v>
      </c>
      <c r="F1089" t="str">
        <f t="shared" si="130"/>
        <v>Reserved-99</v>
      </c>
      <c r="G1089" t="str">
        <f t="shared" si="135"/>
        <v>LibrariesReserved-99</v>
      </c>
      <c r="H1089" s="2" t="s">
        <v>67</v>
      </c>
      <c r="O1089" s="2" t="s">
        <v>2678</v>
      </c>
      <c r="P1089" s="3" t="str">
        <f t="shared" si="136"/>
        <v>NR</v>
      </c>
      <c r="R1089" s="127">
        <f t="shared" si="137"/>
        <v>0</v>
      </c>
    </row>
    <row r="1090" spans="1:18" hidden="1">
      <c r="A1090">
        <f t="shared" si="134"/>
        <v>1121</v>
      </c>
      <c r="B1090" s="42" t="s">
        <v>26</v>
      </c>
      <c r="C1090" s="313">
        <f>SUMIF('Employees Supported'!$A$2:$A$29,$B1090,'Employees Supported'!$C$2:$C$29)</f>
        <v>400</v>
      </c>
      <c r="E1090" s="2">
        <f t="shared" si="133"/>
        <v>99</v>
      </c>
      <c r="F1090" t="str">
        <f t="shared" si="130"/>
        <v>Reserved-99</v>
      </c>
      <c r="G1090" t="str">
        <f t="shared" si="135"/>
        <v>ParksReserved-99</v>
      </c>
      <c r="H1090" s="2" t="s">
        <v>67</v>
      </c>
      <c r="O1090" s="2" t="s">
        <v>2678</v>
      </c>
      <c r="P1090" s="3" t="str">
        <f t="shared" si="136"/>
        <v>NR</v>
      </c>
      <c r="R1090" s="127">
        <f t="shared" si="137"/>
        <v>0</v>
      </c>
    </row>
    <row r="1091" spans="1:18" hidden="1">
      <c r="A1091">
        <f t="shared" si="134"/>
        <v>1122</v>
      </c>
      <c r="B1091" s="42" t="s">
        <v>32</v>
      </c>
      <c r="C1091" s="313">
        <f>SUMIF('Employees Supported'!$A$2:$A$29,$B1091,'Employees Supported'!$C$2:$C$29)</f>
        <v>400</v>
      </c>
      <c r="E1091" s="2">
        <f t="shared" si="133"/>
        <v>99</v>
      </c>
      <c r="F1091" t="str">
        <f t="shared" si="130"/>
        <v>Reserved-99</v>
      </c>
      <c r="G1091" t="str">
        <f t="shared" si="135"/>
        <v>Seattle CtrReserved-99</v>
      </c>
      <c r="H1091" s="2" t="s">
        <v>67</v>
      </c>
      <c r="O1091" s="2" t="s">
        <v>2678</v>
      </c>
      <c r="P1091" s="3" t="str">
        <f t="shared" si="136"/>
        <v>NR</v>
      </c>
      <c r="R1091" s="127">
        <f t="shared" si="137"/>
        <v>0</v>
      </c>
    </row>
    <row r="1092" spans="1:18">
      <c r="A1092">
        <f t="shared" si="134"/>
        <v>1123</v>
      </c>
      <c r="B1092" s="42" t="s">
        <v>23</v>
      </c>
      <c r="C1092" s="313">
        <v>6500</v>
      </c>
      <c r="E1092" s="2">
        <f>+E1081+1</f>
        <v>100</v>
      </c>
      <c r="F1092" t="str">
        <f t="shared" si="130"/>
        <v>Reserved-100</v>
      </c>
      <c r="G1092" t="str">
        <f t="shared" si="135"/>
        <v>FAS-CentralizedReserved-100</v>
      </c>
      <c r="H1092" s="2" t="s">
        <v>67</v>
      </c>
      <c r="O1092" s="2" t="s">
        <v>2678</v>
      </c>
      <c r="P1092" s="3" t="str">
        <f t="shared" si="136"/>
        <v>NR</v>
      </c>
      <c r="R1092" s="127">
        <f t="shared" si="137"/>
        <v>0</v>
      </c>
    </row>
    <row r="1093" spans="1:18" hidden="1">
      <c r="A1093">
        <f t="shared" si="134"/>
        <v>1124</v>
      </c>
      <c r="B1093" s="42" t="s">
        <v>25</v>
      </c>
      <c r="C1093" s="313">
        <f>SUMIF('Employees Supported'!$A$2:$A$29,$B1093,'Employees Supported'!$C$2:$C$29)</f>
        <v>1500</v>
      </c>
      <c r="E1093" s="2">
        <f t="shared" si="133"/>
        <v>100</v>
      </c>
      <c r="F1093" t="str">
        <f t="shared" si="130"/>
        <v>Reserved-100</v>
      </c>
      <c r="G1093" t="str">
        <f t="shared" si="135"/>
        <v>SPDReserved-100</v>
      </c>
      <c r="H1093" s="2" t="s">
        <v>67</v>
      </c>
      <c r="O1093" s="2" t="s">
        <v>2678</v>
      </c>
      <c r="P1093" s="3" t="str">
        <f t="shared" si="136"/>
        <v>NR</v>
      </c>
      <c r="R1093" s="127">
        <f t="shared" si="137"/>
        <v>0</v>
      </c>
    </row>
    <row r="1094" spans="1:18" hidden="1">
      <c r="A1094">
        <f t="shared" si="134"/>
        <v>1125</v>
      </c>
      <c r="B1094" s="42" t="s">
        <v>24</v>
      </c>
      <c r="C1094" s="313">
        <f>SUMIF('Employees Supported'!$A$2:$A$29,$B1094,'Employees Supported'!$C$2:$C$29)</f>
        <v>1100</v>
      </c>
      <c r="E1094" s="2">
        <f t="shared" si="133"/>
        <v>100</v>
      </c>
      <c r="F1094" t="str">
        <f t="shared" si="130"/>
        <v>Reserved-100</v>
      </c>
      <c r="G1094" t="str">
        <f t="shared" si="135"/>
        <v>SFDReserved-100</v>
      </c>
      <c r="H1094" s="2" t="s">
        <v>67</v>
      </c>
      <c r="O1094" s="2" t="s">
        <v>2678</v>
      </c>
      <c r="P1094" s="3" t="str">
        <f t="shared" si="136"/>
        <v>NR</v>
      </c>
      <c r="R1094" s="127">
        <f t="shared" si="137"/>
        <v>0</v>
      </c>
    </row>
    <row r="1095" spans="1:18" hidden="1">
      <c r="A1095">
        <f t="shared" si="134"/>
        <v>1126</v>
      </c>
      <c r="B1095" s="42" t="s">
        <v>28</v>
      </c>
      <c r="C1095" s="313">
        <f>SUMIF('Employees Supported'!$A$2:$A$29,$B1095,'Employees Supported'!$C$2:$C$29)</f>
        <v>1100</v>
      </c>
      <c r="E1095" s="2">
        <f t="shared" si="133"/>
        <v>100</v>
      </c>
      <c r="F1095" t="str">
        <f t="shared" si="130"/>
        <v>Reserved-100</v>
      </c>
      <c r="G1095" t="str">
        <f t="shared" si="135"/>
        <v>SDOTReserved-100</v>
      </c>
      <c r="H1095" s="2" t="s">
        <v>67</v>
      </c>
      <c r="O1095" s="2" t="s">
        <v>2678</v>
      </c>
      <c r="P1095" s="3" t="str">
        <f t="shared" si="136"/>
        <v>NR</v>
      </c>
      <c r="R1095" s="127">
        <f t="shared" si="137"/>
        <v>0</v>
      </c>
    </row>
    <row r="1096" spans="1:18" hidden="1">
      <c r="A1096">
        <f t="shared" si="134"/>
        <v>1127</v>
      </c>
      <c r="B1096" s="42" t="s">
        <v>33</v>
      </c>
      <c r="C1096" s="313">
        <f>SUMIF('Employees Supported'!$A$2:$A$29,$B1096,'Employees Supported'!$C$2:$C$29)</f>
        <v>400</v>
      </c>
      <c r="E1096" s="2">
        <f t="shared" si="133"/>
        <v>100</v>
      </c>
      <c r="F1096" t="str">
        <f t="shared" si="130"/>
        <v>Reserved-100</v>
      </c>
      <c r="G1096" t="str">
        <f t="shared" si="135"/>
        <v>SCLReserved-100</v>
      </c>
      <c r="H1096" s="2" t="s">
        <v>67</v>
      </c>
      <c r="O1096" s="2" t="s">
        <v>2678</v>
      </c>
      <c r="P1096" s="3" t="str">
        <f t="shared" si="136"/>
        <v>NR</v>
      </c>
      <c r="R1096" s="127">
        <f t="shared" si="137"/>
        <v>0</v>
      </c>
    </row>
    <row r="1097" spans="1:18" hidden="1">
      <c r="A1097">
        <f t="shared" si="134"/>
        <v>1128</v>
      </c>
      <c r="B1097" s="42" t="s">
        <v>31</v>
      </c>
      <c r="C1097" s="313">
        <f>SUMIF('Employees Supported'!$A$2:$A$29,$B1097,'Employees Supported'!$C$2:$C$29)</f>
        <v>700</v>
      </c>
      <c r="E1097" s="2">
        <f t="shared" si="133"/>
        <v>100</v>
      </c>
      <c r="F1097" t="str">
        <f t="shared" si="130"/>
        <v>Reserved-100</v>
      </c>
      <c r="G1097" t="str">
        <f t="shared" si="135"/>
        <v>SeaITReserved-100</v>
      </c>
      <c r="H1097" s="2" t="s">
        <v>67</v>
      </c>
      <c r="O1097" s="2" t="s">
        <v>2678</v>
      </c>
      <c r="P1097" s="3" t="str">
        <f t="shared" si="136"/>
        <v>NR</v>
      </c>
      <c r="R1097" s="127">
        <f t="shared" si="137"/>
        <v>0</v>
      </c>
    </row>
    <row r="1098" spans="1:18" hidden="1">
      <c r="A1098">
        <f t="shared" si="134"/>
        <v>1129</v>
      </c>
      <c r="B1098" s="42" t="s">
        <v>29</v>
      </c>
      <c r="C1098" s="313">
        <f>SUMIF('Employees Supported'!$A$2:$A$29,$B1098,'Employees Supported'!$C$2:$C$29)</f>
        <v>550</v>
      </c>
      <c r="E1098" s="2">
        <f t="shared" si="133"/>
        <v>100</v>
      </c>
      <c r="F1098" t="str">
        <f t="shared" si="130"/>
        <v>Reserved-100</v>
      </c>
      <c r="G1098" t="str">
        <f t="shared" si="135"/>
        <v>SDCIReserved-100</v>
      </c>
      <c r="H1098" s="2" t="s">
        <v>67</v>
      </c>
      <c r="O1098" s="2" t="s">
        <v>2678</v>
      </c>
      <c r="P1098" s="3" t="str">
        <f t="shared" si="136"/>
        <v>NR</v>
      </c>
      <c r="R1098" s="127">
        <f t="shared" si="137"/>
        <v>0</v>
      </c>
    </row>
    <row r="1099" spans="1:18" hidden="1">
      <c r="A1099">
        <f t="shared" si="134"/>
        <v>1130</v>
      </c>
      <c r="B1099" s="42" t="s">
        <v>27</v>
      </c>
      <c r="C1099" s="313">
        <f>SUMIF('Employees Supported'!$A$2:$A$29,$B1099,'Employees Supported'!$C$2:$C$29)</f>
        <v>400</v>
      </c>
      <c r="E1099" s="2">
        <f t="shared" si="133"/>
        <v>100</v>
      </c>
      <c r="F1099" t="str">
        <f t="shared" ref="F1099:F1102" si="138">_xlfn.SINGLE(_xlfn.CONCAT("Reserved-",E1099))</f>
        <v>Reserved-100</v>
      </c>
      <c r="G1099" t="str">
        <f t="shared" si="135"/>
        <v>SPUReserved-100</v>
      </c>
      <c r="H1099" s="2" t="s">
        <v>67</v>
      </c>
      <c r="O1099" s="2" t="s">
        <v>2678</v>
      </c>
      <c r="P1099" s="3" t="str">
        <f t="shared" si="136"/>
        <v>NR</v>
      </c>
      <c r="R1099" s="127">
        <f t="shared" si="137"/>
        <v>0</v>
      </c>
    </row>
    <row r="1100" spans="1:18" hidden="1">
      <c r="A1100">
        <f t="shared" si="134"/>
        <v>1131</v>
      </c>
      <c r="B1100" s="42" t="s">
        <v>30</v>
      </c>
      <c r="C1100" s="313">
        <f>SUMIF('Employees Supported'!$A$2:$A$29,$B1100,'Employees Supported'!$C$2:$C$29)</f>
        <v>300</v>
      </c>
      <c r="E1100" s="2">
        <f t="shared" si="133"/>
        <v>100</v>
      </c>
      <c r="F1100" t="str">
        <f t="shared" si="138"/>
        <v>Reserved-100</v>
      </c>
      <c r="G1100" t="str">
        <f t="shared" si="135"/>
        <v>LibrariesReserved-100</v>
      </c>
      <c r="H1100" s="2" t="s">
        <v>67</v>
      </c>
      <c r="O1100" s="2" t="s">
        <v>2678</v>
      </c>
      <c r="P1100" s="3" t="str">
        <f t="shared" si="136"/>
        <v>NR</v>
      </c>
      <c r="R1100" s="127">
        <f t="shared" si="137"/>
        <v>0</v>
      </c>
    </row>
    <row r="1101" spans="1:18" hidden="1">
      <c r="A1101">
        <f t="shared" si="134"/>
        <v>1132</v>
      </c>
      <c r="B1101" s="42" t="s">
        <v>26</v>
      </c>
      <c r="C1101" s="313">
        <f>SUMIF('Employees Supported'!$A$2:$A$29,$B1101,'Employees Supported'!$C$2:$C$29)</f>
        <v>400</v>
      </c>
      <c r="E1101" s="2">
        <f t="shared" si="133"/>
        <v>100</v>
      </c>
      <c r="F1101" t="str">
        <f t="shared" si="138"/>
        <v>Reserved-100</v>
      </c>
      <c r="G1101" t="str">
        <f t="shared" si="135"/>
        <v>ParksReserved-100</v>
      </c>
      <c r="H1101" s="2" t="s">
        <v>67</v>
      </c>
      <c r="O1101" s="2" t="s">
        <v>2678</v>
      </c>
      <c r="P1101" s="3" t="str">
        <f t="shared" si="136"/>
        <v>NR</v>
      </c>
      <c r="R1101" s="127">
        <f t="shared" si="137"/>
        <v>0</v>
      </c>
    </row>
    <row r="1102" spans="1:18" hidden="1">
      <c r="A1102">
        <f t="shared" si="134"/>
        <v>1133</v>
      </c>
      <c r="B1102" s="42" t="s">
        <v>32</v>
      </c>
      <c r="C1102" s="313">
        <f>SUMIF('Employees Supported'!$A$2:$A$29,$B1102,'Employees Supported'!$C$2:$C$29)</f>
        <v>400</v>
      </c>
      <c r="E1102" s="2">
        <f t="shared" si="133"/>
        <v>100</v>
      </c>
      <c r="F1102" t="str">
        <f t="shared" si="138"/>
        <v>Reserved-100</v>
      </c>
      <c r="G1102" t="str">
        <f t="shared" si="135"/>
        <v>Seattle CtrReserved-100</v>
      </c>
      <c r="H1102" s="2" t="s">
        <v>67</v>
      </c>
      <c r="O1102" s="2" t="s">
        <v>2678</v>
      </c>
      <c r="P1102" s="3" t="str">
        <f t="shared" si="136"/>
        <v>NR</v>
      </c>
      <c r="R1102" s="127">
        <f t="shared" si="137"/>
        <v>0</v>
      </c>
    </row>
  </sheetData>
  <autoFilter ref="A2:S1102" xr:uid="{DD73F893-D37C-4677-8502-7FC79B44658F}">
    <filterColumn colId="1">
      <filters>
        <filter val="FAS-Centralized"/>
      </filters>
    </filterColumn>
  </autoFilter>
  <mergeCells count="1">
    <mergeCell ref="I1:O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CD969-460B-438B-A2AA-0812EBAC38D9}">
  <dimension ref="A1:AF165"/>
  <sheetViews>
    <sheetView zoomScale="70" zoomScaleNormal="70" workbookViewId="0"/>
  </sheetViews>
  <sheetFormatPr baseColWidth="10" defaultColWidth="24.6640625" defaultRowHeight="15"/>
  <cols>
    <col min="1" max="1" width="18.1640625" bestFit="1" customWidth="1"/>
    <col min="2" max="2" width="35.5" bestFit="1" customWidth="1"/>
    <col min="3" max="5" width="9.1640625" bestFit="1" customWidth="1"/>
    <col min="6" max="6" width="11.5" bestFit="1" customWidth="1"/>
    <col min="7" max="7" width="11" bestFit="1" customWidth="1"/>
    <col min="8" max="9" width="9.1640625" bestFit="1" customWidth="1"/>
    <col min="10" max="10" width="15.83203125" bestFit="1" customWidth="1"/>
    <col min="11" max="11" width="31.1640625" bestFit="1" customWidth="1"/>
    <col min="12" max="12" width="12.33203125" bestFit="1" customWidth="1"/>
    <col min="13" max="13" width="17.1640625" bestFit="1" customWidth="1"/>
    <col min="14" max="14" width="21.6640625" bestFit="1" customWidth="1"/>
    <col min="32" max="32" width="24.6640625" style="185"/>
  </cols>
  <sheetData>
    <row r="1" spans="1:32">
      <c r="A1" s="1">
        <v>44060</v>
      </c>
      <c r="P1" s="1">
        <v>44056</v>
      </c>
      <c r="AE1" t="s">
        <v>2705</v>
      </c>
    </row>
    <row r="2" spans="1:32" ht="16">
      <c r="A2" s="14" t="s">
        <v>2706</v>
      </c>
      <c r="B2" s="14" t="s">
        <v>65</v>
      </c>
      <c r="C2" s="14" t="s">
        <v>2707</v>
      </c>
      <c r="D2" s="14" t="s">
        <v>2708</v>
      </c>
      <c r="E2" s="14" t="s">
        <v>2709</v>
      </c>
      <c r="F2" s="14" t="s">
        <v>2710</v>
      </c>
      <c r="G2" s="14" t="s">
        <v>2711</v>
      </c>
      <c r="H2" s="14" t="s">
        <v>2712</v>
      </c>
      <c r="I2" s="14" t="s">
        <v>2713</v>
      </c>
      <c r="J2" s="142" t="s">
        <v>2714</v>
      </c>
      <c r="K2" s="14" t="s">
        <v>2715</v>
      </c>
      <c r="L2" s="14" t="s">
        <v>2716</v>
      </c>
      <c r="M2" s="14" t="s">
        <v>2717</v>
      </c>
      <c r="N2" s="14" t="s">
        <v>2718</v>
      </c>
      <c r="P2" s="12" t="s">
        <v>2706</v>
      </c>
      <c r="Q2" s="12" t="s">
        <v>65</v>
      </c>
      <c r="R2" s="12" t="s">
        <v>2707</v>
      </c>
      <c r="S2" s="12" t="s">
        <v>2708</v>
      </c>
      <c r="T2" s="12" t="s">
        <v>2709</v>
      </c>
      <c r="U2" s="12" t="s">
        <v>2710</v>
      </c>
      <c r="V2" s="12" t="s">
        <v>2711</v>
      </c>
      <c r="W2" s="12" t="s">
        <v>2712</v>
      </c>
      <c r="X2" s="12" t="s">
        <v>2713</v>
      </c>
      <c r="Y2" s="12" t="s">
        <v>2714</v>
      </c>
      <c r="Z2" s="12" t="s">
        <v>2715</v>
      </c>
      <c r="AA2" s="12" t="s">
        <v>2716</v>
      </c>
      <c r="AB2" s="12" t="s">
        <v>2717</v>
      </c>
      <c r="AC2" s="12" t="s">
        <v>2718</v>
      </c>
      <c r="AD2" s="12"/>
      <c r="AE2" s="12" t="s">
        <v>2719</v>
      </c>
      <c r="AF2" s="319" t="s">
        <v>2720</v>
      </c>
    </row>
    <row r="3" spans="1:32">
      <c r="A3" t="s">
        <v>2721</v>
      </c>
      <c r="B3" t="s">
        <v>2722</v>
      </c>
      <c r="F3" t="s">
        <v>2723</v>
      </c>
      <c r="G3">
        <v>465</v>
      </c>
      <c r="I3" t="s">
        <v>67</v>
      </c>
      <c r="J3">
        <v>30257</v>
      </c>
      <c r="K3" s="14" t="str">
        <f>_xlfn.SINGLE(VLOOKUP(FAS_Centralized[[#This Row],[SKU]],Centralized_Conversions[#All],4,FALSE))</f>
        <v>Disinfectant Wipes</v>
      </c>
      <c r="L3" s="14">
        <f>_xlfn.SINGLE(VLOOKUP(FAS_Centralized[[#This Row],[SKU]],Centralized_Conversions[#All],5,FALSE))</f>
        <v>1</v>
      </c>
      <c r="M3" s="14" t="str">
        <f>_xlfn.SINGLE(VLOOKUP(FAS_Centralized[[#This Row],[SKU]],Centralized_Conversions[#All],6,FALSE))</f>
        <v>Tube</v>
      </c>
      <c r="N3" s="14">
        <f>+FAS_Centralized[[#This Row],[On-hand]]*FAS_Centralized[[#This Row],[Multiplier]]</f>
        <v>465</v>
      </c>
      <c r="P3" t="s">
        <v>2721</v>
      </c>
      <c r="Q3" t="s">
        <v>2722</v>
      </c>
      <c r="U3" t="s">
        <v>2723</v>
      </c>
      <c r="V3">
        <v>465</v>
      </c>
      <c r="X3" t="s">
        <v>67</v>
      </c>
      <c r="Y3">
        <v>30257</v>
      </c>
      <c r="Z3" t="s">
        <v>78</v>
      </c>
      <c r="AA3">
        <v>1</v>
      </c>
      <c r="AB3" t="s">
        <v>2724</v>
      </c>
      <c r="AC3">
        <v>465</v>
      </c>
      <c r="AE3" t="str">
        <f>_xlfn.SINGLE(IF(FAS_Centralized[[#This Row],[SKU]]&lt;&gt;P3,"XXXX MISMATCH XXXX",""))</f>
        <v/>
      </c>
      <c r="AF3" s="185">
        <f>+FAS_Centralized[[#This Row],[Count for Dashboard]]-AC3</f>
        <v>0</v>
      </c>
    </row>
    <row r="4" spans="1:32">
      <c r="A4" t="s">
        <v>2725</v>
      </c>
      <c r="B4" t="s">
        <v>2726</v>
      </c>
      <c r="F4" t="s">
        <v>2723</v>
      </c>
      <c r="G4">
        <v>60</v>
      </c>
      <c r="I4" t="s">
        <v>85</v>
      </c>
      <c r="J4">
        <v>640</v>
      </c>
      <c r="K4" s="14" t="str">
        <f>_xlfn.SINGLE(VLOOKUP(FAS_Centralized[[#This Row],[SKU]],Centralized_Conversions[#All],4,FALSE))</f>
        <v>Antimicrobial (PAWS) Wipes</v>
      </c>
      <c r="L4" s="14">
        <f>_xlfn.SINGLE(VLOOKUP(FAS_Centralized[[#This Row],[SKU]],Centralized_Conversions[#All],5,FALSE))</f>
        <v>100</v>
      </c>
      <c r="M4" s="14" t="str">
        <f>_xlfn.SINGLE(VLOOKUP(FAS_Centralized[[#This Row],[SKU]],Centralized_Conversions[#All],6,FALSE))</f>
        <v>Packets</v>
      </c>
      <c r="N4" s="14">
        <f>+FAS_Centralized[[#This Row],[On-hand]]*FAS_Centralized[[#This Row],[Multiplier]]</f>
        <v>6000</v>
      </c>
      <c r="P4" t="s">
        <v>2725</v>
      </c>
      <c r="Q4" t="s">
        <v>2726</v>
      </c>
      <c r="U4" t="s">
        <v>2723</v>
      </c>
      <c r="V4">
        <v>60</v>
      </c>
      <c r="X4" t="s">
        <v>85</v>
      </c>
      <c r="Y4">
        <v>640</v>
      </c>
      <c r="Z4" t="s">
        <v>80</v>
      </c>
      <c r="AA4">
        <v>100</v>
      </c>
      <c r="AB4" t="s">
        <v>2727</v>
      </c>
      <c r="AC4">
        <v>6000</v>
      </c>
      <c r="AE4" t="str">
        <f>_xlfn.SINGLE(IF(FAS_Centralized[[#This Row],[SKU]]&lt;&gt;P4,"XXXX MISMATCH XXXX",""))</f>
        <v/>
      </c>
      <c r="AF4" s="185">
        <f>+FAS_Centralized[[#This Row],[Count for Dashboard]]-AC4</f>
        <v>0</v>
      </c>
    </row>
    <row r="5" spans="1:32">
      <c r="A5" t="s">
        <v>2728</v>
      </c>
      <c r="B5" t="s">
        <v>2729</v>
      </c>
      <c r="F5" t="s">
        <v>2723</v>
      </c>
      <c r="G5">
        <v>1542</v>
      </c>
      <c r="I5" t="s">
        <v>67</v>
      </c>
      <c r="J5">
        <v>147</v>
      </c>
      <c r="K5" s="14" t="e">
        <f>_xlfn.SINGLE(VLOOKUP(FAS_Centralized[[#This Row],[SKU]],Centralized_Conversions[#All],4,FALSE))</f>
        <v>#N/A</v>
      </c>
      <c r="L5" s="14">
        <v>1</v>
      </c>
      <c r="M5" s="14" t="e">
        <f>_xlfn.SINGLE(VLOOKUP(FAS_Centralized[[#This Row],[SKU]],Centralized_Conversions[#All],6,FALSE))</f>
        <v>#N/A</v>
      </c>
      <c r="N5" s="14">
        <f>+FAS_Centralized[[#This Row],[On-hand]]*FAS_Centralized[[#This Row],[Multiplier]]</f>
        <v>1542</v>
      </c>
      <c r="P5" t="s">
        <v>2728</v>
      </c>
      <c r="Q5" t="s">
        <v>2729</v>
      </c>
      <c r="U5" t="s">
        <v>2723</v>
      </c>
      <c r="V5">
        <v>1542</v>
      </c>
      <c r="X5" t="s">
        <v>67</v>
      </c>
      <c r="Y5">
        <v>147</v>
      </c>
      <c r="Z5" t="e">
        <v>#N/A</v>
      </c>
      <c r="AA5">
        <v>1</v>
      </c>
      <c r="AB5" t="e">
        <v>#N/A</v>
      </c>
      <c r="AC5">
        <v>1542</v>
      </c>
      <c r="AE5" t="str">
        <f>_xlfn.SINGLE(IF(FAS_Centralized[[#This Row],[SKU]]&lt;&gt;P5,"XXXX MISMATCH XXXX",""))</f>
        <v/>
      </c>
      <c r="AF5" s="185">
        <f>+FAS_Centralized[[#This Row],[Count for Dashboard]]-AC5</f>
        <v>0</v>
      </c>
    </row>
    <row r="6" spans="1:32">
      <c r="A6" t="s">
        <v>2730</v>
      </c>
      <c r="B6" t="s">
        <v>2731</v>
      </c>
      <c r="F6" t="s">
        <v>2723</v>
      </c>
      <c r="G6">
        <v>581</v>
      </c>
      <c r="I6" t="s">
        <v>2732</v>
      </c>
      <c r="J6">
        <v>318</v>
      </c>
      <c r="K6" s="14" t="str">
        <f>_xlfn.SINGLE(VLOOKUP(FAS_Centralized[[#This Row],[SKU]],Centralized_Conversions[#All],4,FALSE))</f>
        <v>Facial Tissue</v>
      </c>
      <c r="L6" s="14">
        <f>_xlfn.SINGLE(VLOOKUP(FAS_Centralized[[#This Row],[SKU]],Centralized_Conversions[#All],5,FALSE))</f>
        <v>20</v>
      </c>
      <c r="M6" s="14" t="str">
        <f>_xlfn.SINGLE(VLOOKUP(FAS_Centralized[[#This Row],[SKU]],Centralized_Conversions[#All],6,FALSE))</f>
        <v>Box</v>
      </c>
      <c r="N6" s="14">
        <f>+FAS_Centralized[[#This Row],[On-hand]]*FAS_Centralized[[#This Row],[Multiplier]]</f>
        <v>11620</v>
      </c>
      <c r="P6" t="s">
        <v>2730</v>
      </c>
      <c r="Q6" t="s">
        <v>2731</v>
      </c>
      <c r="U6" t="s">
        <v>2723</v>
      </c>
      <c r="V6">
        <v>581</v>
      </c>
      <c r="X6" t="s">
        <v>2732</v>
      </c>
      <c r="Y6">
        <v>318</v>
      </c>
      <c r="Z6" t="s">
        <v>94</v>
      </c>
      <c r="AA6">
        <v>20</v>
      </c>
      <c r="AB6" t="s">
        <v>2733</v>
      </c>
      <c r="AC6">
        <v>11620</v>
      </c>
      <c r="AE6" t="str">
        <f>_xlfn.SINGLE(IF(FAS_Centralized[[#This Row],[SKU]]&lt;&gt;P6,"XXXX MISMATCH XXXX",""))</f>
        <v/>
      </c>
      <c r="AF6" s="185">
        <f>+FAS_Centralized[[#This Row],[Count for Dashboard]]-AC6</f>
        <v>0</v>
      </c>
    </row>
    <row r="7" spans="1:32">
      <c r="A7" t="s">
        <v>2734</v>
      </c>
      <c r="B7" t="s">
        <v>2735</v>
      </c>
      <c r="F7" t="s">
        <v>2723</v>
      </c>
      <c r="G7">
        <v>52</v>
      </c>
      <c r="I7" t="s">
        <v>2732</v>
      </c>
      <c r="J7">
        <v>1034</v>
      </c>
      <c r="K7" s="14" t="str">
        <f>_xlfn.SINGLE(VLOOKUP(FAS_Centralized[[#This Row],[SKU]],Centralized_Conversions[#All],4,FALSE))</f>
        <v>Hand Soap</v>
      </c>
      <c r="L7" s="14">
        <f>_xlfn.SINGLE(VLOOKUP(FAS_Centralized[[#This Row],[SKU]],Centralized_Conversions[#All],5,FALSE))</f>
        <v>12</v>
      </c>
      <c r="M7" s="14" t="str">
        <f>_xlfn.SINGLE(VLOOKUP(FAS_Centralized[[#This Row],[SKU]],Centralized_Conversions[#All],6,FALSE))</f>
        <v>Bottle</v>
      </c>
      <c r="N7" s="14">
        <f>+FAS_Centralized[[#This Row],[On-hand]]*FAS_Centralized[[#This Row],[Multiplier]]</f>
        <v>624</v>
      </c>
      <c r="P7" t="s">
        <v>2734</v>
      </c>
      <c r="Q7" t="s">
        <v>2735</v>
      </c>
      <c r="U7" t="s">
        <v>2723</v>
      </c>
      <c r="V7">
        <v>52</v>
      </c>
      <c r="X7" t="s">
        <v>2732</v>
      </c>
      <c r="Y7">
        <v>1034</v>
      </c>
      <c r="Z7" t="s">
        <v>93</v>
      </c>
      <c r="AA7">
        <v>12</v>
      </c>
      <c r="AB7" t="s">
        <v>2736</v>
      </c>
      <c r="AC7">
        <v>624</v>
      </c>
      <c r="AE7" t="str">
        <f>_xlfn.SINGLE(IF(FAS_Centralized[[#This Row],[SKU]]&lt;&gt;P7,"XXXX MISMATCH XXXX",""))</f>
        <v/>
      </c>
      <c r="AF7" s="185">
        <f>+FAS_Centralized[[#This Row],[Count for Dashboard]]-AC7</f>
        <v>0</v>
      </c>
    </row>
    <row r="8" spans="1:32">
      <c r="A8" t="s">
        <v>2737</v>
      </c>
      <c r="B8" t="s">
        <v>2738</v>
      </c>
      <c r="F8" t="s">
        <v>2723</v>
      </c>
      <c r="G8">
        <v>1138</v>
      </c>
      <c r="I8" t="s">
        <v>67</v>
      </c>
      <c r="J8">
        <v>2222</v>
      </c>
      <c r="K8" s="14" t="str">
        <f>_xlfn.SINGLE(VLOOKUP(FAS_Centralized[[#This Row],[SKU]],Centralized_Conversions[#All],4,FALSE))</f>
        <v>Hand Soap</v>
      </c>
      <c r="L8" s="14">
        <f>_xlfn.SINGLE(VLOOKUP(FAS_Centralized[[#This Row],[SKU]],Centralized_Conversions[#All],5,FALSE))</f>
        <v>1</v>
      </c>
      <c r="M8" s="14" t="str">
        <f>_xlfn.SINGLE(VLOOKUP(FAS_Centralized[[#This Row],[SKU]],Centralized_Conversions[#All],6,FALSE))</f>
        <v>Each</v>
      </c>
      <c r="N8" s="14">
        <f>+FAS_Centralized[[#This Row],[On-hand]]*FAS_Centralized[[#This Row],[Multiplier]]</f>
        <v>1138</v>
      </c>
      <c r="P8" t="s">
        <v>2737</v>
      </c>
      <c r="Q8" t="s">
        <v>2738</v>
      </c>
      <c r="U8" t="s">
        <v>2723</v>
      </c>
      <c r="V8">
        <v>1138</v>
      </c>
      <c r="X8" t="s">
        <v>67</v>
      </c>
      <c r="Y8">
        <v>2222</v>
      </c>
      <c r="Z8" t="s">
        <v>93</v>
      </c>
      <c r="AA8">
        <v>1</v>
      </c>
      <c r="AB8" t="s">
        <v>2739</v>
      </c>
      <c r="AC8">
        <v>1138</v>
      </c>
      <c r="AE8" t="str">
        <f>_xlfn.SINGLE(IF(FAS_Centralized[[#This Row],[SKU]]&lt;&gt;P8,"XXXX MISMATCH XXXX",""))</f>
        <v/>
      </c>
      <c r="AF8" s="185">
        <f>+FAS_Centralized[[#This Row],[Count for Dashboard]]-AC8</f>
        <v>0</v>
      </c>
    </row>
    <row r="9" spans="1:32">
      <c r="A9" t="s">
        <v>2740</v>
      </c>
      <c r="B9" t="s">
        <v>2741</v>
      </c>
      <c r="F9" t="s">
        <v>2723</v>
      </c>
      <c r="G9">
        <v>0</v>
      </c>
      <c r="I9" t="s">
        <v>85</v>
      </c>
      <c r="J9">
        <v>118</v>
      </c>
      <c r="K9" s="14" t="str">
        <f>_xlfn.SINGLE(VLOOKUP(FAS_Centralized[[#This Row],[SKU]],Centralized_Conversions[#All],4,FALSE))</f>
        <v>Masks (N95)</v>
      </c>
      <c r="L9" s="14">
        <f>_xlfn.SINGLE(VLOOKUP(FAS_Centralized[[#This Row],[SKU]],Centralized_Conversions[#All],5,FALSE))</f>
        <v>10</v>
      </c>
      <c r="M9" s="14" t="str">
        <f>_xlfn.SINGLE(VLOOKUP(FAS_Centralized[[#This Row],[SKU]],Centralized_Conversions[#All],6,FALSE))</f>
        <v>Each</v>
      </c>
      <c r="N9" s="14">
        <f>+FAS_Centralized[[#This Row],[On-hand]]*FAS_Centralized[[#This Row],[Multiplier]]</f>
        <v>0</v>
      </c>
      <c r="P9" t="s">
        <v>2740</v>
      </c>
      <c r="Q9" t="s">
        <v>2741</v>
      </c>
      <c r="U9" t="s">
        <v>2723</v>
      </c>
      <c r="V9">
        <v>0</v>
      </c>
      <c r="X9" t="s">
        <v>85</v>
      </c>
      <c r="Y9">
        <v>118</v>
      </c>
      <c r="Z9" t="s">
        <v>66</v>
      </c>
      <c r="AA9">
        <v>10</v>
      </c>
      <c r="AB9" t="s">
        <v>2739</v>
      </c>
      <c r="AC9">
        <v>0</v>
      </c>
      <c r="AE9" t="str">
        <f>_xlfn.SINGLE(IF(FAS_Centralized[[#This Row],[SKU]]&lt;&gt;P9,"XXXX MISMATCH XXXX",""))</f>
        <v/>
      </c>
      <c r="AF9" s="185">
        <f>+FAS_Centralized[[#This Row],[Count for Dashboard]]-AC9</f>
        <v>0</v>
      </c>
    </row>
    <row r="10" spans="1:32">
      <c r="A10" t="s">
        <v>2742</v>
      </c>
      <c r="B10" t="s">
        <v>2743</v>
      </c>
      <c r="F10" t="s">
        <v>2723</v>
      </c>
      <c r="G10">
        <v>144</v>
      </c>
      <c r="I10" t="s">
        <v>85</v>
      </c>
      <c r="J10">
        <v>2109</v>
      </c>
      <c r="K10" s="14" t="str">
        <f>_xlfn.SINGLE(VLOOKUP(FAS_Centralized[[#This Row],[SKU]],Centralized_Conversions[#All],4,FALSE))</f>
        <v>Masks (N95)</v>
      </c>
      <c r="L10" s="14">
        <f>_xlfn.SINGLE(VLOOKUP(FAS_Centralized[[#This Row],[SKU]],Centralized_Conversions[#All],5,FALSE))</f>
        <v>10</v>
      </c>
      <c r="M10" s="14" t="str">
        <f>_xlfn.SINGLE(VLOOKUP(FAS_Centralized[[#This Row],[SKU]],Centralized_Conversions[#All],6,FALSE))</f>
        <v>Each</v>
      </c>
      <c r="N10" s="14">
        <f>+FAS_Centralized[[#This Row],[On-hand]]*FAS_Centralized[[#This Row],[Multiplier]]</f>
        <v>1440</v>
      </c>
      <c r="P10" t="s">
        <v>2742</v>
      </c>
      <c r="Q10" t="s">
        <v>2743</v>
      </c>
      <c r="U10" t="s">
        <v>2723</v>
      </c>
      <c r="V10">
        <v>144</v>
      </c>
      <c r="X10" t="s">
        <v>85</v>
      </c>
      <c r="Y10">
        <v>2109</v>
      </c>
      <c r="Z10" t="s">
        <v>66</v>
      </c>
      <c r="AA10">
        <v>10</v>
      </c>
      <c r="AB10" t="s">
        <v>2739</v>
      </c>
      <c r="AC10">
        <v>1440</v>
      </c>
      <c r="AE10" t="str">
        <f>_xlfn.SINGLE(IF(FAS_Centralized[[#This Row],[SKU]]&lt;&gt;P10,"XXXX MISMATCH XXXX",""))</f>
        <v/>
      </c>
      <c r="AF10" s="185">
        <f>+FAS_Centralized[[#This Row],[Count for Dashboard]]-AC10</f>
        <v>0</v>
      </c>
    </row>
    <row r="11" spans="1:32">
      <c r="A11" t="s">
        <v>2744</v>
      </c>
      <c r="B11" t="s">
        <v>2745</v>
      </c>
      <c r="F11" t="s">
        <v>2723</v>
      </c>
      <c r="G11">
        <v>113251</v>
      </c>
      <c r="I11" t="s">
        <v>85</v>
      </c>
      <c r="J11">
        <v>25583</v>
      </c>
      <c r="K11" s="14" t="str">
        <f>_xlfn.SINGLE(VLOOKUP(FAS_Centralized[[#This Row],[SKU]],Centralized_Conversions[#All],4,FALSE))</f>
        <v>Masks (Surgical)</v>
      </c>
      <c r="L11" s="14">
        <f>_xlfn.SINGLE(VLOOKUP(FAS_Centralized[[#This Row],[SKU]],Centralized_Conversions[#All],5,FALSE))</f>
        <v>50</v>
      </c>
      <c r="M11" s="14" t="str">
        <f>_xlfn.SINGLE(VLOOKUP(FAS_Centralized[[#This Row],[SKU]],Centralized_Conversions[#All],6,FALSE))</f>
        <v>Each</v>
      </c>
      <c r="N11" s="14">
        <f>+FAS_Centralized[[#This Row],[On-hand]]*FAS_Centralized[[#This Row],[Multiplier]]</f>
        <v>5662550</v>
      </c>
      <c r="P11" t="s">
        <v>2744</v>
      </c>
      <c r="Q11" t="s">
        <v>2745</v>
      </c>
      <c r="U11" t="s">
        <v>2723</v>
      </c>
      <c r="V11">
        <v>113371</v>
      </c>
      <c r="X11" t="s">
        <v>85</v>
      </c>
      <c r="Y11">
        <v>25463</v>
      </c>
      <c r="Z11" t="s">
        <v>68</v>
      </c>
      <c r="AA11">
        <v>50</v>
      </c>
      <c r="AB11" t="s">
        <v>2739</v>
      </c>
      <c r="AC11">
        <v>5668550</v>
      </c>
      <c r="AE11" t="str">
        <f>_xlfn.SINGLE(IF(FAS_Centralized[[#This Row],[SKU]]&lt;&gt;P11,"XXXX MISMATCH XXXX",""))</f>
        <v/>
      </c>
      <c r="AF11" s="185">
        <f>+FAS_Centralized[[#This Row],[Count for Dashboard]]-AC11</f>
        <v>-6000</v>
      </c>
    </row>
    <row r="12" spans="1:32">
      <c r="A12" t="s">
        <v>2746</v>
      </c>
      <c r="B12" t="s">
        <v>2747</v>
      </c>
      <c r="F12" t="s">
        <v>2723</v>
      </c>
      <c r="G12">
        <v>0</v>
      </c>
      <c r="I12" t="s">
        <v>67</v>
      </c>
      <c r="J12">
        <v>1900</v>
      </c>
      <c r="K12" s="14" t="str">
        <f>_xlfn.SINGLE(VLOOKUP(FAS_Centralized[[#This Row],[SKU]],Centralized_Conversions[#All],4,FALSE))</f>
        <v>Face Shields</v>
      </c>
      <c r="L12" s="14">
        <f>_xlfn.SINGLE(VLOOKUP(FAS_Centralized[[#This Row],[SKU]],Centralized_Conversions[#All],5,FALSE))</f>
        <v>1</v>
      </c>
      <c r="M12" s="14" t="str">
        <f>_xlfn.SINGLE(VLOOKUP(FAS_Centralized[[#This Row],[SKU]],Centralized_Conversions[#All],6,FALSE))</f>
        <v>Each</v>
      </c>
      <c r="N12" s="14">
        <f>+FAS_Centralized[[#This Row],[On-hand]]*FAS_Centralized[[#This Row],[Multiplier]]</f>
        <v>0</v>
      </c>
      <c r="P12" t="s">
        <v>2746</v>
      </c>
      <c r="Q12" t="s">
        <v>2747</v>
      </c>
      <c r="U12" t="s">
        <v>2723</v>
      </c>
      <c r="V12">
        <v>0</v>
      </c>
      <c r="X12" t="s">
        <v>67</v>
      </c>
      <c r="Y12">
        <v>1900</v>
      </c>
      <c r="Z12" t="s">
        <v>76</v>
      </c>
      <c r="AA12">
        <v>1</v>
      </c>
      <c r="AB12" t="s">
        <v>2739</v>
      </c>
      <c r="AC12">
        <v>0</v>
      </c>
      <c r="AE12" t="str">
        <f>_xlfn.SINGLE(IF(FAS_Centralized[[#This Row],[SKU]]&lt;&gt;P12,"XXXX MISMATCH XXXX",""))</f>
        <v/>
      </c>
      <c r="AF12" s="185">
        <f>+FAS_Centralized[[#This Row],[Count for Dashboard]]-AC12</f>
        <v>0</v>
      </c>
    </row>
    <row r="13" spans="1:32">
      <c r="A13" t="s">
        <v>2748</v>
      </c>
      <c r="B13" t="s">
        <v>69</v>
      </c>
      <c r="F13" t="s">
        <v>2723</v>
      </c>
      <c r="G13">
        <v>0</v>
      </c>
      <c r="I13" t="s">
        <v>67</v>
      </c>
      <c r="J13">
        <v>47836</v>
      </c>
      <c r="K13" s="14" t="str">
        <f>_xlfn.SINGLE(VLOOKUP(FAS_Centralized[[#This Row],[SKU]],Centralized_Conversions[#All],4,FALSE))</f>
        <v>Masks (Cloth)</v>
      </c>
      <c r="L13" s="14">
        <f>_xlfn.SINGLE(VLOOKUP(FAS_Centralized[[#This Row],[SKU]],Centralized_Conversions[#All],5,FALSE))</f>
        <v>1</v>
      </c>
      <c r="M13" s="14" t="str">
        <f>_xlfn.SINGLE(VLOOKUP(FAS_Centralized[[#This Row],[SKU]],Centralized_Conversions[#All],6,FALSE))</f>
        <v>Each</v>
      </c>
      <c r="N13" s="14">
        <f>+FAS_Centralized[[#This Row],[On-hand]]*FAS_Centralized[[#This Row],[Multiplier]]</f>
        <v>0</v>
      </c>
      <c r="P13" t="s">
        <v>2748</v>
      </c>
      <c r="Q13" t="s">
        <v>69</v>
      </c>
      <c r="U13" t="s">
        <v>2723</v>
      </c>
      <c r="V13">
        <v>0</v>
      </c>
      <c r="X13" t="s">
        <v>67</v>
      </c>
      <c r="Y13">
        <v>47836</v>
      </c>
      <c r="Z13" t="s">
        <v>69</v>
      </c>
      <c r="AA13">
        <v>1</v>
      </c>
      <c r="AB13" t="s">
        <v>2739</v>
      </c>
      <c r="AC13">
        <v>0</v>
      </c>
      <c r="AE13" t="str">
        <f>_xlfn.SINGLE(IF(FAS_Centralized[[#This Row],[SKU]]&lt;&gt;P13,"XXXX MISMATCH XXXX",""))</f>
        <v/>
      </c>
      <c r="AF13" s="185">
        <f>+FAS_Centralized[[#This Row],[Count for Dashboard]]-AC13</f>
        <v>0</v>
      </c>
    </row>
    <row r="14" spans="1:32">
      <c r="A14" t="s">
        <v>2749</v>
      </c>
      <c r="B14" t="s">
        <v>2750</v>
      </c>
      <c r="F14" t="s">
        <v>2723</v>
      </c>
      <c r="G14">
        <v>37275</v>
      </c>
      <c r="I14" t="s">
        <v>67</v>
      </c>
      <c r="J14">
        <v>24012</v>
      </c>
      <c r="K14" s="14" t="str">
        <f>_xlfn.SINGLE(VLOOKUP(FAS_Centralized[[#This Row],[SKU]],Centralized_Conversions[#All],4,FALSE))</f>
        <v>Cloth Masks Filter Only</v>
      </c>
      <c r="L14" s="14">
        <f>_xlfn.SINGLE(VLOOKUP(FAS_Centralized[[#This Row],[SKU]],Centralized_Conversions[#All],5,FALSE))</f>
        <v>1</v>
      </c>
      <c r="M14" s="14" t="str">
        <f>_xlfn.SINGLE(VLOOKUP(FAS_Centralized[[#This Row],[SKU]],Centralized_Conversions[#All],6,FALSE))</f>
        <v>Each</v>
      </c>
      <c r="N14" s="14">
        <f>+FAS_Centralized[[#This Row],[On-hand]]*FAS_Centralized[[#This Row],[Multiplier]]</f>
        <v>37275</v>
      </c>
      <c r="P14" t="s">
        <v>2749</v>
      </c>
      <c r="Q14" t="s">
        <v>2750</v>
      </c>
      <c r="U14" t="s">
        <v>2723</v>
      </c>
      <c r="V14">
        <v>37275</v>
      </c>
      <c r="X14" t="s">
        <v>67</v>
      </c>
      <c r="Y14">
        <v>24012</v>
      </c>
      <c r="Z14" t="s">
        <v>2751</v>
      </c>
      <c r="AA14">
        <v>1</v>
      </c>
      <c r="AB14" t="s">
        <v>2739</v>
      </c>
      <c r="AC14">
        <v>37275</v>
      </c>
      <c r="AE14" t="str">
        <f>_xlfn.SINGLE(IF(FAS_Centralized[[#This Row],[SKU]]&lt;&gt;P14,"XXXX MISMATCH XXXX",""))</f>
        <v/>
      </c>
      <c r="AF14" s="185">
        <f>+FAS_Centralized[[#This Row],[Count for Dashboard]]-AC14</f>
        <v>0</v>
      </c>
    </row>
    <row r="15" spans="1:32">
      <c r="A15" t="s">
        <v>2752</v>
      </c>
      <c r="B15" t="s">
        <v>99</v>
      </c>
      <c r="F15" t="s">
        <v>2723</v>
      </c>
      <c r="G15">
        <v>0</v>
      </c>
      <c r="I15" t="s">
        <v>85</v>
      </c>
      <c r="J15">
        <v>100</v>
      </c>
      <c r="K15" s="14" t="str">
        <f>_xlfn.SINGLE(VLOOKUP(FAS_Centralized[[#This Row],[SKU]],Centralized_Conversions[#All],4,FALSE))</f>
        <v>Masks (KN95)</v>
      </c>
      <c r="L15" s="14">
        <f>_xlfn.SINGLE(VLOOKUP(FAS_Centralized[[#This Row],[SKU]],Centralized_Conversions[#All],5,FALSE))</f>
        <v>10</v>
      </c>
      <c r="M15" s="14" t="str">
        <f>_xlfn.SINGLE(VLOOKUP(FAS_Centralized[[#This Row],[SKU]],Centralized_Conversions[#All],6,FALSE))</f>
        <v>Each</v>
      </c>
      <c r="N15" s="14">
        <f>+FAS_Centralized[[#This Row],[On-hand]]*FAS_Centralized[[#This Row],[Multiplier]]</f>
        <v>0</v>
      </c>
      <c r="P15" t="s">
        <v>2752</v>
      </c>
      <c r="Q15" t="s">
        <v>99</v>
      </c>
      <c r="U15" t="s">
        <v>2723</v>
      </c>
      <c r="V15">
        <v>0</v>
      </c>
      <c r="X15" t="s">
        <v>85</v>
      </c>
      <c r="Y15">
        <v>100</v>
      </c>
      <c r="Z15" t="s">
        <v>2753</v>
      </c>
      <c r="AA15">
        <v>10</v>
      </c>
      <c r="AB15" t="s">
        <v>2739</v>
      </c>
      <c r="AC15">
        <v>0</v>
      </c>
      <c r="AE15" t="str">
        <f>_xlfn.SINGLE(IF(FAS_Centralized[[#This Row],[SKU]]&lt;&gt;P15,"XXXX MISMATCH XXXX",""))</f>
        <v/>
      </c>
      <c r="AF15" s="185">
        <f>+FAS_Centralized[[#This Row],[Count for Dashboard]]-AC15</f>
        <v>0</v>
      </c>
    </row>
    <row r="16" spans="1:32">
      <c r="A16" t="s">
        <v>2754</v>
      </c>
      <c r="B16" t="s">
        <v>2755</v>
      </c>
      <c r="F16" t="s">
        <v>2723</v>
      </c>
      <c r="G16">
        <v>560</v>
      </c>
      <c r="I16" t="s">
        <v>85</v>
      </c>
      <c r="J16">
        <v>111</v>
      </c>
      <c r="K16" s="14" t="e">
        <f>_xlfn.SINGLE(VLOOKUP(FAS_Centralized[[#This Row],[SKU]],Centralized_Conversions[#All],4,FALSE))</f>
        <v>#N/A</v>
      </c>
      <c r="L16" s="14" t="e">
        <f>_xlfn.SINGLE(VLOOKUP(FAS_Centralized[[#This Row],[SKU]],Centralized_Conversions[#All],5,FALSE))</f>
        <v>#N/A</v>
      </c>
      <c r="M16" s="14" t="e">
        <f>_xlfn.SINGLE(VLOOKUP(FAS_Centralized[[#This Row],[SKU]],Centralized_Conversions[#All],6,FALSE))</f>
        <v>#N/A</v>
      </c>
      <c r="N16" s="14" t="e">
        <f>+FAS_Centralized[[#This Row],[On-hand]]*FAS_Centralized[[#This Row],[Multiplier]]</f>
        <v>#N/A</v>
      </c>
      <c r="P16" t="s">
        <v>2754</v>
      </c>
      <c r="Q16" t="s">
        <v>2755</v>
      </c>
      <c r="U16" t="s">
        <v>2723</v>
      </c>
      <c r="V16">
        <v>560</v>
      </c>
      <c r="X16" t="s">
        <v>85</v>
      </c>
      <c r="Y16">
        <v>111</v>
      </c>
      <c r="Z16" t="e">
        <v>#N/A</v>
      </c>
      <c r="AA16" t="e">
        <v>#N/A</v>
      </c>
      <c r="AB16" t="e">
        <v>#N/A</v>
      </c>
      <c r="AC16" t="e">
        <v>#N/A</v>
      </c>
      <c r="AE16" t="str">
        <f>_xlfn.SINGLE(IF(FAS_Centralized[[#This Row],[SKU]]&lt;&gt;P16,"XXXX MISMATCH XXXX",""))</f>
        <v/>
      </c>
      <c r="AF16" s="185" t="e">
        <f>+FAS_Centralized[[#This Row],[Count for Dashboard]]-AC16</f>
        <v>#N/A</v>
      </c>
    </row>
    <row r="17" spans="1:32">
      <c r="A17" t="s">
        <v>2756</v>
      </c>
      <c r="B17" t="s">
        <v>2757</v>
      </c>
      <c r="F17" t="s">
        <v>2723</v>
      </c>
      <c r="G17">
        <v>0</v>
      </c>
      <c r="I17" t="s">
        <v>85</v>
      </c>
      <c r="J17">
        <v>15</v>
      </c>
      <c r="K17" s="14" t="e">
        <f>_xlfn.SINGLE(VLOOKUP(FAS_Centralized[[#This Row],[SKU]],Centralized_Conversions[#All],4,FALSE))</f>
        <v>#N/A</v>
      </c>
      <c r="L17" s="14" t="e">
        <f>_xlfn.SINGLE(VLOOKUP(FAS_Centralized[[#This Row],[SKU]],Centralized_Conversions[#All],5,FALSE))</f>
        <v>#N/A</v>
      </c>
      <c r="M17" s="14" t="e">
        <f>_xlfn.SINGLE(VLOOKUP(FAS_Centralized[[#This Row],[SKU]],Centralized_Conversions[#All],6,FALSE))</f>
        <v>#N/A</v>
      </c>
      <c r="N17" s="14" t="e">
        <f>+FAS_Centralized[[#This Row],[On-hand]]*FAS_Centralized[[#This Row],[Multiplier]]</f>
        <v>#N/A</v>
      </c>
      <c r="P17" t="s">
        <v>2756</v>
      </c>
      <c r="Q17" t="s">
        <v>2757</v>
      </c>
      <c r="U17" t="s">
        <v>2723</v>
      </c>
      <c r="V17">
        <v>0</v>
      </c>
      <c r="X17" t="s">
        <v>85</v>
      </c>
      <c r="Y17">
        <v>15</v>
      </c>
      <c r="Z17" t="e">
        <v>#N/A</v>
      </c>
      <c r="AA17" t="e">
        <v>#N/A</v>
      </c>
      <c r="AB17" t="e">
        <v>#N/A</v>
      </c>
      <c r="AC17" t="e">
        <v>#N/A</v>
      </c>
      <c r="AE17" t="str">
        <f>_xlfn.SINGLE(IF(FAS_Centralized[[#This Row],[SKU]]&lt;&gt;P17,"XXXX MISMATCH XXXX",""))</f>
        <v/>
      </c>
      <c r="AF17" s="185" t="e">
        <f>+FAS_Centralized[[#This Row],[Count for Dashboard]]-AC17</f>
        <v>#N/A</v>
      </c>
    </row>
    <row r="18" spans="1:32">
      <c r="A18" t="s">
        <v>2758</v>
      </c>
      <c r="B18" t="s">
        <v>2759</v>
      </c>
      <c r="F18" t="s">
        <v>2723</v>
      </c>
      <c r="G18">
        <v>3762</v>
      </c>
      <c r="I18" t="s">
        <v>85</v>
      </c>
      <c r="J18">
        <v>1238</v>
      </c>
      <c r="K18" s="14" t="e">
        <f>_xlfn.SINGLE(VLOOKUP(FAS_Centralized[[#This Row],[SKU]],Centralized_Conversions[#All],4,FALSE))</f>
        <v>#N/A</v>
      </c>
      <c r="L18" s="14" t="e">
        <f>_xlfn.SINGLE(VLOOKUP(FAS_Centralized[[#This Row],[SKU]],Centralized_Conversions[#All],5,FALSE))</f>
        <v>#N/A</v>
      </c>
      <c r="M18" s="14" t="e">
        <f>_xlfn.SINGLE(VLOOKUP(FAS_Centralized[[#This Row],[SKU]],Centralized_Conversions[#All],6,FALSE))</f>
        <v>#N/A</v>
      </c>
      <c r="N18" s="14" t="e">
        <f>+FAS_Centralized[[#This Row],[On-hand]]*FAS_Centralized[[#This Row],[Multiplier]]</f>
        <v>#N/A</v>
      </c>
      <c r="P18" t="s">
        <v>2758</v>
      </c>
      <c r="Q18" t="s">
        <v>2759</v>
      </c>
      <c r="U18" t="s">
        <v>2723</v>
      </c>
      <c r="V18">
        <v>3762</v>
      </c>
      <c r="X18" t="s">
        <v>85</v>
      </c>
      <c r="Y18">
        <v>1238</v>
      </c>
      <c r="Z18" t="e">
        <v>#N/A</v>
      </c>
      <c r="AA18" t="e">
        <v>#N/A</v>
      </c>
      <c r="AB18" t="e">
        <v>#N/A</v>
      </c>
      <c r="AC18" t="e">
        <v>#N/A</v>
      </c>
      <c r="AE18" t="str">
        <f>_xlfn.SINGLE(IF(FAS_Centralized[[#This Row],[SKU]]&lt;&gt;P18,"XXXX MISMATCH XXXX",""))</f>
        <v/>
      </c>
      <c r="AF18" s="185" t="e">
        <f>+FAS_Centralized[[#This Row],[Count for Dashboard]]-AC18</f>
        <v>#N/A</v>
      </c>
    </row>
    <row r="19" spans="1:32">
      <c r="A19" t="s">
        <v>2760</v>
      </c>
      <c r="B19" t="s">
        <v>2761</v>
      </c>
      <c r="F19" t="s">
        <v>2723</v>
      </c>
      <c r="G19">
        <v>5</v>
      </c>
      <c r="I19" t="s">
        <v>85</v>
      </c>
      <c r="J19">
        <v>1542</v>
      </c>
      <c r="K19" s="14" t="str">
        <f>_xlfn.SINGLE(VLOOKUP(FAS_Centralized[[#This Row],[SKU]],Centralized_Conversions[#All],4,FALSE))</f>
        <v>Nitrile Gloves (General Use)</v>
      </c>
      <c r="L19" s="14">
        <f>_xlfn.SINGLE(VLOOKUP(FAS_Centralized[[#This Row],[SKU]],Centralized_Conversions[#All],5,FALSE))</f>
        <v>100</v>
      </c>
      <c r="M19" s="14" t="str">
        <f>_xlfn.SINGLE(VLOOKUP(FAS_Centralized[[#This Row],[SKU]],Centralized_Conversions[#All],6,FALSE))</f>
        <v>Pair</v>
      </c>
      <c r="N19" s="14">
        <f>+FAS_Centralized[[#This Row],[On-hand]]*FAS_Centralized[[#This Row],[Multiplier]]</f>
        <v>500</v>
      </c>
      <c r="P19" t="s">
        <v>2760</v>
      </c>
      <c r="Q19" t="s">
        <v>2761</v>
      </c>
      <c r="U19" t="s">
        <v>2723</v>
      </c>
      <c r="V19">
        <v>5</v>
      </c>
      <c r="X19" t="s">
        <v>85</v>
      </c>
      <c r="Y19">
        <v>1542</v>
      </c>
      <c r="Z19" t="s">
        <v>72</v>
      </c>
      <c r="AA19">
        <v>100</v>
      </c>
      <c r="AB19" t="s">
        <v>2762</v>
      </c>
      <c r="AC19">
        <v>500</v>
      </c>
      <c r="AE19" t="str">
        <f>_xlfn.SINGLE(IF(FAS_Centralized[[#This Row],[SKU]]&lt;&gt;P19,"XXXX MISMATCH XXXX",""))</f>
        <v/>
      </c>
      <c r="AF19" s="185">
        <f>+FAS_Centralized[[#This Row],[Count for Dashboard]]-AC19</f>
        <v>0</v>
      </c>
    </row>
    <row r="20" spans="1:32">
      <c r="A20" t="s">
        <v>2763</v>
      </c>
      <c r="B20" t="s">
        <v>2764</v>
      </c>
      <c r="F20" t="s">
        <v>2723</v>
      </c>
      <c r="G20">
        <v>0</v>
      </c>
      <c r="I20" t="s">
        <v>85</v>
      </c>
      <c r="J20">
        <v>2296</v>
      </c>
      <c r="K20" s="14" t="str">
        <f>_xlfn.SINGLE(VLOOKUP(FAS_Centralized[[#This Row],[SKU]],Centralized_Conversions[#All],4,FALSE))</f>
        <v>Nitrile Gloves (Public Safety)</v>
      </c>
      <c r="L20" s="14">
        <f>_xlfn.SINGLE(VLOOKUP(FAS_Centralized[[#This Row],[SKU]],Centralized_Conversions[#All],5,FALSE))</f>
        <v>100</v>
      </c>
      <c r="M20" s="14" t="str">
        <f>_xlfn.SINGLE(VLOOKUP(FAS_Centralized[[#This Row],[SKU]],Centralized_Conversions[#All],6,FALSE))</f>
        <v>Pair</v>
      </c>
      <c r="N20" s="14">
        <f>+FAS_Centralized[[#This Row],[On-hand]]*FAS_Centralized[[#This Row],[Multiplier]]</f>
        <v>0</v>
      </c>
      <c r="P20" t="s">
        <v>2763</v>
      </c>
      <c r="Q20" t="s">
        <v>2764</v>
      </c>
      <c r="U20" t="s">
        <v>2723</v>
      </c>
      <c r="V20">
        <v>0</v>
      </c>
      <c r="X20" t="s">
        <v>85</v>
      </c>
      <c r="Y20">
        <v>2296</v>
      </c>
      <c r="Z20" t="s">
        <v>70</v>
      </c>
      <c r="AA20">
        <v>100</v>
      </c>
      <c r="AB20" t="s">
        <v>2762</v>
      </c>
      <c r="AC20">
        <v>0</v>
      </c>
      <c r="AE20" t="str">
        <f>_xlfn.SINGLE(IF(FAS_Centralized[[#This Row],[SKU]]&lt;&gt;P20,"XXXX MISMATCH XXXX",""))</f>
        <v/>
      </c>
      <c r="AF20" s="185">
        <f>+FAS_Centralized[[#This Row],[Count for Dashboard]]-AC20</f>
        <v>0</v>
      </c>
    </row>
    <row r="21" spans="1:32">
      <c r="A21" t="s">
        <v>2765</v>
      </c>
      <c r="B21" t="s">
        <v>2766</v>
      </c>
      <c r="F21" t="s">
        <v>2723</v>
      </c>
      <c r="G21">
        <v>1164</v>
      </c>
      <c r="I21" t="s">
        <v>85</v>
      </c>
      <c r="J21">
        <v>4854</v>
      </c>
      <c r="K21" s="14" t="str">
        <f>_xlfn.SINGLE(VLOOKUP(FAS_Centralized[[#This Row],[SKU]],Centralized_Conversions[#All],4,FALSE))</f>
        <v>Nitrile Gloves (General Use)</v>
      </c>
      <c r="L21" s="14">
        <f>_xlfn.SINGLE(VLOOKUP(FAS_Centralized[[#This Row],[SKU]],Centralized_Conversions[#All],5,FALSE))</f>
        <v>100</v>
      </c>
      <c r="M21" s="14" t="str">
        <f>_xlfn.SINGLE(VLOOKUP(FAS_Centralized[[#This Row],[SKU]],Centralized_Conversions[#All],6,FALSE))</f>
        <v>Pair</v>
      </c>
      <c r="N21" s="14">
        <f>+FAS_Centralized[[#This Row],[On-hand]]*FAS_Centralized[[#This Row],[Multiplier]]</f>
        <v>116400</v>
      </c>
      <c r="P21" t="s">
        <v>2765</v>
      </c>
      <c r="Q21" t="s">
        <v>2766</v>
      </c>
      <c r="U21" t="s">
        <v>2723</v>
      </c>
      <c r="V21">
        <v>1164</v>
      </c>
      <c r="X21" t="s">
        <v>85</v>
      </c>
      <c r="Y21">
        <v>4854</v>
      </c>
      <c r="Z21" t="s">
        <v>72</v>
      </c>
      <c r="AA21">
        <v>100</v>
      </c>
      <c r="AB21" t="s">
        <v>2762</v>
      </c>
      <c r="AC21">
        <v>116400</v>
      </c>
      <c r="AE21" t="str">
        <f>_xlfn.SINGLE(IF(FAS_Centralized[[#This Row],[SKU]]&lt;&gt;P21,"XXXX MISMATCH XXXX",""))</f>
        <v/>
      </c>
      <c r="AF21" s="185">
        <f>+FAS_Centralized[[#This Row],[Count for Dashboard]]-AC21</f>
        <v>0</v>
      </c>
    </row>
    <row r="22" spans="1:32">
      <c r="A22" t="s">
        <v>2767</v>
      </c>
      <c r="B22" t="s">
        <v>2768</v>
      </c>
      <c r="F22" t="s">
        <v>2723</v>
      </c>
      <c r="G22">
        <v>2895</v>
      </c>
      <c r="I22" t="s">
        <v>85</v>
      </c>
      <c r="J22">
        <v>1702</v>
      </c>
      <c r="K22" s="14" t="str">
        <f>_xlfn.SINGLE(VLOOKUP(FAS_Centralized[[#This Row],[SKU]],Centralized_Conversions[#All],4,FALSE))</f>
        <v>Nitrile Gloves (Public Safety)</v>
      </c>
      <c r="L22" s="14">
        <f>_xlfn.SINGLE(VLOOKUP(FAS_Centralized[[#This Row],[SKU]],Centralized_Conversions[#All],5,FALSE))</f>
        <v>100</v>
      </c>
      <c r="M22" s="14" t="str">
        <f>_xlfn.SINGLE(VLOOKUP(FAS_Centralized[[#This Row],[SKU]],Centralized_Conversions[#All],6,FALSE))</f>
        <v>Pair</v>
      </c>
      <c r="N22" s="14">
        <f>+FAS_Centralized[[#This Row],[On-hand]]*FAS_Centralized[[#This Row],[Multiplier]]</f>
        <v>289500</v>
      </c>
      <c r="P22" t="s">
        <v>2767</v>
      </c>
      <c r="Q22" t="s">
        <v>2768</v>
      </c>
      <c r="U22" t="s">
        <v>2723</v>
      </c>
      <c r="V22">
        <v>2895</v>
      </c>
      <c r="X22" t="s">
        <v>85</v>
      </c>
      <c r="Y22">
        <v>1702</v>
      </c>
      <c r="Z22" t="s">
        <v>70</v>
      </c>
      <c r="AA22">
        <v>100</v>
      </c>
      <c r="AB22" t="s">
        <v>2762</v>
      </c>
      <c r="AC22">
        <v>289500</v>
      </c>
      <c r="AE22" t="str">
        <f>_xlfn.SINGLE(IF(FAS_Centralized[[#This Row],[SKU]]&lt;&gt;P22,"XXXX MISMATCH XXXX",""))</f>
        <v/>
      </c>
      <c r="AF22" s="185">
        <f>+FAS_Centralized[[#This Row],[Count for Dashboard]]-AC22</f>
        <v>0</v>
      </c>
    </row>
    <row r="23" spans="1:32">
      <c r="A23" t="s">
        <v>2769</v>
      </c>
      <c r="B23" t="s">
        <v>2770</v>
      </c>
      <c r="F23" t="s">
        <v>2723</v>
      </c>
      <c r="G23">
        <v>5</v>
      </c>
      <c r="I23" t="s">
        <v>85</v>
      </c>
      <c r="J23">
        <v>3481</v>
      </c>
      <c r="K23" s="14" t="str">
        <f>_xlfn.SINGLE(VLOOKUP(FAS_Centralized[[#This Row],[SKU]],Centralized_Conversions[#All],4,FALSE))</f>
        <v>Nitrile Gloves (General Use)</v>
      </c>
      <c r="L23" s="14">
        <f>_xlfn.SINGLE(VLOOKUP(FAS_Centralized[[#This Row],[SKU]],Centralized_Conversions[#All],5,FALSE))</f>
        <v>100</v>
      </c>
      <c r="M23" s="14" t="str">
        <f>_xlfn.SINGLE(VLOOKUP(FAS_Centralized[[#This Row],[SKU]],Centralized_Conversions[#All],6,FALSE))</f>
        <v>Pair</v>
      </c>
      <c r="N23" s="14">
        <f>+FAS_Centralized[[#This Row],[On-hand]]*FAS_Centralized[[#This Row],[Multiplier]]</f>
        <v>500</v>
      </c>
      <c r="P23" t="s">
        <v>2769</v>
      </c>
      <c r="Q23" t="s">
        <v>2770</v>
      </c>
      <c r="U23" t="s">
        <v>2723</v>
      </c>
      <c r="V23">
        <v>5</v>
      </c>
      <c r="X23" t="s">
        <v>85</v>
      </c>
      <c r="Y23">
        <v>3481</v>
      </c>
      <c r="Z23" t="s">
        <v>72</v>
      </c>
      <c r="AA23">
        <v>100</v>
      </c>
      <c r="AB23" t="s">
        <v>2762</v>
      </c>
      <c r="AC23">
        <v>500</v>
      </c>
      <c r="AE23" t="str">
        <f>_xlfn.SINGLE(IF(FAS_Centralized[[#This Row],[SKU]]&lt;&gt;P23,"XXXX MISMATCH XXXX",""))</f>
        <v/>
      </c>
      <c r="AF23" s="185">
        <f>+FAS_Centralized[[#This Row],[Count for Dashboard]]-AC23</f>
        <v>0</v>
      </c>
    </row>
    <row r="24" spans="1:32">
      <c r="A24" t="s">
        <v>2771</v>
      </c>
      <c r="B24" t="s">
        <v>2772</v>
      </c>
      <c r="F24" t="s">
        <v>2723</v>
      </c>
      <c r="G24">
        <v>306</v>
      </c>
      <c r="I24" t="s">
        <v>85</v>
      </c>
      <c r="J24">
        <v>4128</v>
      </c>
      <c r="K24" s="14" t="str">
        <f>_xlfn.SINGLE(VLOOKUP(FAS_Centralized[[#This Row],[SKU]],Centralized_Conversions[#All],4,FALSE))</f>
        <v>Nitrile Gloves (Public Safety)</v>
      </c>
      <c r="L24" s="14">
        <f>_xlfn.SINGLE(VLOOKUP(FAS_Centralized[[#This Row],[SKU]],Centralized_Conversions[#All],5,FALSE))</f>
        <v>100</v>
      </c>
      <c r="M24" s="14" t="str">
        <f>_xlfn.SINGLE(VLOOKUP(FAS_Centralized[[#This Row],[SKU]],Centralized_Conversions[#All],6,FALSE))</f>
        <v>Pair</v>
      </c>
      <c r="N24" s="14">
        <f>+FAS_Centralized[[#This Row],[On-hand]]*FAS_Centralized[[#This Row],[Multiplier]]</f>
        <v>30600</v>
      </c>
      <c r="P24" t="s">
        <v>2771</v>
      </c>
      <c r="Q24" t="s">
        <v>2772</v>
      </c>
      <c r="U24" t="s">
        <v>2723</v>
      </c>
      <c r="V24">
        <v>306</v>
      </c>
      <c r="X24" t="s">
        <v>85</v>
      </c>
      <c r="Y24">
        <v>4128</v>
      </c>
      <c r="Z24" t="s">
        <v>70</v>
      </c>
      <c r="AA24">
        <v>100</v>
      </c>
      <c r="AB24" t="s">
        <v>2762</v>
      </c>
      <c r="AC24">
        <v>30600</v>
      </c>
      <c r="AE24" t="str">
        <f>_xlfn.SINGLE(IF(FAS_Centralized[[#This Row],[SKU]]&lt;&gt;P24,"XXXX MISMATCH XXXX",""))</f>
        <v/>
      </c>
      <c r="AF24" s="185">
        <f>+FAS_Centralized[[#This Row],[Count for Dashboard]]-AC24</f>
        <v>0</v>
      </c>
    </row>
    <row r="25" spans="1:32">
      <c r="A25" t="s">
        <v>2773</v>
      </c>
      <c r="B25" t="s">
        <v>2774</v>
      </c>
      <c r="F25" t="s">
        <v>2723</v>
      </c>
      <c r="G25">
        <v>518</v>
      </c>
      <c r="I25" t="s">
        <v>85</v>
      </c>
      <c r="J25">
        <v>4017</v>
      </c>
      <c r="K25" s="14" t="str">
        <f>_xlfn.SINGLE(VLOOKUP(FAS_Centralized[[#This Row],[SKU]],Centralized_Conversions[#All],4,FALSE))</f>
        <v>Nitrile Gloves (General Use)</v>
      </c>
      <c r="L25" s="14">
        <f>_xlfn.SINGLE(VLOOKUP(FAS_Centralized[[#This Row],[SKU]],Centralized_Conversions[#All],5,FALSE))</f>
        <v>100</v>
      </c>
      <c r="M25" s="14" t="str">
        <f>_xlfn.SINGLE(VLOOKUP(FAS_Centralized[[#This Row],[SKU]],Centralized_Conversions[#All],6,FALSE))</f>
        <v>Pair</v>
      </c>
      <c r="N25" s="14">
        <f>+FAS_Centralized[[#This Row],[On-hand]]*FAS_Centralized[[#This Row],[Multiplier]]</f>
        <v>51800</v>
      </c>
      <c r="P25" t="s">
        <v>2773</v>
      </c>
      <c r="Q25" t="s">
        <v>2774</v>
      </c>
      <c r="U25" t="s">
        <v>2723</v>
      </c>
      <c r="V25">
        <v>518</v>
      </c>
      <c r="X25" t="s">
        <v>85</v>
      </c>
      <c r="Y25">
        <v>4017</v>
      </c>
      <c r="Z25" t="s">
        <v>72</v>
      </c>
      <c r="AA25">
        <v>100</v>
      </c>
      <c r="AB25" t="s">
        <v>2762</v>
      </c>
      <c r="AC25">
        <v>51800</v>
      </c>
      <c r="AE25" t="str">
        <f>_xlfn.SINGLE(IF(FAS_Centralized[[#This Row],[SKU]]&lt;&gt;P25,"XXXX MISMATCH XXXX",""))</f>
        <v/>
      </c>
      <c r="AF25" s="185">
        <f>+FAS_Centralized[[#This Row],[Count for Dashboard]]-AC25</f>
        <v>0</v>
      </c>
    </row>
    <row r="26" spans="1:32">
      <c r="A26" t="s">
        <v>2775</v>
      </c>
      <c r="B26" t="s">
        <v>2776</v>
      </c>
      <c r="F26" t="s">
        <v>2723</v>
      </c>
      <c r="G26">
        <v>766</v>
      </c>
      <c r="I26" t="s">
        <v>85</v>
      </c>
      <c r="J26">
        <v>2937</v>
      </c>
      <c r="K26" s="14" t="str">
        <f>_xlfn.SINGLE(VLOOKUP(FAS_Centralized[[#This Row],[SKU]],Centralized_Conversions[#All],4,FALSE))</f>
        <v>Nitrile Gloves (Public Safety)</v>
      </c>
      <c r="L26" s="14">
        <f>_xlfn.SINGLE(VLOOKUP(FAS_Centralized[[#This Row],[SKU]],Centralized_Conversions[#All],5,FALSE))</f>
        <v>100</v>
      </c>
      <c r="M26" s="14" t="str">
        <f>_xlfn.SINGLE(VLOOKUP(FAS_Centralized[[#This Row],[SKU]],Centralized_Conversions[#All],6,FALSE))</f>
        <v>Pair</v>
      </c>
      <c r="N26" s="14">
        <f>+FAS_Centralized[[#This Row],[On-hand]]*FAS_Centralized[[#This Row],[Multiplier]]</f>
        <v>76600</v>
      </c>
      <c r="P26" t="s">
        <v>2775</v>
      </c>
      <c r="Q26" t="s">
        <v>2776</v>
      </c>
      <c r="U26" t="s">
        <v>2723</v>
      </c>
      <c r="V26">
        <v>766</v>
      </c>
      <c r="X26" t="s">
        <v>85</v>
      </c>
      <c r="Y26">
        <v>2937</v>
      </c>
      <c r="Z26" t="s">
        <v>70</v>
      </c>
      <c r="AA26">
        <v>100</v>
      </c>
      <c r="AB26" t="s">
        <v>2762</v>
      </c>
      <c r="AC26">
        <v>76600</v>
      </c>
      <c r="AE26" t="str">
        <f>_xlfn.SINGLE(IF(FAS_Centralized[[#This Row],[SKU]]&lt;&gt;P26,"XXXX MISMATCH XXXX",""))</f>
        <v/>
      </c>
      <c r="AF26" s="185">
        <f>+FAS_Centralized[[#This Row],[Count for Dashboard]]-AC26</f>
        <v>0</v>
      </c>
    </row>
    <row r="27" spans="1:32">
      <c r="A27" t="s">
        <v>2777</v>
      </c>
      <c r="B27" t="s">
        <v>2778</v>
      </c>
      <c r="F27" t="s">
        <v>2723</v>
      </c>
      <c r="G27">
        <v>0</v>
      </c>
      <c r="I27" t="s">
        <v>85</v>
      </c>
      <c r="J27">
        <v>1570</v>
      </c>
      <c r="K27" s="14" t="str">
        <f>_xlfn.SINGLE(VLOOKUP(FAS_Centralized[[#This Row],[SKU]],Centralized_Conversions[#All],4,FALSE))</f>
        <v>Nitrile Gloves (Public Safety)</v>
      </c>
      <c r="L27" s="14">
        <f>_xlfn.SINGLE(VLOOKUP(FAS_Centralized[[#This Row],[SKU]],Centralized_Conversions[#All],5,FALSE))</f>
        <v>100</v>
      </c>
      <c r="M27" s="14" t="str">
        <f>_xlfn.SINGLE(VLOOKUP(FAS_Centralized[[#This Row],[SKU]],Centralized_Conversions[#All],6,FALSE))</f>
        <v>Pair</v>
      </c>
      <c r="N27" s="14">
        <f>+FAS_Centralized[[#This Row],[On-hand]]*FAS_Centralized[[#This Row],[Multiplier]]</f>
        <v>0</v>
      </c>
      <c r="P27" t="s">
        <v>2777</v>
      </c>
      <c r="Q27" t="s">
        <v>2778</v>
      </c>
      <c r="U27" t="s">
        <v>2723</v>
      </c>
      <c r="V27">
        <v>0</v>
      </c>
      <c r="X27" t="s">
        <v>85</v>
      </c>
      <c r="Y27">
        <v>1570</v>
      </c>
      <c r="Z27" t="s">
        <v>70</v>
      </c>
      <c r="AA27">
        <v>100</v>
      </c>
      <c r="AB27" t="s">
        <v>2762</v>
      </c>
      <c r="AC27">
        <v>0</v>
      </c>
      <c r="AE27" t="str">
        <f>_xlfn.SINGLE(IF(FAS_Centralized[[#This Row],[SKU]]&lt;&gt;P27,"XXXX MISMATCH XXXX",""))</f>
        <v/>
      </c>
      <c r="AF27" s="185">
        <f>+FAS_Centralized[[#This Row],[Count for Dashboard]]-AC27</f>
        <v>0</v>
      </c>
    </row>
    <row r="28" spans="1:32">
      <c r="A28" t="s">
        <v>2779</v>
      </c>
      <c r="B28" t="s">
        <v>2780</v>
      </c>
      <c r="F28" t="s">
        <v>2723</v>
      </c>
      <c r="G28">
        <v>3736</v>
      </c>
      <c r="I28" t="s">
        <v>2732</v>
      </c>
      <c r="J28">
        <v>866</v>
      </c>
      <c r="K28" s="14" t="str">
        <f>_xlfn.SINGLE(VLOOKUP(FAS_Centralized[[#This Row],[SKU]],Centralized_Conversions[#All],4,FALSE))</f>
        <v>Paper Towels</v>
      </c>
      <c r="L28" s="14">
        <f>_xlfn.SINGLE(VLOOKUP(FAS_Centralized[[#This Row],[SKU]],Centralized_Conversions[#All],5,FALSE))</f>
        <v>12</v>
      </c>
      <c r="M28" s="14" t="str">
        <f>_xlfn.SINGLE(VLOOKUP(FAS_Centralized[[#This Row],[SKU]],Centralized_Conversions[#All],6,FALSE))</f>
        <v>Pack</v>
      </c>
      <c r="N28" s="14">
        <f>+FAS_Centralized[[#This Row],[On-hand]]*FAS_Centralized[[#This Row],[Multiplier]]</f>
        <v>44832</v>
      </c>
      <c r="P28" t="s">
        <v>2779</v>
      </c>
      <c r="Q28" t="s">
        <v>2780</v>
      </c>
      <c r="U28" t="s">
        <v>2723</v>
      </c>
      <c r="V28">
        <v>3736</v>
      </c>
      <c r="X28" t="s">
        <v>2732</v>
      </c>
      <c r="Y28">
        <v>866</v>
      </c>
      <c r="Z28" t="s">
        <v>95</v>
      </c>
      <c r="AA28">
        <v>12</v>
      </c>
      <c r="AB28" t="s">
        <v>2781</v>
      </c>
      <c r="AC28">
        <v>44832</v>
      </c>
      <c r="AE28" t="str">
        <f>_xlfn.SINGLE(IF(FAS_Centralized[[#This Row],[SKU]]&lt;&gt;P28,"XXXX MISMATCH XXXX",""))</f>
        <v/>
      </c>
      <c r="AF28" s="185">
        <f>+FAS_Centralized[[#This Row],[Count for Dashboard]]-AC28</f>
        <v>0</v>
      </c>
    </row>
    <row r="29" spans="1:32">
      <c r="A29" t="s">
        <v>2782</v>
      </c>
      <c r="B29" t="s">
        <v>2783</v>
      </c>
      <c r="F29" t="s">
        <v>2723</v>
      </c>
      <c r="G29">
        <v>0</v>
      </c>
      <c r="I29" t="s">
        <v>2732</v>
      </c>
      <c r="J29">
        <v>50</v>
      </c>
      <c r="K29" s="14" t="e">
        <f>_xlfn.SINGLE(VLOOKUP(FAS_Centralized[[#This Row],[SKU]],Centralized_Conversions[#All],4,FALSE))</f>
        <v>#N/A</v>
      </c>
      <c r="L29" s="14" t="e">
        <f>_xlfn.SINGLE(VLOOKUP(FAS_Centralized[[#This Row],[SKU]],Centralized_Conversions[#All],5,FALSE))</f>
        <v>#N/A</v>
      </c>
      <c r="M29" s="14" t="e">
        <f>_xlfn.SINGLE(VLOOKUP(FAS_Centralized[[#This Row],[SKU]],Centralized_Conversions[#All],6,FALSE))</f>
        <v>#N/A</v>
      </c>
      <c r="N29" s="14" t="e">
        <f>+FAS_Centralized[[#This Row],[On-hand]]*FAS_Centralized[[#This Row],[Multiplier]]</f>
        <v>#N/A</v>
      </c>
      <c r="P29" t="s">
        <v>2782</v>
      </c>
      <c r="Q29" t="s">
        <v>2783</v>
      </c>
      <c r="U29" t="s">
        <v>2723</v>
      </c>
      <c r="V29">
        <v>0</v>
      </c>
      <c r="X29" t="s">
        <v>2732</v>
      </c>
      <c r="Y29">
        <v>50</v>
      </c>
      <c r="Z29" t="e">
        <v>#N/A</v>
      </c>
      <c r="AA29" t="e">
        <v>#N/A</v>
      </c>
      <c r="AB29" t="e">
        <v>#N/A</v>
      </c>
      <c r="AC29" t="e">
        <v>#N/A</v>
      </c>
      <c r="AE29" t="str">
        <f>_xlfn.SINGLE(IF(FAS_Centralized[[#This Row],[SKU]]&lt;&gt;P29,"XXXX MISMATCH XXXX",""))</f>
        <v/>
      </c>
      <c r="AF29" s="185" t="e">
        <f>+FAS_Centralized[[#This Row],[Count for Dashboard]]-AC29</f>
        <v>#N/A</v>
      </c>
    </row>
    <row r="30" spans="1:32">
      <c r="A30" t="s">
        <v>2784</v>
      </c>
      <c r="B30" t="s">
        <v>2785</v>
      </c>
      <c r="F30" t="s">
        <v>2723</v>
      </c>
      <c r="G30">
        <v>0</v>
      </c>
      <c r="I30" t="s">
        <v>67</v>
      </c>
      <c r="J30">
        <v>40</v>
      </c>
      <c r="K30" s="14" t="str">
        <f>_xlfn.SINGLE(VLOOKUP(FAS_Centralized[[#This Row],[SKU]],Centralized_Conversions[#All],4,FALSE))</f>
        <v>Purell (1200 ml stand refill)</v>
      </c>
      <c r="L30" s="14">
        <f>_xlfn.SINGLE(VLOOKUP(FAS_Centralized[[#This Row],[SKU]],Centralized_Conversions[#All],5,FALSE))</f>
        <v>1</v>
      </c>
      <c r="M30" s="14" t="str">
        <f>_xlfn.SINGLE(VLOOKUP(FAS_Centralized[[#This Row],[SKU]],Centralized_Conversions[#All],6,FALSE))</f>
        <v>Each</v>
      </c>
      <c r="N30" s="14">
        <f>+FAS_Centralized[[#This Row],[On-hand]]*FAS_Centralized[[#This Row],[Multiplier]]</f>
        <v>0</v>
      </c>
      <c r="P30" t="s">
        <v>2784</v>
      </c>
      <c r="Q30" t="s">
        <v>2785</v>
      </c>
      <c r="U30" t="s">
        <v>2723</v>
      </c>
      <c r="V30">
        <v>0</v>
      </c>
      <c r="X30" t="s">
        <v>67</v>
      </c>
      <c r="Y30">
        <v>40</v>
      </c>
      <c r="Z30" t="s">
        <v>84</v>
      </c>
      <c r="AA30">
        <v>1</v>
      </c>
      <c r="AB30" t="s">
        <v>2739</v>
      </c>
      <c r="AC30">
        <v>0</v>
      </c>
      <c r="AE30" t="str">
        <f>_xlfn.SINGLE(IF(FAS_Centralized[[#This Row],[SKU]]&lt;&gt;P30,"XXXX MISMATCH XXXX",""))</f>
        <v/>
      </c>
      <c r="AF30" s="185">
        <f>+FAS_Centralized[[#This Row],[Count for Dashboard]]-AC30</f>
        <v>0</v>
      </c>
    </row>
    <row r="31" spans="1:32">
      <c r="A31" t="s">
        <v>2786</v>
      </c>
      <c r="B31" t="s">
        <v>2787</v>
      </c>
      <c r="F31" t="s">
        <v>2723</v>
      </c>
      <c r="G31">
        <v>8048</v>
      </c>
      <c r="I31" t="s">
        <v>67</v>
      </c>
      <c r="J31">
        <v>34098</v>
      </c>
      <c r="K31" s="14" t="str">
        <f>_xlfn.SINGLE(VLOOKUP(FAS_Centralized[[#This Row],[SKU]],Centralized_Conversions[#All],4,FALSE))</f>
        <v>Hand Sanitizer (12oz or equiv)</v>
      </c>
      <c r="L31" s="14">
        <f>_xlfn.SINGLE(VLOOKUP(FAS_Centralized[[#This Row],[SKU]],Centralized_Conversions[#All],5,FALSE))</f>
        <v>1</v>
      </c>
      <c r="M31" s="14" t="str">
        <f>_xlfn.SINGLE(VLOOKUP(FAS_Centralized[[#This Row],[SKU]],Centralized_Conversions[#All],6,FALSE))</f>
        <v>Each</v>
      </c>
      <c r="N31" s="14">
        <f>+FAS_Centralized[[#This Row],[On-hand]]*FAS_Centralized[[#This Row],[Multiplier]]</f>
        <v>8048</v>
      </c>
      <c r="P31" t="s">
        <v>2786</v>
      </c>
      <c r="Q31" t="s">
        <v>2787</v>
      </c>
      <c r="U31" t="s">
        <v>2723</v>
      </c>
      <c r="V31">
        <v>8048</v>
      </c>
      <c r="X31" t="s">
        <v>67</v>
      </c>
      <c r="Y31">
        <v>34098</v>
      </c>
      <c r="Z31" t="s">
        <v>82</v>
      </c>
      <c r="AA31">
        <v>1</v>
      </c>
      <c r="AB31" t="s">
        <v>2739</v>
      </c>
      <c r="AC31">
        <v>8048</v>
      </c>
      <c r="AE31" t="str">
        <f>_xlfn.SINGLE(IF(FAS_Centralized[[#This Row],[SKU]]&lt;&gt;P31,"XXXX MISMATCH XXXX",""))</f>
        <v/>
      </c>
      <c r="AF31" s="185">
        <f>+FAS_Centralized[[#This Row],[Count for Dashboard]]-AC31</f>
        <v>0</v>
      </c>
    </row>
    <row r="32" spans="1:32">
      <c r="A32" t="s">
        <v>2788</v>
      </c>
      <c r="B32" t="s">
        <v>2789</v>
      </c>
      <c r="F32" t="s">
        <v>2723</v>
      </c>
      <c r="G32">
        <v>0</v>
      </c>
      <c r="I32" t="s">
        <v>67</v>
      </c>
      <c r="J32">
        <v>151</v>
      </c>
      <c r="K32" s="14" t="str">
        <f>_xlfn.SINGLE(VLOOKUP(FAS_Centralized[[#This Row],[SKU]],Centralized_Conversions[#All],4,FALSE))</f>
        <v>Hand Sanitizer (12oz or equiv)</v>
      </c>
      <c r="L32" s="14">
        <f>_xlfn.SINGLE(VLOOKUP(FAS_Centralized[[#This Row],[SKU]],Centralized_Conversions[#All],5,FALSE))</f>
        <v>1</v>
      </c>
      <c r="M32" s="14" t="str">
        <f>_xlfn.SINGLE(VLOOKUP(FAS_Centralized[[#This Row],[SKU]],Centralized_Conversions[#All],6,FALSE))</f>
        <v>Each</v>
      </c>
      <c r="N32" s="14">
        <f>+FAS_Centralized[[#This Row],[On-hand]]*FAS_Centralized[[#This Row],[Multiplier]]</f>
        <v>0</v>
      </c>
      <c r="P32" t="s">
        <v>2788</v>
      </c>
      <c r="Q32" t="s">
        <v>2789</v>
      </c>
      <c r="U32" t="s">
        <v>2723</v>
      </c>
      <c r="V32">
        <v>0</v>
      </c>
      <c r="X32" t="s">
        <v>67</v>
      </c>
      <c r="Y32">
        <v>151</v>
      </c>
      <c r="Z32" t="s">
        <v>82</v>
      </c>
      <c r="AA32">
        <v>1</v>
      </c>
      <c r="AB32" t="s">
        <v>2739</v>
      </c>
      <c r="AC32">
        <v>0</v>
      </c>
      <c r="AE32" t="str">
        <f>_xlfn.SINGLE(IF(FAS_Centralized[[#This Row],[SKU]]&lt;&gt;P32,"XXXX MISMATCH XXXX",""))</f>
        <v/>
      </c>
      <c r="AF32" s="185">
        <f>+FAS_Centralized[[#This Row],[Count for Dashboard]]-AC32</f>
        <v>0</v>
      </c>
    </row>
    <row r="33" spans="1:32">
      <c r="A33" t="s">
        <v>2790</v>
      </c>
      <c r="B33" t="s">
        <v>2791</v>
      </c>
      <c r="F33" t="s">
        <v>2723</v>
      </c>
      <c r="G33">
        <v>611</v>
      </c>
      <c r="I33" t="s">
        <v>2732</v>
      </c>
      <c r="J33">
        <v>302</v>
      </c>
      <c r="K33" s="14" t="str">
        <f>_xlfn.SINGLE(VLOOKUP(FAS_Centralized[[#This Row],[SKU]],Centralized_Conversions[#All],4,FALSE))</f>
        <v>Toilet Paper</v>
      </c>
      <c r="L33" s="14">
        <f>_xlfn.SINGLE(VLOOKUP(FAS_Centralized[[#This Row],[SKU]],Centralized_Conversions[#All],5,FALSE))</f>
        <v>60</v>
      </c>
      <c r="M33" s="14" t="str">
        <f>_xlfn.SINGLE(VLOOKUP(FAS_Centralized[[#This Row],[SKU]],Centralized_Conversions[#All],6,FALSE))</f>
        <v>Rolls</v>
      </c>
      <c r="N33" s="14">
        <f>+FAS_Centralized[[#This Row],[On-hand]]*FAS_Centralized[[#This Row],[Multiplier]]</f>
        <v>36660</v>
      </c>
      <c r="P33" t="s">
        <v>2790</v>
      </c>
      <c r="Q33" t="s">
        <v>2791</v>
      </c>
      <c r="U33" t="s">
        <v>2723</v>
      </c>
      <c r="V33">
        <v>611</v>
      </c>
      <c r="X33" t="s">
        <v>2732</v>
      </c>
      <c r="Y33">
        <v>302</v>
      </c>
      <c r="Z33" t="s">
        <v>97</v>
      </c>
      <c r="AA33">
        <v>60</v>
      </c>
      <c r="AB33" t="s">
        <v>2792</v>
      </c>
      <c r="AC33">
        <v>36660</v>
      </c>
      <c r="AE33" t="str">
        <f>_xlfn.SINGLE(IF(FAS_Centralized[[#This Row],[SKU]]&lt;&gt;P33,"XXXX MISMATCH XXXX",""))</f>
        <v/>
      </c>
      <c r="AF33" s="185">
        <f>+FAS_Centralized[[#This Row],[Count for Dashboard]]-AC33</f>
        <v>0</v>
      </c>
    </row>
    <row r="34" spans="1:32">
      <c r="A34" t="s">
        <v>2793</v>
      </c>
      <c r="B34" t="s">
        <v>2794</v>
      </c>
      <c r="F34" t="s">
        <v>2723</v>
      </c>
      <c r="G34">
        <v>24</v>
      </c>
      <c r="I34" t="s">
        <v>85</v>
      </c>
      <c r="J34">
        <v>0</v>
      </c>
      <c r="K34" s="14" t="str">
        <f>_xlfn.SINGLE(VLOOKUP(FAS_Centralized[[#This Row],[SKU]],Centralized_Conversions[#All],4,FALSE))</f>
        <v>No Longer Used</v>
      </c>
      <c r="L34" s="14">
        <f>_xlfn.SINGLE(VLOOKUP(FAS_Centralized[[#This Row],[SKU]],Centralized_Conversions[#All],5,FALSE))</f>
        <v>1</v>
      </c>
      <c r="M34" s="14" t="str">
        <f>_xlfn.SINGLE(VLOOKUP(FAS_Centralized[[#This Row],[SKU]],Centralized_Conversions[#All],6,FALSE))</f>
        <v>Box</v>
      </c>
      <c r="N34" s="14">
        <f>+FAS_Centralized[[#This Row],[On-hand]]*FAS_Centralized[[#This Row],[Multiplier]]</f>
        <v>24</v>
      </c>
      <c r="P34" t="s">
        <v>2793</v>
      </c>
      <c r="Q34" t="s">
        <v>2794</v>
      </c>
      <c r="U34" t="s">
        <v>2723</v>
      </c>
      <c r="V34">
        <v>24</v>
      </c>
      <c r="X34" t="s">
        <v>85</v>
      </c>
      <c r="Y34">
        <v>0</v>
      </c>
      <c r="Z34" t="s">
        <v>2795</v>
      </c>
      <c r="AA34">
        <v>1</v>
      </c>
      <c r="AB34" t="s">
        <v>2733</v>
      </c>
      <c r="AC34">
        <v>24</v>
      </c>
      <c r="AE34" t="str">
        <f>_xlfn.SINGLE(IF(FAS_Centralized[[#This Row],[SKU]]&lt;&gt;P34,"XXXX MISMATCH XXXX",""))</f>
        <v/>
      </c>
      <c r="AF34" s="185">
        <f>+FAS_Centralized[[#This Row],[Count for Dashboard]]-AC34</f>
        <v>0</v>
      </c>
    </row>
    <row r="35" spans="1:32">
      <c r="A35" t="s">
        <v>2796</v>
      </c>
      <c r="B35" t="s">
        <v>2797</v>
      </c>
      <c r="F35" t="s">
        <v>2723</v>
      </c>
      <c r="G35">
        <v>30</v>
      </c>
      <c r="I35" t="s">
        <v>85</v>
      </c>
      <c r="J35">
        <v>0</v>
      </c>
      <c r="K35" s="14" t="e">
        <f>_xlfn.SINGLE(VLOOKUP(FAS_Centralized[[#This Row],[SKU]],Centralized_Conversions[#All],4,FALSE))</f>
        <v>#N/A</v>
      </c>
      <c r="L35" s="14" t="e">
        <f>_xlfn.SINGLE(VLOOKUP(FAS_Centralized[[#This Row],[SKU]],Centralized_Conversions[#All],5,FALSE))</f>
        <v>#N/A</v>
      </c>
      <c r="M35" s="14" t="e">
        <f>_xlfn.SINGLE(VLOOKUP(FAS_Centralized[[#This Row],[SKU]],Centralized_Conversions[#All],6,FALSE))</f>
        <v>#N/A</v>
      </c>
      <c r="N35" s="14" t="e">
        <f>+FAS_Centralized[[#This Row],[On-hand]]*FAS_Centralized[[#This Row],[Multiplier]]</f>
        <v>#N/A</v>
      </c>
      <c r="P35" t="s">
        <v>2796</v>
      </c>
      <c r="Q35" t="s">
        <v>2797</v>
      </c>
      <c r="U35" t="s">
        <v>2723</v>
      </c>
      <c r="V35">
        <v>30</v>
      </c>
      <c r="X35" t="s">
        <v>85</v>
      </c>
      <c r="Y35">
        <v>0</v>
      </c>
      <c r="Z35" t="e">
        <v>#N/A</v>
      </c>
      <c r="AA35" t="e">
        <v>#N/A</v>
      </c>
      <c r="AB35" t="e">
        <v>#N/A</v>
      </c>
      <c r="AC35" t="e">
        <v>#N/A</v>
      </c>
      <c r="AE35" t="str">
        <f>_xlfn.SINGLE(IF(FAS_Centralized[[#This Row],[SKU]]&lt;&gt;P35,"XXXX MISMATCH XXXX",""))</f>
        <v/>
      </c>
      <c r="AF35" s="185" t="e">
        <f>+FAS_Centralized[[#This Row],[Count for Dashboard]]-AC35</f>
        <v>#N/A</v>
      </c>
    </row>
    <row r="36" spans="1:32">
      <c r="A36" t="s">
        <v>2798</v>
      </c>
      <c r="B36" t="s">
        <v>2799</v>
      </c>
      <c r="F36" t="s">
        <v>2723</v>
      </c>
      <c r="G36">
        <v>29</v>
      </c>
      <c r="I36" t="s">
        <v>85</v>
      </c>
      <c r="J36">
        <v>1</v>
      </c>
      <c r="K36" s="14" t="e">
        <f>_xlfn.SINGLE(VLOOKUP(FAS_Centralized[[#This Row],[SKU]],Centralized_Conversions[#All],4,FALSE))</f>
        <v>#N/A</v>
      </c>
      <c r="L36" s="14" t="e">
        <f>_xlfn.SINGLE(VLOOKUP(FAS_Centralized[[#This Row],[SKU]],Centralized_Conversions[#All],5,FALSE))</f>
        <v>#N/A</v>
      </c>
      <c r="M36" s="14" t="e">
        <f>_xlfn.SINGLE(VLOOKUP(FAS_Centralized[[#This Row],[SKU]],Centralized_Conversions[#All],6,FALSE))</f>
        <v>#N/A</v>
      </c>
      <c r="N36" s="14" t="e">
        <f>+FAS_Centralized[[#This Row],[On-hand]]*FAS_Centralized[[#This Row],[Multiplier]]</f>
        <v>#N/A</v>
      </c>
      <c r="P36" t="s">
        <v>2798</v>
      </c>
      <c r="Q36" t="s">
        <v>2799</v>
      </c>
      <c r="U36" t="s">
        <v>2723</v>
      </c>
      <c r="V36">
        <v>29</v>
      </c>
      <c r="X36" t="s">
        <v>85</v>
      </c>
      <c r="Y36">
        <v>1</v>
      </c>
      <c r="Z36" t="e">
        <v>#N/A</v>
      </c>
      <c r="AA36" t="e">
        <v>#N/A</v>
      </c>
      <c r="AB36" t="e">
        <v>#N/A</v>
      </c>
      <c r="AC36" t="e">
        <v>#N/A</v>
      </c>
      <c r="AE36" t="str">
        <f>_xlfn.SINGLE(IF(FAS_Centralized[[#This Row],[SKU]]&lt;&gt;P36,"XXXX MISMATCH XXXX",""))</f>
        <v/>
      </c>
      <c r="AF36" s="185" t="e">
        <f>+FAS_Centralized[[#This Row],[Count for Dashboard]]-AC36</f>
        <v>#N/A</v>
      </c>
    </row>
    <row r="37" spans="1:32">
      <c r="A37" t="s">
        <v>2800</v>
      </c>
      <c r="B37" t="s">
        <v>2801</v>
      </c>
      <c r="F37" t="s">
        <v>2723</v>
      </c>
      <c r="G37">
        <v>0</v>
      </c>
      <c r="I37" t="s">
        <v>67</v>
      </c>
      <c r="J37">
        <v>0</v>
      </c>
      <c r="K37" s="14" t="str">
        <f>_xlfn.SINGLE(VLOOKUP(FAS_Centralized[[#This Row],[SKU]],Centralized_Conversions[#All],4,FALSE))</f>
        <v>No Longer Used</v>
      </c>
      <c r="L37" s="14">
        <f>_xlfn.SINGLE(VLOOKUP(FAS_Centralized[[#This Row],[SKU]],Centralized_Conversions[#All],5,FALSE))</f>
        <v>1</v>
      </c>
      <c r="M37" s="14" t="str">
        <f>_xlfn.SINGLE(VLOOKUP(FAS_Centralized[[#This Row],[SKU]],Centralized_Conversions[#All],6,FALSE))</f>
        <v>Each</v>
      </c>
      <c r="N37" s="14">
        <f>+FAS_Centralized[[#This Row],[On-hand]]*FAS_Centralized[[#This Row],[Multiplier]]</f>
        <v>0</v>
      </c>
      <c r="P37" t="s">
        <v>2800</v>
      </c>
      <c r="Q37" t="s">
        <v>2801</v>
      </c>
      <c r="U37" t="s">
        <v>2723</v>
      </c>
      <c r="V37">
        <v>0</v>
      </c>
      <c r="X37" t="s">
        <v>67</v>
      </c>
      <c r="Y37">
        <v>0</v>
      </c>
      <c r="Z37" t="s">
        <v>2795</v>
      </c>
      <c r="AA37">
        <v>1</v>
      </c>
      <c r="AB37" t="s">
        <v>2739</v>
      </c>
      <c r="AC37">
        <v>0</v>
      </c>
      <c r="AE37" t="str">
        <f>_xlfn.SINGLE(IF(FAS_Centralized[[#This Row],[SKU]]&lt;&gt;P37,"XXXX MISMATCH XXXX",""))</f>
        <v/>
      </c>
      <c r="AF37" s="185">
        <f>+FAS_Centralized[[#This Row],[Count for Dashboard]]-AC37</f>
        <v>0</v>
      </c>
    </row>
    <row r="38" spans="1:32">
      <c r="A38" t="s">
        <v>2802</v>
      </c>
      <c r="B38" t="s">
        <v>2803</v>
      </c>
      <c r="F38" t="s">
        <v>2723</v>
      </c>
      <c r="G38">
        <v>0</v>
      </c>
      <c r="I38" t="s">
        <v>67</v>
      </c>
      <c r="J38">
        <v>120</v>
      </c>
      <c r="K38" s="14" t="str">
        <f>_xlfn.SINGLE(VLOOKUP(FAS_Centralized[[#This Row],[SKU]],Centralized_Conversions[#All],4,FALSE))</f>
        <v>Tyvek Suits w/hoods</v>
      </c>
      <c r="L38" s="14">
        <f>_xlfn.SINGLE(VLOOKUP(FAS_Centralized[[#This Row],[SKU]],Centralized_Conversions[#All],5,FALSE))</f>
        <v>1</v>
      </c>
      <c r="M38" s="14" t="str">
        <f>_xlfn.SINGLE(VLOOKUP(FAS_Centralized[[#This Row],[SKU]],Centralized_Conversions[#All],6,FALSE))</f>
        <v>Each</v>
      </c>
      <c r="N38" s="14">
        <f>+FAS_Centralized[[#This Row],[On-hand]]*FAS_Centralized[[#This Row],[Multiplier]]</f>
        <v>0</v>
      </c>
      <c r="P38" t="s">
        <v>2802</v>
      </c>
      <c r="Q38" t="s">
        <v>2803</v>
      </c>
      <c r="U38" t="s">
        <v>2723</v>
      </c>
      <c r="V38">
        <v>0</v>
      </c>
      <c r="X38" t="s">
        <v>67</v>
      </c>
      <c r="Y38">
        <v>120</v>
      </c>
      <c r="Z38" t="s">
        <v>75</v>
      </c>
      <c r="AA38">
        <v>1</v>
      </c>
      <c r="AB38" t="s">
        <v>2739</v>
      </c>
      <c r="AC38">
        <v>0</v>
      </c>
      <c r="AE38" t="str">
        <f>_xlfn.SINGLE(IF(FAS_Centralized[[#This Row],[SKU]]&lt;&gt;P38,"XXXX MISMATCH XXXX",""))</f>
        <v/>
      </c>
      <c r="AF38" s="185">
        <f>+FAS_Centralized[[#This Row],[Count for Dashboard]]-AC38</f>
        <v>0</v>
      </c>
    </row>
    <row r="39" spans="1:32">
      <c r="A39" t="s">
        <v>2804</v>
      </c>
      <c r="B39" t="s">
        <v>2805</v>
      </c>
      <c r="F39" t="s">
        <v>2723</v>
      </c>
      <c r="G39">
        <v>217</v>
      </c>
      <c r="I39" t="s">
        <v>67</v>
      </c>
      <c r="J39">
        <v>1298</v>
      </c>
      <c r="K39" s="14" t="str">
        <f>_xlfn.SINGLE(VLOOKUP(FAS_Centralized[[#This Row],[SKU]],Centralized_Conversions[#All],4,FALSE))</f>
        <v>Tyvek Suits w/hoods</v>
      </c>
      <c r="L39" s="14">
        <f>_xlfn.SINGLE(VLOOKUP(FAS_Centralized[[#This Row],[SKU]],Centralized_Conversions[#All],5,FALSE))</f>
        <v>1</v>
      </c>
      <c r="M39" s="14" t="str">
        <f>_xlfn.SINGLE(VLOOKUP(FAS_Centralized[[#This Row],[SKU]],Centralized_Conversions[#All],6,FALSE))</f>
        <v>Each</v>
      </c>
      <c r="N39" s="14">
        <f>+FAS_Centralized[[#This Row],[On-hand]]*FAS_Centralized[[#This Row],[Multiplier]]</f>
        <v>217</v>
      </c>
      <c r="P39" t="s">
        <v>2804</v>
      </c>
      <c r="Q39" t="s">
        <v>2805</v>
      </c>
      <c r="U39" t="s">
        <v>2723</v>
      </c>
      <c r="V39">
        <v>217</v>
      </c>
      <c r="X39" t="s">
        <v>67</v>
      </c>
      <c r="Y39">
        <v>1298</v>
      </c>
      <c r="Z39" t="s">
        <v>75</v>
      </c>
      <c r="AA39">
        <v>1</v>
      </c>
      <c r="AB39" t="s">
        <v>2739</v>
      </c>
      <c r="AC39">
        <v>217</v>
      </c>
      <c r="AE39" t="str">
        <f>_xlfn.SINGLE(IF(FAS_Centralized[[#This Row],[SKU]]&lt;&gt;P39,"XXXX MISMATCH XXXX",""))</f>
        <v/>
      </c>
      <c r="AF39" s="185">
        <f>+FAS_Centralized[[#This Row],[Count for Dashboard]]-AC39</f>
        <v>0</v>
      </c>
    </row>
    <row r="40" spans="1:32">
      <c r="A40" t="s">
        <v>2806</v>
      </c>
      <c r="B40" t="s">
        <v>2807</v>
      </c>
      <c r="F40" t="s">
        <v>2723</v>
      </c>
      <c r="G40">
        <v>1050</v>
      </c>
      <c r="I40" t="s">
        <v>67</v>
      </c>
      <c r="J40">
        <v>1290</v>
      </c>
      <c r="K40" s="14" t="str">
        <f>_xlfn.SINGLE(VLOOKUP(FAS_Centralized[[#This Row],[SKU]],Centralized_Conversions[#All],4,FALSE))</f>
        <v>Tyvek Suits w/hoods</v>
      </c>
      <c r="L40" s="14">
        <f>_xlfn.SINGLE(VLOOKUP(FAS_Centralized[[#This Row],[SKU]],Centralized_Conversions[#All],5,FALSE))</f>
        <v>1</v>
      </c>
      <c r="M40" s="14" t="str">
        <f>_xlfn.SINGLE(VLOOKUP(FAS_Centralized[[#This Row],[SKU]],Centralized_Conversions[#All],6,FALSE))</f>
        <v>Each</v>
      </c>
      <c r="N40" s="14">
        <f>+FAS_Centralized[[#This Row],[On-hand]]*FAS_Centralized[[#This Row],[Multiplier]]</f>
        <v>1050</v>
      </c>
      <c r="P40" t="s">
        <v>2806</v>
      </c>
      <c r="Q40" t="s">
        <v>2807</v>
      </c>
      <c r="U40" t="s">
        <v>2723</v>
      </c>
      <c r="V40">
        <v>1050</v>
      </c>
      <c r="X40" t="s">
        <v>67</v>
      </c>
      <c r="Y40">
        <v>1290</v>
      </c>
      <c r="Z40" t="s">
        <v>75</v>
      </c>
      <c r="AA40">
        <v>1</v>
      </c>
      <c r="AB40" t="s">
        <v>2739</v>
      </c>
      <c r="AC40">
        <v>1050</v>
      </c>
      <c r="AE40" t="str">
        <f>_xlfn.SINGLE(IF(FAS_Centralized[[#This Row],[SKU]]&lt;&gt;P40,"XXXX MISMATCH XXXX",""))</f>
        <v/>
      </c>
      <c r="AF40" s="185">
        <f>+FAS_Centralized[[#This Row],[Count for Dashboard]]-AC40</f>
        <v>0</v>
      </c>
    </row>
    <row r="41" spans="1:32">
      <c r="A41" t="s">
        <v>2808</v>
      </c>
      <c r="B41" t="s">
        <v>2809</v>
      </c>
      <c r="F41" t="s">
        <v>2723</v>
      </c>
      <c r="G41">
        <v>950</v>
      </c>
      <c r="I41" t="s">
        <v>67</v>
      </c>
      <c r="J41">
        <v>600</v>
      </c>
      <c r="K41" s="14" t="str">
        <f>_xlfn.SINGLE(VLOOKUP(FAS_Centralized[[#This Row],[SKU]],Centralized_Conversions[#All],4,FALSE))</f>
        <v>Tyvek Suits</v>
      </c>
      <c r="L41" s="14">
        <f>_xlfn.SINGLE(VLOOKUP(FAS_Centralized[[#This Row],[SKU]],Centralized_Conversions[#All],5,FALSE))</f>
        <v>1</v>
      </c>
      <c r="M41" s="14" t="str">
        <f>_xlfn.SINGLE(VLOOKUP(FAS_Centralized[[#This Row],[SKU]],Centralized_Conversions[#All],6,FALSE))</f>
        <v>Each</v>
      </c>
      <c r="N41" s="14">
        <f>+FAS_Centralized[[#This Row],[On-hand]]*FAS_Centralized[[#This Row],[Multiplier]]</f>
        <v>950</v>
      </c>
      <c r="P41" t="s">
        <v>2808</v>
      </c>
      <c r="Q41" t="s">
        <v>2809</v>
      </c>
      <c r="U41" t="s">
        <v>2723</v>
      </c>
      <c r="V41">
        <v>950</v>
      </c>
      <c r="X41" t="s">
        <v>67</v>
      </c>
      <c r="Y41">
        <v>600</v>
      </c>
      <c r="Z41" t="s">
        <v>74</v>
      </c>
      <c r="AA41">
        <v>1</v>
      </c>
      <c r="AB41" t="s">
        <v>2739</v>
      </c>
      <c r="AC41">
        <v>950</v>
      </c>
      <c r="AE41" t="str">
        <f>_xlfn.SINGLE(IF(FAS_Centralized[[#This Row],[SKU]]&lt;&gt;P41,"XXXX MISMATCH XXXX",""))</f>
        <v/>
      </c>
      <c r="AF41" s="185">
        <f>+FAS_Centralized[[#This Row],[Count for Dashboard]]-AC41</f>
        <v>0</v>
      </c>
    </row>
    <row r="42" spans="1:32">
      <c r="A42" t="s">
        <v>2810</v>
      </c>
      <c r="B42" t="s">
        <v>2811</v>
      </c>
      <c r="F42" t="s">
        <v>2723</v>
      </c>
      <c r="G42">
        <v>650</v>
      </c>
      <c r="I42" t="s">
        <v>67</v>
      </c>
      <c r="J42">
        <v>780</v>
      </c>
      <c r="K42" s="14" t="str">
        <f>_xlfn.SINGLE(VLOOKUP(FAS_Centralized[[#This Row],[SKU]],Centralized_Conversions[#All],4,FALSE))</f>
        <v>Tyvek Suits</v>
      </c>
      <c r="L42" s="14">
        <f>_xlfn.SINGLE(VLOOKUP(FAS_Centralized[[#This Row],[SKU]],Centralized_Conversions[#All],5,FALSE))</f>
        <v>1</v>
      </c>
      <c r="M42" s="14" t="str">
        <f>_xlfn.SINGLE(VLOOKUP(FAS_Centralized[[#This Row],[SKU]],Centralized_Conversions[#All],6,FALSE))</f>
        <v>Each</v>
      </c>
      <c r="N42" s="14">
        <f>+FAS_Centralized[[#This Row],[On-hand]]*FAS_Centralized[[#This Row],[Multiplier]]</f>
        <v>650</v>
      </c>
      <c r="P42" t="s">
        <v>2810</v>
      </c>
      <c r="Q42" t="s">
        <v>2811</v>
      </c>
      <c r="U42" t="s">
        <v>2723</v>
      </c>
      <c r="V42">
        <v>650</v>
      </c>
      <c r="X42" t="s">
        <v>67</v>
      </c>
      <c r="Y42">
        <v>780</v>
      </c>
      <c r="Z42" t="s">
        <v>74</v>
      </c>
      <c r="AA42">
        <v>1</v>
      </c>
      <c r="AB42" t="s">
        <v>2739</v>
      </c>
      <c r="AC42">
        <v>650</v>
      </c>
      <c r="AE42" t="str">
        <f>_xlfn.SINGLE(IF(FAS_Centralized[[#This Row],[SKU]]&lt;&gt;P42,"XXXX MISMATCH XXXX",""))</f>
        <v/>
      </c>
      <c r="AF42" s="185">
        <f>+FAS_Centralized[[#This Row],[Count for Dashboard]]-AC42</f>
        <v>0</v>
      </c>
    </row>
    <row r="43" spans="1:32">
      <c r="A43" t="s">
        <v>2812</v>
      </c>
      <c r="B43" t="s">
        <v>2813</v>
      </c>
      <c r="F43" t="s">
        <v>2723</v>
      </c>
      <c r="G43">
        <v>325</v>
      </c>
      <c r="I43" t="s">
        <v>67</v>
      </c>
      <c r="J43">
        <v>200</v>
      </c>
      <c r="K43" s="14" t="str">
        <f>_xlfn.SINGLE(VLOOKUP(FAS_Centralized[[#This Row],[SKU]],Centralized_Conversions[#All],4,FALSE))</f>
        <v>Tyvek Suits</v>
      </c>
      <c r="L43" s="14">
        <f>_xlfn.SINGLE(VLOOKUP(FAS_Centralized[[#This Row],[SKU]],Centralized_Conversions[#All],5,FALSE))</f>
        <v>1</v>
      </c>
      <c r="M43" s="14" t="str">
        <f>_xlfn.SINGLE(VLOOKUP(FAS_Centralized[[#This Row],[SKU]],Centralized_Conversions[#All],6,FALSE))</f>
        <v>Each</v>
      </c>
      <c r="N43" s="14">
        <f>+FAS_Centralized[[#This Row],[On-hand]]*FAS_Centralized[[#This Row],[Multiplier]]</f>
        <v>325</v>
      </c>
      <c r="P43" t="s">
        <v>2812</v>
      </c>
      <c r="Q43" t="s">
        <v>2813</v>
      </c>
      <c r="U43" t="s">
        <v>2723</v>
      </c>
      <c r="V43">
        <v>325</v>
      </c>
      <c r="X43" t="s">
        <v>67</v>
      </c>
      <c r="Y43">
        <v>200</v>
      </c>
      <c r="Z43" t="s">
        <v>74</v>
      </c>
      <c r="AA43">
        <v>1</v>
      </c>
      <c r="AB43" t="s">
        <v>2739</v>
      </c>
      <c r="AC43">
        <v>325</v>
      </c>
      <c r="AE43" t="str">
        <f>_xlfn.SINGLE(IF(FAS_Centralized[[#This Row],[SKU]]&lt;&gt;P43,"XXXX MISMATCH XXXX",""))</f>
        <v/>
      </c>
      <c r="AF43" s="185">
        <f>+FAS_Centralized[[#This Row],[Count for Dashboard]]-AC43</f>
        <v>0</v>
      </c>
    </row>
    <row r="44" spans="1:32">
      <c r="A44" t="s">
        <v>2814</v>
      </c>
      <c r="B44" t="s">
        <v>2815</v>
      </c>
      <c r="F44" t="s">
        <v>2723</v>
      </c>
      <c r="G44">
        <v>0</v>
      </c>
      <c r="I44" t="s">
        <v>67</v>
      </c>
      <c r="J44">
        <v>175</v>
      </c>
      <c r="K44" s="14" t="str">
        <f>_xlfn.SINGLE(VLOOKUP(FAS_Centralized[[#This Row],[SKU]],Centralized_Conversions[#All],4,FALSE))</f>
        <v>Tyvek Suits</v>
      </c>
      <c r="L44" s="14">
        <f>_xlfn.SINGLE(VLOOKUP(FAS_Centralized[[#This Row],[SKU]],Centralized_Conversions[#All],5,FALSE))</f>
        <v>1</v>
      </c>
      <c r="M44" s="14" t="str">
        <f>_xlfn.SINGLE(VLOOKUP(FAS_Centralized[[#This Row],[SKU]],Centralized_Conversions[#All],6,FALSE))</f>
        <v>Each</v>
      </c>
      <c r="N44" s="14">
        <f>+FAS_Centralized[[#This Row],[On-hand]]*FAS_Centralized[[#This Row],[Multiplier]]</f>
        <v>0</v>
      </c>
      <c r="P44" t="s">
        <v>2814</v>
      </c>
      <c r="Q44" t="s">
        <v>2815</v>
      </c>
      <c r="U44" t="s">
        <v>2723</v>
      </c>
      <c r="V44">
        <v>0</v>
      </c>
      <c r="X44" t="s">
        <v>67</v>
      </c>
      <c r="Y44">
        <v>175</v>
      </c>
      <c r="Z44" t="s">
        <v>74</v>
      </c>
      <c r="AA44">
        <v>1</v>
      </c>
      <c r="AB44" t="s">
        <v>2739</v>
      </c>
      <c r="AC44">
        <v>0</v>
      </c>
      <c r="AE44" t="str">
        <f>_xlfn.SINGLE(IF(FAS_Centralized[[#This Row],[SKU]]&lt;&gt;P44,"XXXX MISMATCH XXXX",""))</f>
        <v/>
      </c>
      <c r="AF44" s="185">
        <f>+FAS_Centralized[[#This Row],[Count for Dashboard]]-AC44</f>
        <v>0</v>
      </c>
    </row>
    <row r="45" spans="1:32">
      <c r="A45" t="s">
        <v>2816</v>
      </c>
      <c r="B45" t="s">
        <v>2817</v>
      </c>
      <c r="F45" t="s">
        <v>2723</v>
      </c>
      <c r="G45">
        <v>0</v>
      </c>
      <c r="I45" t="s">
        <v>67</v>
      </c>
      <c r="J45">
        <v>300</v>
      </c>
      <c r="K45" s="14" t="str">
        <f>_xlfn.SINGLE(VLOOKUP(FAS_Centralized[[#This Row],[SKU]],Centralized_Conversions[#All],4,FALSE))</f>
        <v>Tyvek Suits w/hoods</v>
      </c>
      <c r="L45" s="14">
        <f>_xlfn.SINGLE(VLOOKUP(FAS_Centralized[[#This Row],[SKU]],Centralized_Conversions[#All],5,FALSE))</f>
        <v>1</v>
      </c>
      <c r="M45" s="14" t="str">
        <f>_xlfn.SINGLE(VLOOKUP(FAS_Centralized[[#This Row],[SKU]],Centralized_Conversions[#All],6,FALSE))</f>
        <v>Each</v>
      </c>
      <c r="N45" s="14">
        <f>+FAS_Centralized[[#This Row],[On-hand]]*FAS_Centralized[[#This Row],[Multiplier]]</f>
        <v>0</v>
      </c>
      <c r="P45" t="s">
        <v>2816</v>
      </c>
      <c r="Q45" t="s">
        <v>2817</v>
      </c>
      <c r="U45" t="s">
        <v>2723</v>
      </c>
      <c r="V45">
        <v>0</v>
      </c>
      <c r="X45" t="s">
        <v>67</v>
      </c>
      <c r="Y45">
        <v>300</v>
      </c>
      <c r="Z45" t="s">
        <v>75</v>
      </c>
      <c r="AA45">
        <v>1</v>
      </c>
      <c r="AB45" t="s">
        <v>2739</v>
      </c>
      <c r="AC45">
        <v>0</v>
      </c>
      <c r="AE45" t="str">
        <f>_xlfn.SINGLE(IF(FAS_Centralized[[#This Row],[SKU]]&lt;&gt;P45,"XXXX MISMATCH XXXX",""))</f>
        <v/>
      </c>
      <c r="AF45" s="185">
        <f>+FAS_Centralized[[#This Row],[Count for Dashboard]]-AC45</f>
        <v>0</v>
      </c>
    </row>
    <row r="46" spans="1:32">
      <c r="A46" t="s">
        <v>2818</v>
      </c>
      <c r="B46" t="s">
        <v>2819</v>
      </c>
      <c r="F46" t="s">
        <v>2723</v>
      </c>
      <c r="G46">
        <v>0</v>
      </c>
      <c r="I46" t="s">
        <v>67</v>
      </c>
      <c r="J46">
        <v>480</v>
      </c>
      <c r="K46" s="14" t="str">
        <f>_xlfn.SINGLE(VLOOKUP(FAS_Centralized[[#This Row],[SKU]],Centralized_Conversions[#All],4,FALSE))</f>
        <v>Tyvek Suits w/hoods</v>
      </c>
      <c r="L46" s="14">
        <f>_xlfn.SINGLE(VLOOKUP(FAS_Centralized[[#This Row],[SKU]],Centralized_Conversions[#All],5,FALSE))</f>
        <v>1</v>
      </c>
      <c r="M46" s="14" t="str">
        <f>_xlfn.SINGLE(VLOOKUP(FAS_Centralized[[#This Row],[SKU]],Centralized_Conversions[#All],6,FALSE))</f>
        <v>Each</v>
      </c>
      <c r="N46" s="14">
        <f>+FAS_Centralized[[#This Row],[On-hand]]*FAS_Centralized[[#This Row],[Multiplier]]</f>
        <v>0</v>
      </c>
      <c r="P46" t="s">
        <v>2818</v>
      </c>
      <c r="Q46" t="s">
        <v>2819</v>
      </c>
      <c r="U46" t="s">
        <v>2723</v>
      </c>
      <c r="V46">
        <v>0</v>
      </c>
      <c r="X46" t="s">
        <v>67</v>
      </c>
      <c r="Y46">
        <v>480</v>
      </c>
      <c r="Z46" t="s">
        <v>75</v>
      </c>
      <c r="AA46">
        <v>1</v>
      </c>
      <c r="AB46" t="s">
        <v>2739</v>
      </c>
      <c r="AC46">
        <v>0</v>
      </c>
      <c r="AE46" t="str">
        <f>_xlfn.SINGLE(IF(FAS_Centralized[[#This Row],[SKU]]&lt;&gt;P46,"XXXX MISMATCH XXXX",""))</f>
        <v/>
      </c>
      <c r="AF46" s="185">
        <f>+FAS_Centralized[[#This Row],[Count for Dashboard]]-AC46</f>
        <v>0</v>
      </c>
    </row>
    <row r="47" spans="1:32">
      <c r="A47" t="s">
        <v>2820</v>
      </c>
      <c r="B47" t="s">
        <v>2821</v>
      </c>
      <c r="F47" t="s">
        <v>2723</v>
      </c>
      <c r="G47">
        <v>1</v>
      </c>
      <c r="I47" t="s">
        <v>2732</v>
      </c>
      <c r="J47">
        <v>415</v>
      </c>
      <c r="K47" s="170" t="str">
        <f>_xlfn.SINGLE(VLOOKUP(FAS_Centralized[[#This Row],[SKU]],Centralized_Conversions[#All],4,FALSE))</f>
        <v>Surgical gowns</v>
      </c>
      <c r="L47" s="170">
        <f>_xlfn.SINGLE(VLOOKUP(FAS_Centralized[[#This Row],[SKU]],Centralized_Conversions[#All],5,FALSE))</f>
        <v>1</v>
      </c>
      <c r="M47" s="170" t="str">
        <f>_xlfn.SINGLE(VLOOKUP(FAS_Centralized[[#This Row],[SKU]],Centralized_Conversions[#All],6,FALSE))</f>
        <v>Each</v>
      </c>
      <c r="N47" s="170">
        <f>+FAS_Centralized[[#This Row],[On-hand]]*FAS_Centralized[[#This Row],[Multiplier]]</f>
        <v>1</v>
      </c>
      <c r="P47" t="s">
        <v>2820</v>
      </c>
      <c r="Q47" t="s">
        <v>2821</v>
      </c>
      <c r="U47" t="s">
        <v>2723</v>
      </c>
      <c r="V47">
        <v>1</v>
      </c>
      <c r="X47" t="s">
        <v>2732</v>
      </c>
      <c r="Y47">
        <v>415</v>
      </c>
      <c r="Z47" t="s">
        <v>2669</v>
      </c>
      <c r="AA47">
        <v>1</v>
      </c>
      <c r="AB47" t="s">
        <v>2739</v>
      </c>
      <c r="AC47">
        <v>1</v>
      </c>
      <c r="AE47" t="str">
        <f>_xlfn.SINGLE(IF(FAS_Centralized[[#This Row],[SKU]]&lt;&gt;P47,"XXXX MISMATCH XXXX",""))</f>
        <v/>
      </c>
      <c r="AF47" s="185">
        <f>+FAS_Centralized[[#This Row],[Count for Dashboard]]-AC47</f>
        <v>0</v>
      </c>
    </row>
    <row r="48" spans="1:32">
      <c r="A48" t="s">
        <v>2822</v>
      </c>
      <c r="B48" t="s">
        <v>2823</v>
      </c>
      <c r="F48" t="s">
        <v>2723</v>
      </c>
      <c r="G48">
        <v>0</v>
      </c>
      <c r="I48" t="s">
        <v>67</v>
      </c>
      <c r="J48">
        <v>420</v>
      </c>
      <c r="K48" s="170" t="str">
        <f>_xlfn.SINGLE(VLOOKUP(FAS_Centralized[[#This Row],[SKU]],Centralized_Conversions[#All],4,FALSE))</f>
        <v>Hand Sanitizer (12oz or equiv)</v>
      </c>
      <c r="L48" s="170">
        <f>_xlfn.SINGLE(VLOOKUP(FAS_Centralized[[#This Row],[SKU]],Centralized_Conversions[#All],5,FALSE))</f>
        <v>10</v>
      </c>
      <c r="M48" s="170" t="str">
        <f>_xlfn.SINGLE(VLOOKUP(FAS_Centralized[[#This Row],[SKU]],Centralized_Conversions[#All],6,FALSE))</f>
        <v>Each</v>
      </c>
      <c r="N48" s="170">
        <f>+FAS_Centralized[[#This Row],[On-hand]]*FAS_Centralized[[#This Row],[Multiplier]]</f>
        <v>0</v>
      </c>
      <c r="P48" t="s">
        <v>2822</v>
      </c>
      <c r="Q48" t="s">
        <v>2823</v>
      </c>
      <c r="U48" t="s">
        <v>2723</v>
      </c>
      <c r="V48">
        <v>0</v>
      </c>
      <c r="X48" t="s">
        <v>67</v>
      </c>
      <c r="Y48">
        <v>420</v>
      </c>
      <c r="Z48" t="s">
        <v>82</v>
      </c>
      <c r="AA48">
        <v>10</v>
      </c>
      <c r="AB48" t="s">
        <v>2739</v>
      </c>
      <c r="AC48">
        <v>0</v>
      </c>
      <c r="AE48" t="str">
        <f>_xlfn.SINGLE(IF(FAS_Centralized[[#This Row],[SKU]]&lt;&gt;P48,"XXXX MISMATCH XXXX",""))</f>
        <v/>
      </c>
      <c r="AF48" s="185">
        <f>+FAS_Centralized[[#This Row],[Count for Dashboard]]-AC48</f>
        <v>0</v>
      </c>
    </row>
    <row r="49" spans="1:32">
      <c r="A49" t="s">
        <v>2824</v>
      </c>
      <c r="B49" t="s">
        <v>2825</v>
      </c>
      <c r="F49" t="s">
        <v>2723</v>
      </c>
      <c r="G49">
        <v>0</v>
      </c>
      <c r="I49" t="s">
        <v>67</v>
      </c>
      <c r="J49">
        <v>70</v>
      </c>
      <c r="K49" s="170" t="str">
        <f>_xlfn.SINGLE(VLOOKUP(FAS_Centralized[[#This Row],[SKU]],Centralized_Conversions[#All],4,FALSE))</f>
        <v>Hand Sanitizer (12oz or equiv)</v>
      </c>
      <c r="L49" s="170">
        <f>_xlfn.SINGLE(VLOOKUP(FAS_Centralized[[#This Row],[SKU]],Centralized_Conversions[#All],5,FALSE))</f>
        <v>10</v>
      </c>
      <c r="M49" s="170" t="str">
        <f>_xlfn.SINGLE(VLOOKUP(FAS_Centralized[[#This Row],[SKU]],Centralized_Conversions[#All],6,FALSE))</f>
        <v>Each</v>
      </c>
      <c r="N49" s="170">
        <f>+FAS_Centralized[[#This Row],[On-hand]]*FAS_Centralized[[#This Row],[Multiplier]]</f>
        <v>0</v>
      </c>
      <c r="P49" t="s">
        <v>2824</v>
      </c>
      <c r="Q49" t="s">
        <v>2825</v>
      </c>
      <c r="U49" t="s">
        <v>2723</v>
      </c>
      <c r="V49">
        <v>0</v>
      </c>
      <c r="X49" t="s">
        <v>67</v>
      </c>
      <c r="Y49">
        <v>70</v>
      </c>
      <c r="Z49" t="s">
        <v>82</v>
      </c>
      <c r="AA49">
        <v>10</v>
      </c>
      <c r="AB49" t="s">
        <v>2739</v>
      </c>
      <c r="AC49">
        <v>0</v>
      </c>
      <c r="AE49" t="str">
        <f>_xlfn.SINGLE(IF(FAS_Centralized[[#This Row],[SKU]]&lt;&gt;P49,"XXXX MISMATCH XXXX",""))</f>
        <v/>
      </c>
      <c r="AF49" s="185">
        <f>+FAS_Centralized[[#This Row],[Count for Dashboard]]-AC49</f>
        <v>0</v>
      </c>
    </row>
    <row r="50" spans="1:32">
      <c r="A50" t="s">
        <v>2826</v>
      </c>
      <c r="B50" t="s">
        <v>2827</v>
      </c>
      <c r="F50" t="s">
        <v>2723</v>
      </c>
      <c r="G50">
        <v>0</v>
      </c>
      <c r="I50" t="s">
        <v>2828</v>
      </c>
      <c r="J50">
        <v>4</v>
      </c>
      <c r="K50" s="170" t="str">
        <f>_xlfn.SINGLE(VLOOKUP(FAS_Centralized[[#This Row],[SKU]],Centralized_Conversions[#All],4,FALSE))</f>
        <v>Hand Sanitizer (12oz or equiv)</v>
      </c>
      <c r="L50" s="170">
        <f>_xlfn.SINGLE(VLOOKUP(FAS_Centralized[[#This Row],[SKU]],Centralized_Conversions[#All],5,FALSE))</f>
        <v>586</v>
      </c>
      <c r="M50" s="170" t="str">
        <f>_xlfn.SINGLE(VLOOKUP(FAS_Centralized[[#This Row],[SKU]],Centralized_Conversions[#All],6,FALSE))</f>
        <v>Each</v>
      </c>
      <c r="N50" s="170">
        <f>+FAS_Centralized[[#This Row],[On-hand]]*FAS_Centralized[[#This Row],[Multiplier]]</f>
        <v>0</v>
      </c>
      <c r="P50" t="s">
        <v>2826</v>
      </c>
      <c r="Q50" t="s">
        <v>2827</v>
      </c>
      <c r="U50" t="s">
        <v>2723</v>
      </c>
      <c r="V50">
        <v>0</v>
      </c>
      <c r="X50" t="s">
        <v>2828</v>
      </c>
      <c r="Y50">
        <v>4</v>
      </c>
      <c r="Z50" t="s">
        <v>82</v>
      </c>
      <c r="AA50">
        <v>586</v>
      </c>
      <c r="AB50" t="s">
        <v>2739</v>
      </c>
      <c r="AC50">
        <v>0</v>
      </c>
      <c r="AE50" t="str">
        <f>_xlfn.SINGLE(IF(FAS_Centralized[[#This Row],[SKU]]&lt;&gt;P50,"XXXX MISMATCH XXXX",""))</f>
        <v/>
      </c>
      <c r="AF50" s="185">
        <f>+FAS_Centralized[[#This Row],[Count for Dashboard]]-AC50</f>
        <v>0</v>
      </c>
    </row>
    <row r="51" spans="1:32">
      <c r="A51" t="s">
        <v>2829</v>
      </c>
      <c r="B51" t="s">
        <v>2830</v>
      </c>
      <c r="F51" t="s">
        <v>2723</v>
      </c>
      <c r="K51" s="170" t="str">
        <f>_xlfn.SINGLE(VLOOKUP(FAS_Centralized[[#This Row],[SKU]],Centralized_Conversions[#All],4,FALSE))</f>
        <v>Hand Sanitizer (12oz or equiv)</v>
      </c>
      <c r="L51" s="170">
        <f>_xlfn.SINGLE(VLOOKUP(FAS_Centralized[[#This Row],[SKU]],Centralized_Conversions[#All],5,FALSE))</f>
        <v>2666</v>
      </c>
      <c r="M51" s="170" t="str">
        <f>_xlfn.SINGLE(VLOOKUP(FAS_Centralized[[#This Row],[SKU]],Centralized_Conversions[#All],6,FALSE))</f>
        <v>Each</v>
      </c>
      <c r="N51" s="170">
        <f>+FAS_Centralized[[#This Row],[On-hand]]*FAS_Centralized[[#This Row],[Multiplier]]</f>
        <v>0</v>
      </c>
      <c r="P51" t="s">
        <v>2829</v>
      </c>
      <c r="Q51" t="s">
        <v>2830</v>
      </c>
      <c r="U51" t="s">
        <v>2723</v>
      </c>
      <c r="Z51" t="s">
        <v>82</v>
      </c>
      <c r="AA51">
        <v>2666</v>
      </c>
      <c r="AB51" t="s">
        <v>2739</v>
      </c>
      <c r="AC51">
        <v>0</v>
      </c>
      <c r="AE51" t="str">
        <f>_xlfn.SINGLE(IF(FAS_Centralized[[#This Row],[SKU]]&lt;&gt;P51,"XXXX MISMATCH XXXX",""))</f>
        <v/>
      </c>
      <c r="AF51" s="185">
        <f>+FAS_Centralized[[#This Row],[Count for Dashboard]]-AC51</f>
        <v>0</v>
      </c>
    </row>
    <row r="52" spans="1:32">
      <c r="A52" t="s">
        <v>2831</v>
      </c>
      <c r="B52" t="s">
        <v>2832</v>
      </c>
      <c r="F52" t="s">
        <v>2723</v>
      </c>
      <c r="G52">
        <v>3</v>
      </c>
      <c r="I52" t="s">
        <v>2828</v>
      </c>
      <c r="J52">
        <v>7</v>
      </c>
      <c r="K52" s="170" t="str">
        <f>_xlfn.SINGLE(VLOOKUP(FAS_Centralized[[#This Row],[SKU]],Centralized_Conversions[#All],4,FALSE))</f>
        <v>Hand Sanitizer (12oz or equiv)</v>
      </c>
      <c r="L52" s="170">
        <f>_xlfn.SINGLE(VLOOKUP(FAS_Centralized[[#This Row],[SKU]],Centralized_Conversions[#All],5,FALSE))</f>
        <v>586</v>
      </c>
      <c r="M52" s="170" t="str">
        <f>_xlfn.SINGLE(VLOOKUP(FAS_Centralized[[#This Row],[SKU]],Centralized_Conversions[#All],6,FALSE))</f>
        <v>Each</v>
      </c>
      <c r="N52" s="170">
        <f>+FAS_Centralized[[#This Row],[On-hand]]*FAS_Centralized[[#This Row],[Multiplier]]</f>
        <v>1758</v>
      </c>
      <c r="P52" t="s">
        <v>2831</v>
      </c>
      <c r="Q52" t="s">
        <v>2832</v>
      </c>
      <c r="U52" t="s">
        <v>2723</v>
      </c>
      <c r="V52">
        <v>3</v>
      </c>
      <c r="X52" t="s">
        <v>2828</v>
      </c>
      <c r="Y52">
        <v>7</v>
      </c>
      <c r="Z52" t="s">
        <v>82</v>
      </c>
      <c r="AA52">
        <v>586</v>
      </c>
      <c r="AB52" t="s">
        <v>2739</v>
      </c>
      <c r="AC52">
        <v>1758</v>
      </c>
      <c r="AE52" t="str">
        <f>_xlfn.SINGLE(IF(FAS_Centralized[[#This Row],[SKU]]&lt;&gt;P52,"XXXX MISMATCH XXXX",""))</f>
        <v/>
      </c>
      <c r="AF52" s="185">
        <f>+FAS_Centralized[[#This Row],[Count for Dashboard]]-AC52</f>
        <v>0</v>
      </c>
    </row>
    <row r="53" spans="1:32">
      <c r="A53" t="s">
        <v>2833</v>
      </c>
      <c r="B53" t="s">
        <v>2834</v>
      </c>
      <c r="F53" t="s">
        <v>2723</v>
      </c>
      <c r="G53">
        <v>0</v>
      </c>
      <c r="I53" t="s">
        <v>2835</v>
      </c>
      <c r="J53">
        <v>2</v>
      </c>
      <c r="K53" s="170" t="str">
        <f>_xlfn.SINGLE(VLOOKUP(FAS_Centralized[[#This Row],[SKU]],Centralized_Conversions[#All],4,FALSE))</f>
        <v>Isopropyl Alcohol (16oz or equiv)</v>
      </c>
      <c r="L53" s="170">
        <f>_xlfn.SINGLE(VLOOKUP(FAS_Centralized[[#This Row],[SKU]],Centralized_Conversions[#All],5,FALSE))</f>
        <v>40</v>
      </c>
      <c r="M53" s="170" t="str">
        <f>_xlfn.SINGLE(VLOOKUP(FAS_Centralized[[#This Row],[SKU]],Centralized_Conversions[#All],6,FALSE))</f>
        <v>Bottle</v>
      </c>
      <c r="N53" s="170">
        <f>+FAS_Centralized[[#This Row],[On-hand]]*FAS_Centralized[[#This Row],[Multiplier]]</f>
        <v>0</v>
      </c>
      <c r="P53" t="s">
        <v>2833</v>
      </c>
      <c r="Q53" t="s">
        <v>2834</v>
      </c>
      <c r="U53" t="s">
        <v>2723</v>
      </c>
      <c r="V53">
        <v>0</v>
      </c>
      <c r="X53" t="s">
        <v>2835</v>
      </c>
      <c r="Y53">
        <v>2</v>
      </c>
      <c r="Z53" t="s">
        <v>86</v>
      </c>
      <c r="AA53">
        <v>40</v>
      </c>
      <c r="AB53" t="s">
        <v>2736</v>
      </c>
      <c r="AC53">
        <v>0</v>
      </c>
      <c r="AE53" t="str">
        <f>_xlfn.SINGLE(IF(FAS_Centralized[[#This Row],[SKU]]&lt;&gt;P53,"XXXX MISMATCH XXXX",""))</f>
        <v/>
      </c>
      <c r="AF53" s="185">
        <f>+FAS_Centralized[[#This Row],[Count for Dashboard]]-AC53</f>
        <v>0</v>
      </c>
    </row>
    <row r="54" spans="1:32">
      <c r="A54" t="s">
        <v>2836</v>
      </c>
      <c r="B54" t="s">
        <v>2837</v>
      </c>
      <c r="F54" t="s">
        <v>2723</v>
      </c>
      <c r="G54">
        <v>25860</v>
      </c>
      <c r="I54" t="s">
        <v>67</v>
      </c>
      <c r="J54">
        <v>7146</v>
      </c>
      <c r="K54" s="170" t="str">
        <f>_xlfn.SINGLE(VLOOKUP(FAS_Centralized[[#This Row],[SKU]],Centralized_Conversions[#All],4,FALSE))</f>
        <v>Isopropyl Alcohol (16oz or equiv)</v>
      </c>
      <c r="L54" s="170">
        <f>_xlfn.SINGLE(VLOOKUP(FAS_Centralized[[#This Row],[SKU]],Centralized_Conversions[#All],5,FALSE))</f>
        <v>1</v>
      </c>
      <c r="M54" s="170" t="str">
        <f>_xlfn.SINGLE(VLOOKUP(FAS_Centralized[[#This Row],[SKU]],Centralized_Conversions[#All],6,FALSE))</f>
        <v>Bottle</v>
      </c>
      <c r="N54" s="170">
        <f>+FAS_Centralized[[#This Row],[On-hand]]*FAS_Centralized[[#This Row],[Multiplier]]</f>
        <v>25860</v>
      </c>
      <c r="P54" t="s">
        <v>2836</v>
      </c>
      <c r="Q54" t="s">
        <v>2837</v>
      </c>
      <c r="U54" t="s">
        <v>2723</v>
      </c>
      <c r="V54">
        <v>25860</v>
      </c>
      <c r="X54" t="s">
        <v>67</v>
      </c>
      <c r="Y54">
        <v>7146</v>
      </c>
      <c r="Z54" t="s">
        <v>86</v>
      </c>
      <c r="AA54">
        <v>1</v>
      </c>
      <c r="AB54" t="s">
        <v>2736</v>
      </c>
      <c r="AC54">
        <v>25860</v>
      </c>
      <c r="AE54" t="str">
        <f>_xlfn.SINGLE(IF(FAS_Centralized[[#This Row],[SKU]]&lt;&gt;P54,"XXXX MISMATCH XXXX",""))</f>
        <v/>
      </c>
      <c r="AF54" s="185">
        <f>+FAS_Centralized[[#This Row],[Count for Dashboard]]-AC54</f>
        <v>0</v>
      </c>
    </row>
    <row r="55" spans="1:32">
      <c r="A55" t="s">
        <v>2838</v>
      </c>
      <c r="B55" t="s">
        <v>2839</v>
      </c>
      <c r="F55" t="s">
        <v>2723</v>
      </c>
      <c r="G55">
        <v>13</v>
      </c>
      <c r="I55" t="s">
        <v>67</v>
      </c>
      <c r="J55">
        <v>0</v>
      </c>
      <c r="K55" s="170" t="e">
        <f>_xlfn.SINGLE(VLOOKUP(FAS_Centralized[[#This Row],[SKU]],Centralized_Conversions[#All],4,FALSE))</f>
        <v>#N/A</v>
      </c>
      <c r="L55" s="170" t="e">
        <f>_xlfn.SINGLE(VLOOKUP(FAS_Centralized[[#This Row],[SKU]],Centralized_Conversions[#All],5,FALSE))</f>
        <v>#N/A</v>
      </c>
      <c r="M55" s="170" t="e">
        <f>_xlfn.SINGLE(VLOOKUP(FAS_Centralized[[#This Row],[SKU]],Centralized_Conversions[#All],6,FALSE))</f>
        <v>#N/A</v>
      </c>
      <c r="N55" s="170" t="e">
        <f>+FAS_Centralized[[#This Row],[On-hand]]*FAS_Centralized[[#This Row],[Multiplier]]</f>
        <v>#N/A</v>
      </c>
      <c r="P55" t="s">
        <v>2838</v>
      </c>
      <c r="Q55" t="s">
        <v>2839</v>
      </c>
      <c r="U55" t="s">
        <v>2723</v>
      </c>
      <c r="V55">
        <v>13</v>
      </c>
      <c r="X55" t="s">
        <v>67</v>
      </c>
      <c r="Y55">
        <v>0</v>
      </c>
      <c r="Z55" t="e">
        <v>#N/A</v>
      </c>
      <c r="AA55" t="e">
        <v>#N/A</v>
      </c>
      <c r="AB55" t="e">
        <v>#N/A</v>
      </c>
      <c r="AC55" t="e">
        <v>#N/A</v>
      </c>
      <c r="AE55" t="str">
        <f>_xlfn.SINGLE(IF(FAS_Centralized[[#This Row],[SKU]]&lt;&gt;P55,"XXXX MISMATCH XXXX",""))</f>
        <v/>
      </c>
      <c r="AF55" s="185" t="e">
        <f>+FAS_Centralized[[#This Row],[Count for Dashboard]]-AC55</f>
        <v>#N/A</v>
      </c>
    </row>
    <row r="56" spans="1:32">
      <c r="A56" t="s">
        <v>2840</v>
      </c>
      <c r="B56" t="s">
        <v>2841</v>
      </c>
      <c r="F56" t="s">
        <v>2723</v>
      </c>
      <c r="G56">
        <v>350</v>
      </c>
      <c r="I56" t="s">
        <v>67</v>
      </c>
      <c r="J56">
        <v>1150</v>
      </c>
      <c r="K56" s="170" t="str">
        <f>_xlfn.SINGLE(VLOOKUP(FAS_Centralized[[#This Row],[SKU]],Centralized_Conversions[#All],4,FALSE))</f>
        <v>No Longer Used</v>
      </c>
      <c r="L56" s="170">
        <f>_xlfn.SINGLE(VLOOKUP(FAS_Centralized[[#This Row],[SKU]],Centralized_Conversions[#All],5,FALSE))</f>
        <v>1</v>
      </c>
      <c r="M56" s="170" t="str">
        <f>_xlfn.SINGLE(VLOOKUP(FAS_Centralized[[#This Row],[SKU]],Centralized_Conversions[#All],6,FALSE))</f>
        <v>Each</v>
      </c>
      <c r="N56" s="170">
        <f>+FAS_Centralized[[#This Row],[On-hand]]*FAS_Centralized[[#This Row],[Multiplier]]</f>
        <v>350</v>
      </c>
      <c r="P56" t="s">
        <v>2840</v>
      </c>
      <c r="Q56" t="s">
        <v>2841</v>
      </c>
      <c r="U56" t="s">
        <v>2723</v>
      </c>
      <c r="V56">
        <v>350</v>
      </c>
      <c r="X56" t="s">
        <v>67</v>
      </c>
      <c r="Y56">
        <v>1150</v>
      </c>
      <c r="Z56" t="s">
        <v>2795</v>
      </c>
      <c r="AA56">
        <v>1</v>
      </c>
      <c r="AB56" t="s">
        <v>2739</v>
      </c>
      <c r="AC56">
        <v>350</v>
      </c>
      <c r="AE56" t="str">
        <f>_xlfn.SINGLE(IF(FAS_Centralized[[#This Row],[SKU]]&lt;&gt;P56,"XXXX MISMATCH XXXX",""))</f>
        <v/>
      </c>
      <c r="AF56" s="185">
        <f>+FAS_Centralized[[#This Row],[Count for Dashboard]]-AC56</f>
        <v>0</v>
      </c>
    </row>
    <row r="57" spans="1:32">
      <c r="A57" t="s">
        <v>2842</v>
      </c>
      <c r="B57" t="s">
        <v>2843</v>
      </c>
      <c r="F57" t="s">
        <v>2723</v>
      </c>
      <c r="G57">
        <v>611</v>
      </c>
      <c r="I57" t="s">
        <v>67</v>
      </c>
      <c r="J57">
        <v>1363</v>
      </c>
      <c r="K57" s="170" t="str">
        <f>_xlfn.SINGLE(VLOOKUP(FAS_Centralized[[#This Row],[SKU]],Centralized_Conversions[#All],4,FALSE))</f>
        <v>Thermometers</v>
      </c>
      <c r="L57" s="170">
        <f>_xlfn.SINGLE(VLOOKUP(FAS_Centralized[[#This Row],[SKU]],Centralized_Conversions[#All],5,FALSE))</f>
        <v>1</v>
      </c>
      <c r="M57" s="170" t="str">
        <f>_xlfn.SINGLE(VLOOKUP(FAS_Centralized[[#This Row],[SKU]],Centralized_Conversions[#All],6,FALSE))</f>
        <v>Each</v>
      </c>
      <c r="N57" s="170">
        <f>+FAS_Centralized[[#This Row],[On-hand]]*FAS_Centralized[[#This Row],[Multiplier]]</f>
        <v>611</v>
      </c>
      <c r="P57" t="s">
        <v>2842</v>
      </c>
      <c r="Q57" t="s">
        <v>2843</v>
      </c>
      <c r="U57" t="s">
        <v>2723</v>
      </c>
      <c r="V57">
        <v>611</v>
      </c>
      <c r="X57" t="s">
        <v>67</v>
      </c>
      <c r="Y57">
        <v>1363</v>
      </c>
      <c r="Z57" t="s">
        <v>89</v>
      </c>
      <c r="AA57">
        <v>1</v>
      </c>
      <c r="AB57" t="s">
        <v>2739</v>
      </c>
      <c r="AC57">
        <v>611</v>
      </c>
      <c r="AE57" t="str">
        <f>_xlfn.SINGLE(IF(FAS_Centralized[[#This Row],[SKU]]&lt;&gt;P57,"XXXX MISMATCH XXXX",""))</f>
        <v/>
      </c>
      <c r="AF57" s="185">
        <f>+FAS_Centralized[[#This Row],[Count for Dashboard]]-AC57</f>
        <v>0</v>
      </c>
    </row>
    <row r="58" spans="1:32">
      <c r="A58" t="s">
        <v>2844</v>
      </c>
      <c r="B58" t="s">
        <v>100</v>
      </c>
      <c r="F58" t="s">
        <v>2723</v>
      </c>
      <c r="G58">
        <v>6</v>
      </c>
      <c r="I58" t="s">
        <v>67</v>
      </c>
      <c r="J58">
        <v>19</v>
      </c>
      <c r="K58" s="170" t="str">
        <f>_xlfn.SINGLE(VLOOKUP(FAS_Centralized[[#This Row],[SKU]],Centralized_Conversions[#All],4,FALSE))</f>
        <v>Disinfecting Sprayers</v>
      </c>
      <c r="L58" s="170">
        <f>_xlfn.SINGLE(VLOOKUP(FAS_Centralized[[#This Row],[SKU]],Centralized_Conversions[#All],5,FALSE))</f>
        <v>1</v>
      </c>
      <c r="M58" s="170" t="str">
        <f>_xlfn.SINGLE(VLOOKUP(FAS_Centralized[[#This Row],[SKU]],Centralized_Conversions[#All],6,FALSE))</f>
        <v>Each</v>
      </c>
      <c r="N58" s="170">
        <f>+FAS_Centralized[[#This Row],[On-hand]]*FAS_Centralized[[#This Row],[Multiplier]]</f>
        <v>6</v>
      </c>
      <c r="P58" t="s">
        <v>2844</v>
      </c>
      <c r="Q58" t="s">
        <v>100</v>
      </c>
      <c r="U58" t="s">
        <v>2723</v>
      </c>
      <c r="V58">
        <v>6</v>
      </c>
      <c r="X58" t="s">
        <v>67</v>
      </c>
      <c r="Y58">
        <v>19</v>
      </c>
      <c r="Z58" t="s">
        <v>92</v>
      </c>
      <c r="AA58">
        <v>1</v>
      </c>
      <c r="AB58" t="s">
        <v>2739</v>
      </c>
      <c r="AC58">
        <v>6</v>
      </c>
      <c r="AE58" t="str">
        <f>_xlfn.SINGLE(IF(FAS_Centralized[[#This Row],[SKU]]&lt;&gt;P58,"XXXX MISMATCH XXXX",""))</f>
        <v/>
      </c>
      <c r="AF58" s="185">
        <f>+FAS_Centralized[[#This Row],[Count for Dashboard]]-AC58</f>
        <v>0</v>
      </c>
    </row>
    <row r="59" spans="1:32">
      <c r="A59" t="s">
        <v>2845</v>
      </c>
      <c r="B59" t="s">
        <v>101</v>
      </c>
      <c r="F59" t="s">
        <v>2723</v>
      </c>
      <c r="G59">
        <v>6</v>
      </c>
      <c r="I59" t="s">
        <v>67</v>
      </c>
      <c r="J59">
        <v>19</v>
      </c>
      <c r="K59" s="170" t="str">
        <f>_xlfn.SINGLE(VLOOKUP(FAS_Centralized[[#This Row],[SKU]],Centralized_Conversions[#All],4,FALSE))</f>
        <v>N/A</v>
      </c>
      <c r="L59" s="170">
        <f>_xlfn.SINGLE(VLOOKUP(FAS_Centralized[[#This Row],[SKU]],Centralized_Conversions[#All],5,FALSE))</f>
        <v>1</v>
      </c>
      <c r="M59" s="170" t="str">
        <f>_xlfn.SINGLE(VLOOKUP(FAS_Centralized[[#This Row],[SKU]],Centralized_Conversions[#All],6,FALSE))</f>
        <v>Each</v>
      </c>
      <c r="N59" s="170">
        <f>+FAS_Centralized[[#This Row],[On-hand]]*FAS_Centralized[[#This Row],[Multiplier]]</f>
        <v>6</v>
      </c>
      <c r="P59" t="s">
        <v>2845</v>
      </c>
      <c r="Q59" t="s">
        <v>101</v>
      </c>
      <c r="U59" t="s">
        <v>2723</v>
      </c>
      <c r="V59">
        <v>6</v>
      </c>
      <c r="X59" t="s">
        <v>67</v>
      </c>
      <c r="Y59">
        <v>19</v>
      </c>
      <c r="Z59" t="s">
        <v>2846</v>
      </c>
      <c r="AA59">
        <v>1</v>
      </c>
      <c r="AB59" t="s">
        <v>2739</v>
      </c>
      <c r="AC59">
        <v>6</v>
      </c>
      <c r="AE59" t="str">
        <f>_xlfn.SINGLE(IF(FAS_Centralized[[#This Row],[SKU]]&lt;&gt;P59,"XXXX MISMATCH XXXX",""))</f>
        <v/>
      </c>
      <c r="AF59" s="185">
        <f>+FAS_Centralized[[#This Row],[Count for Dashboard]]-AC59</f>
        <v>0</v>
      </c>
    </row>
    <row r="60" spans="1:32">
      <c r="A60" t="s">
        <v>2847</v>
      </c>
      <c r="B60" t="s">
        <v>2848</v>
      </c>
      <c r="F60" t="s">
        <v>2723</v>
      </c>
      <c r="G60">
        <v>5</v>
      </c>
      <c r="I60" t="s">
        <v>67</v>
      </c>
      <c r="J60">
        <v>17</v>
      </c>
      <c r="K60" s="170" t="str">
        <f>_xlfn.SINGLE(VLOOKUP(FAS_Centralized[[#This Row],[SKU]],Centralized_Conversions[#All],4,FALSE))</f>
        <v>Disinfecting Solution for Sprayers</v>
      </c>
      <c r="L60" s="170">
        <f>_xlfn.SINGLE(VLOOKUP(FAS_Centralized[[#This Row],[SKU]],Centralized_Conversions[#All],5,FALSE))</f>
        <v>5</v>
      </c>
      <c r="M60" s="170" t="str">
        <f>_xlfn.SINGLE(VLOOKUP(FAS_Centralized[[#This Row],[SKU]],Centralized_Conversions[#All],6,FALSE))</f>
        <v>Gal</v>
      </c>
      <c r="N60" s="170">
        <f>+FAS_Centralized[[#This Row],[On-hand]]*FAS_Centralized[[#This Row],[Multiplier]]</f>
        <v>25</v>
      </c>
      <c r="P60" t="s">
        <v>2847</v>
      </c>
      <c r="Q60" t="s">
        <v>2848</v>
      </c>
      <c r="U60" t="s">
        <v>2723</v>
      </c>
      <c r="V60">
        <v>5</v>
      </c>
      <c r="X60" t="s">
        <v>67</v>
      </c>
      <c r="Y60">
        <v>17</v>
      </c>
      <c r="Z60" t="s">
        <v>87</v>
      </c>
      <c r="AA60">
        <v>5</v>
      </c>
      <c r="AB60" t="s">
        <v>2849</v>
      </c>
      <c r="AC60">
        <v>25</v>
      </c>
      <c r="AE60" t="str">
        <f>_xlfn.SINGLE(IF(FAS_Centralized[[#This Row],[SKU]]&lt;&gt;P60,"XXXX MISMATCH XXXX",""))</f>
        <v/>
      </c>
      <c r="AF60" s="185">
        <f>+FAS_Centralized[[#This Row],[Count for Dashboard]]-AC60</f>
        <v>0</v>
      </c>
    </row>
    <row r="61" spans="1:32">
      <c r="A61" t="s">
        <v>2850</v>
      </c>
      <c r="B61" t="s">
        <v>2851</v>
      </c>
      <c r="F61" t="s">
        <v>2723</v>
      </c>
      <c r="G61">
        <v>2</v>
      </c>
      <c r="I61" t="s">
        <v>67</v>
      </c>
      <c r="J61">
        <v>2</v>
      </c>
      <c r="K61" s="170" t="str">
        <f>_xlfn.SINGLE(VLOOKUP(FAS_Centralized[[#This Row],[SKU]],Centralized_Conversions[#All],4,FALSE))</f>
        <v>Disinfecting Solution for Sprayers</v>
      </c>
      <c r="L61" s="170">
        <f>_xlfn.SINGLE(VLOOKUP(FAS_Centralized[[#This Row],[SKU]],Centralized_Conversions[#All],5,FALSE))</f>
        <v>55</v>
      </c>
      <c r="M61" s="170" t="str">
        <f>_xlfn.SINGLE(VLOOKUP(FAS_Centralized[[#This Row],[SKU]],Centralized_Conversions[#All],6,FALSE))</f>
        <v>Gal</v>
      </c>
      <c r="N61" s="170">
        <f>+FAS_Centralized[[#This Row],[On-hand]]*FAS_Centralized[[#This Row],[Multiplier]]</f>
        <v>110</v>
      </c>
      <c r="P61" t="s">
        <v>2850</v>
      </c>
      <c r="Q61" t="s">
        <v>2851</v>
      </c>
      <c r="U61" t="s">
        <v>2723</v>
      </c>
      <c r="V61">
        <v>2</v>
      </c>
      <c r="X61" t="s">
        <v>67</v>
      </c>
      <c r="Y61">
        <v>2</v>
      </c>
      <c r="Z61" t="s">
        <v>87</v>
      </c>
      <c r="AA61">
        <v>55</v>
      </c>
      <c r="AB61" t="s">
        <v>2849</v>
      </c>
      <c r="AC61">
        <v>110</v>
      </c>
      <c r="AE61" t="str">
        <f>_xlfn.SINGLE(IF(FAS_Centralized[[#This Row],[SKU]]&lt;&gt;P61,"XXXX MISMATCH XXXX",""))</f>
        <v/>
      </c>
      <c r="AF61" s="185">
        <f>+FAS_Centralized[[#This Row],[Count for Dashboard]]-AC61</f>
        <v>0</v>
      </c>
    </row>
    <row r="62" spans="1:32">
      <c r="A62" t="s">
        <v>2852</v>
      </c>
      <c r="B62" t="s">
        <v>2853</v>
      </c>
      <c r="F62" t="s">
        <v>2723</v>
      </c>
      <c r="G62">
        <v>0</v>
      </c>
      <c r="I62" t="s">
        <v>67</v>
      </c>
      <c r="J62">
        <v>40</v>
      </c>
      <c r="K62" s="170" t="e">
        <f>_xlfn.SINGLE(VLOOKUP(FAS_Centralized[[#This Row],[SKU]],Centralized_Conversions[#All],4,FALSE))</f>
        <v>#N/A</v>
      </c>
      <c r="L62" s="170" t="e">
        <f>_xlfn.SINGLE(VLOOKUP(FAS_Centralized[[#This Row],[SKU]],Centralized_Conversions[#All],5,FALSE))</f>
        <v>#N/A</v>
      </c>
      <c r="M62" s="170" t="e">
        <f>_xlfn.SINGLE(VLOOKUP(FAS_Centralized[[#This Row],[SKU]],Centralized_Conversions[#All],6,FALSE))</f>
        <v>#N/A</v>
      </c>
      <c r="N62" s="170" t="e">
        <f>+FAS_Centralized[[#This Row],[On-hand]]*FAS_Centralized[[#This Row],[Multiplier]]</f>
        <v>#N/A</v>
      </c>
      <c r="P62" t="s">
        <v>2852</v>
      </c>
      <c r="Q62" t="s">
        <v>2853</v>
      </c>
      <c r="U62" t="s">
        <v>2723</v>
      </c>
      <c r="V62">
        <v>0</v>
      </c>
      <c r="X62" t="s">
        <v>67</v>
      </c>
      <c r="Y62">
        <v>40</v>
      </c>
      <c r="Z62" t="e">
        <v>#N/A</v>
      </c>
      <c r="AA62" t="e">
        <v>#N/A</v>
      </c>
      <c r="AB62" t="e">
        <v>#N/A</v>
      </c>
      <c r="AC62" t="e">
        <v>#N/A</v>
      </c>
      <c r="AE62" t="str">
        <f>_xlfn.SINGLE(IF(FAS_Centralized[[#This Row],[SKU]]&lt;&gt;P62,"XXXX MISMATCH XXXX",""))</f>
        <v/>
      </c>
      <c r="AF62" s="185" t="e">
        <f>+FAS_Centralized[[#This Row],[Count for Dashboard]]-AC62</f>
        <v>#N/A</v>
      </c>
    </row>
    <row r="63" spans="1:32">
      <c r="A63" t="s">
        <v>2854</v>
      </c>
      <c r="B63" t="s">
        <v>2855</v>
      </c>
      <c r="F63" t="s">
        <v>2723</v>
      </c>
      <c r="G63">
        <v>0</v>
      </c>
      <c r="I63" t="s">
        <v>67</v>
      </c>
      <c r="J63">
        <v>100</v>
      </c>
      <c r="K63" s="170" t="str">
        <f>_xlfn.SINGLE(VLOOKUP(FAS_Centralized[[#This Row],[SKU]],Centralized_Conversions[#All],4,FALSE))</f>
        <v>Goggles</v>
      </c>
      <c r="L63" s="170">
        <f>_xlfn.SINGLE(VLOOKUP(FAS_Centralized[[#This Row],[SKU]],Centralized_Conversions[#All],5,FALSE))</f>
        <v>1</v>
      </c>
      <c r="M63" s="170" t="str">
        <f>_xlfn.SINGLE(VLOOKUP(FAS_Centralized[[#This Row],[SKU]],Centralized_Conversions[#All],6,FALSE))</f>
        <v>Each</v>
      </c>
      <c r="N63" s="170">
        <f>+FAS_Centralized[[#This Row],[On-hand]]*FAS_Centralized[[#This Row],[Multiplier]]</f>
        <v>0</v>
      </c>
      <c r="P63" t="s">
        <v>2854</v>
      </c>
      <c r="Q63" t="s">
        <v>2855</v>
      </c>
      <c r="U63" t="s">
        <v>2723</v>
      </c>
      <c r="V63">
        <v>0</v>
      </c>
      <c r="X63" t="s">
        <v>67</v>
      </c>
      <c r="Y63">
        <v>100</v>
      </c>
      <c r="Z63" t="s">
        <v>77</v>
      </c>
      <c r="AA63">
        <v>1</v>
      </c>
      <c r="AB63" t="s">
        <v>2739</v>
      </c>
      <c r="AC63">
        <v>0</v>
      </c>
      <c r="AE63" t="str">
        <f>_xlfn.SINGLE(IF(FAS_Centralized[[#This Row],[SKU]]&lt;&gt;P63,"XXXX MISMATCH XXXX",""))</f>
        <v/>
      </c>
      <c r="AF63" s="185">
        <f>+FAS_Centralized[[#This Row],[Count for Dashboard]]-AC63</f>
        <v>0</v>
      </c>
    </row>
    <row r="64" spans="1:32">
      <c r="A64" t="s">
        <v>2856</v>
      </c>
      <c r="B64" t="s">
        <v>2857</v>
      </c>
      <c r="F64" t="s">
        <v>2858</v>
      </c>
      <c r="G64">
        <v>0</v>
      </c>
      <c r="I64" t="s">
        <v>67</v>
      </c>
      <c r="J64">
        <v>1</v>
      </c>
      <c r="K64" s="170" t="str">
        <f>_xlfn.SINGLE(VLOOKUP(FAS_Centralized[[#This Row],[SKU]],Centralized_Conversions[#All],4,FALSE))</f>
        <v>Disinfectant Wipes</v>
      </c>
      <c r="L64" s="170">
        <f>_xlfn.SINGLE(VLOOKUP(FAS_Centralized[[#This Row],[SKU]],Centralized_Conversions[#All],5,FALSE))</f>
        <v>1</v>
      </c>
      <c r="M64" s="170" t="str">
        <f>_xlfn.SINGLE(VLOOKUP(FAS_Centralized[[#This Row],[SKU]],Centralized_Conversions[#All],6,FALSE))</f>
        <v>Tube</v>
      </c>
      <c r="N64" s="170">
        <f>+FAS_Centralized[[#This Row],[On-hand]]*FAS_Centralized[[#This Row],[Multiplier]]</f>
        <v>0</v>
      </c>
      <c r="P64" t="s">
        <v>2856</v>
      </c>
      <c r="Q64" t="s">
        <v>2857</v>
      </c>
      <c r="U64" t="s">
        <v>2858</v>
      </c>
      <c r="V64">
        <v>0</v>
      </c>
      <c r="X64" t="s">
        <v>67</v>
      </c>
      <c r="Y64">
        <v>1</v>
      </c>
      <c r="Z64" t="s">
        <v>78</v>
      </c>
      <c r="AA64">
        <v>1</v>
      </c>
      <c r="AB64" t="s">
        <v>2724</v>
      </c>
      <c r="AC64">
        <v>0</v>
      </c>
      <c r="AE64" t="str">
        <f>_xlfn.SINGLE(IF(FAS_Centralized[[#This Row],[SKU]]&lt;&gt;P64,"XXXX MISMATCH XXXX",""))</f>
        <v/>
      </c>
      <c r="AF64" s="185">
        <f>+FAS_Centralized[[#This Row],[Count for Dashboard]]-AC64</f>
        <v>0</v>
      </c>
    </row>
    <row r="65" spans="1:32">
      <c r="A65" t="s">
        <v>2859</v>
      </c>
      <c r="B65" t="s">
        <v>2860</v>
      </c>
      <c r="F65" t="s">
        <v>2858</v>
      </c>
      <c r="G65">
        <v>1</v>
      </c>
      <c r="I65" t="s">
        <v>85</v>
      </c>
      <c r="J65">
        <v>93</v>
      </c>
      <c r="K65" s="170" t="str">
        <f>_xlfn.SINGLE(VLOOKUP(FAS_Centralized[[#This Row],[SKU]],Centralized_Conversions[#All],4,FALSE))</f>
        <v>Masks (N95)</v>
      </c>
      <c r="L65" s="170">
        <f>_xlfn.SINGLE(VLOOKUP(FAS_Centralized[[#This Row],[SKU]],Centralized_Conversions[#All],5,FALSE))</f>
        <v>10</v>
      </c>
      <c r="M65" s="170" t="str">
        <f>_xlfn.SINGLE(VLOOKUP(FAS_Centralized[[#This Row],[SKU]],Centralized_Conversions[#All],6,FALSE))</f>
        <v>Each</v>
      </c>
      <c r="N65" s="170">
        <f>+FAS_Centralized[[#This Row],[On-hand]]*FAS_Centralized[[#This Row],[Multiplier]]</f>
        <v>10</v>
      </c>
      <c r="P65" t="s">
        <v>2859</v>
      </c>
      <c r="Q65" t="s">
        <v>2860</v>
      </c>
      <c r="U65" t="s">
        <v>2858</v>
      </c>
      <c r="V65">
        <v>1</v>
      </c>
      <c r="X65" t="s">
        <v>85</v>
      </c>
      <c r="Y65">
        <v>93</v>
      </c>
      <c r="Z65" t="s">
        <v>66</v>
      </c>
      <c r="AA65">
        <v>10</v>
      </c>
      <c r="AB65" t="s">
        <v>2739</v>
      </c>
      <c r="AC65">
        <v>10</v>
      </c>
      <c r="AE65" t="str">
        <f>_xlfn.SINGLE(IF(FAS_Centralized[[#This Row],[SKU]]&lt;&gt;P65,"XXXX MISMATCH XXXX",""))</f>
        <v/>
      </c>
      <c r="AF65" s="185">
        <f>+FAS_Centralized[[#This Row],[Count for Dashboard]]-AC65</f>
        <v>0</v>
      </c>
    </row>
    <row r="66" spans="1:32">
      <c r="A66" t="s">
        <v>2861</v>
      </c>
      <c r="B66" t="s">
        <v>2862</v>
      </c>
      <c r="F66" t="s">
        <v>2858</v>
      </c>
      <c r="G66">
        <v>2400</v>
      </c>
      <c r="I66" t="s">
        <v>85</v>
      </c>
      <c r="J66">
        <v>13</v>
      </c>
      <c r="K66" s="170" t="str">
        <f>_xlfn.SINGLE(VLOOKUP(FAS_Centralized[[#This Row],[SKU]],Centralized_Conversions[#All],4,FALSE))</f>
        <v>Masks (Surgical)</v>
      </c>
      <c r="L66" s="170">
        <f>_xlfn.SINGLE(VLOOKUP(FAS_Centralized[[#This Row],[SKU]],Centralized_Conversions[#All],5,FALSE))</f>
        <v>10</v>
      </c>
      <c r="M66" s="170" t="str">
        <f>_xlfn.SINGLE(VLOOKUP(FAS_Centralized[[#This Row],[SKU]],Centralized_Conversions[#All],6,FALSE))</f>
        <v>Each</v>
      </c>
      <c r="N66" s="170">
        <f>+FAS_Centralized[[#This Row],[On-hand]]*FAS_Centralized[[#This Row],[Multiplier]]</f>
        <v>24000</v>
      </c>
      <c r="P66" t="s">
        <v>2861</v>
      </c>
      <c r="Q66" t="s">
        <v>2862</v>
      </c>
      <c r="U66" t="s">
        <v>2858</v>
      </c>
      <c r="V66">
        <v>2400</v>
      </c>
      <c r="X66" t="s">
        <v>85</v>
      </c>
      <c r="Y66">
        <v>13</v>
      </c>
      <c r="Z66" t="s">
        <v>68</v>
      </c>
      <c r="AA66">
        <v>10</v>
      </c>
      <c r="AB66" t="s">
        <v>2739</v>
      </c>
      <c r="AC66">
        <v>24000</v>
      </c>
      <c r="AE66" t="str">
        <f>_xlfn.SINGLE(IF(FAS_Centralized[[#This Row],[SKU]]&lt;&gt;P66,"XXXX MISMATCH XXXX",""))</f>
        <v/>
      </c>
      <c r="AF66" s="185">
        <f>+FAS_Centralized[[#This Row],[Count for Dashboard]]-AC66</f>
        <v>0</v>
      </c>
    </row>
    <row r="67" spans="1:32">
      <c r="A67" t="s">
        <v>2863</v>
      </c>
      <c r="B67" t="s">
        <v>2864</v>
      </c>
      <c r="F67" t="s">
        <v>2858</v>
      </c>
      <c r="G67">
        <v>3260</v>
      </c>
      <c r="I67" t="s">
        <v>67</v>
      </c>
      <c r="J67">
        <v>1902</v>
      </c>
      <c r="K67" s="170" t="str">
        <f>_xlfn.SINGLE(VLOOKUP(FAS_Centralized[[#This Row],[SKU]],Centralized_Conversions[#All],4,FALSE))</f>
        <v>Face Shields</v>
      </c>
      <c r="L67" s="170">
        <f>_xlfn.SINGLE(VLOOKUP(FAS_Centralized[[#This Row],[SKU]],Centralized_Conversions[#All],5,FALSE))</f>
        <v>1</v>
      </c>
      <c r="M67" s="170" t="str">
        <f>_xlfn.SINGLE(VLOOKUP(FAS_Centralized[[#This Row],[SKU]],Centralized_Conversions[#All],6,FALSE))</f>
        <v>Each</v>
      </c>
      <c r="N67" s="170">
        <f>+FAS_Centralized[[#This Row],[On-hand]]*FAS_Centralized[[#This Row],[Multiplier]]</f>
        <v>3260</v>
      </c>
      <c r="P67" t="s">
        <v>2863</v>
      </c>
      <c r="Q67" t="s">
        <v>2864</v>
      </c>
      <c r="U67" t="s">
        <v>2858</v>
      </c>
      <c r="V67">
        <v>3260</v>
      </c>
      <c r="X67" t="s">
        <v>67</v>
      </c>
      <c r="Y67">
        <v>1902</v>
      </c>
      <c r="Z67" t="s">
        <v>76</v>
      </c>
      <c r="AA67">
        <v>1</v>
      </c>
      <c r="AB67" t="s">
        <v>2739</v>
      </c>
      <c r="AC67">
        <v>3260</v>
      </c>
      <c r="AE67" t="str">
        <f>_xlfn.SINGLE(IF(FAS_Centralized[[#This Row],[SKU]]&lt;&gt;P67,"XXXX MISMATCH XXXX",""))</f>
        <v/>
      </c>
      <c r="AF67" s="185">
        <f>+FAS_Centralized[[#This Row],[Count for Dashboard]]-AC67</f>
        <v>0</v>
      </c>
    </row>
    <row r="68" spans="1:32">
      <c r="A68" t="s">
        <v>2865</v>
      </c>
      <c r="B68" t="s">
        <v>2866</v>
      </c>
      <c r="F68" t="s">
        <v>2858</v>
      </c>
      <c r="G68">
        <v>0</v>
      </c>
      <c r="I68" t="s">
        <v>67</v>
      </c>
      <c r="J68">
        <v>0</v>
      </c>
      <c r="K68" s="170" t="str">
        <f>_xlfn.SINGLE(VLOOKUP(FAS_Centralized[[#This Row],[SKU]],Centralized_Conversions[#All],4,FALSE))</f>
        <v>Masks (Cloth)</v>
      </c>
      <c r="L68" s="170">
        <f>_xlfn.SINGLE(VLOOKUP(FAS_Centralized[[#This Row],[SKU]],Centralized_Conversions[#All],5,FALSE))</f>
        <v>1</v>
      </c>
      <c r="M68" s="170" t="str">
        <f>_xlfn.SINGLE(VLOOKUP(FAS_Centralized[[#This Row],[SKU]],Centralized_Conversions[#All],6,FALSE))</f>
        <v>Each</v>
      </c>
      <c r="N68" s="170">
        <f>+FAS_Centralized[[#This Row],[On-hand]]*FAS_Centralized[[#This Row],[Multiplier]]</f>
        <v>0</v>
      </c>
      <c r="P68" t="s">
        <v>2865</v>
      </c>
      <c r="Q68" t="s">
        <v>2866</v>
      </c>
      <c r="U68" t="s">
        <v>2858</v>
      </c>
      <c r="V68">
        <v>0</v>
      </c>
      <c r="X68" t="s">
        <v>67</v>
      </c>
      <c r="Y68">
        <v>0</v>
      </c>
      <c r="Z68" t="s">
        <v>69</v>
      </c>
      <c r="AA68">
        <v>1</v>
      </c>
      <c r="AB68" t="s">
        <v>2739</v>
      </c>
      <c r="AC68">
        <v>0</v>
      </c>
      <c r="AE68" t="str">
        <f>_xlfn.SINGLE(IF(FAS_Centralized[[#This Row],[SKU]]&lt;&gt;P68,"XXXX MISMATCH XXXX",""))</f>
        <v/>
      </c>
      <c r="AF68" s="185">
        <f>+FAS_Centralized[[#This Row],[Count for Dashboard]]-AC68</f>
        <v>0</v>
      </c>
    </row>
    <row r="69" spans="1:32">
      <c r="A69" s="14" t="s">
        <v>2867</v>
      </c>
      <c r="B69" s="14" t="s">
        <v>2868</v>
      </c>
      <c r="C69" s="14"/>
      <c r="D69" s="14"/>
      <c r="E69" s="14"/>
      <c r="F69" s="14" t="s">
        <v>2858</v>
      </c>
      <c r="G69" s="14">
        <v>4</v>
      </c>
      <c r="H69" s="14"/>
      <c r="I69" s="14" t="s">
        <v>85</v>
      </c>
      <c r="J69" s="14">
        <v>20</v>
      </c>
      <c r="K69" s="170" t="str">
        <f>_xlfn.SINGLE(VLOOKUP(FAS_Centralized[[#This Row],[SKU]],Centralized_Conversions[#All],4,FALSE))</f>
        <v>Masks (KN95)</v>
      </c>
      <c r="L69" s="170">
        <f>_xlfn.SINGLE(VLOOKUP(FAS_Centralized[[#This Row],[SKU]],Centralized_Conversions[#All],5,FALSE))</f>
        <v>50</v>
      </c>
      <c r="M69" s="170" t="str">
        <f>_xlfn.SINGLE(VLOOKUP(FAS_Centralized[[#This Row],[SKU]],Centralized_Conversions[#All],6,FALSE))</f>
        <v>Each</v>
      </c>
      <c r="N69" s="170">
        <f>+FAS_Centralized[[#This Row],[On-hand]]*FAS_Centralized[[#This Row],[Multiplier]]</f>
        <v>200</v>
      </c>
      <c r="P69" t="s">
        <v>2867</v>
      </c>
      <c r="Q69" t="s">
        <v>2868</v>
      </c>
      <c r="U69" t="s">
        <v>2858</v>
      </c>
      <c r="V69">
        <v>4</v>
      </c>
      <c r="X69" t="s">
        <v>85</v>
      </c>
      <c r="Y69">
        <v>20</v>
      </c>
      <c r="Z69" t="s">
        <v>2753</v>
      </c>
      <c r="AA69">
        <v>50</v>
      </c>
      <c r="AB69" t="s">
        <v>2739</v>
      </c>
      <c r="AC69">
        <v>200</v>
      </c>
      <c r="AE69" t="str">
        <f>_xlfn.SINGLE(IF(FAS_Centralized[[#This Row],[SKU]]&lt;&gt;P69,"XXXX MISMATCH XXXX",""))</f>
        <v/>
      </c>
      <c r="AF69" s="185">
        <f>+FAS_Centralized[[#This Row],[Count for Dashboard]]-AC69</f>
        <v>0</v>
      </c>
    </row>
    <row r="70" spans="1:32">
      <c r="A70" s="14" t="s">
        <v>2869</v>
      </c>
      <c r="B70" s="14" t="s">
        <v>2870</v>
      </c>
      <c r="C70" s="14"/>
      <c r="D70" s="14"/>
      <c r="E70" s="14"/>
      <c r="F70" s="14" t="s">
        <v>2858</v>
      </c>
      <c r="G70" s="14">
        <v>0</v>
      </c>
      <c r="H70" s="14"/>
      <c r="I70" s="14" t="s">
        <v>85</v>
      </c>
      <c r="J70" s="14">
        <v>16</v>
      </c>
      <c r="K70" s="170" t="str">
        <f>_xlfn.SINGLE(VLOOKUP(FAS_Centralized[[#This Row],[SKU]],Centralized_Conversions[#All],4,FALSE))</f>
        <v>Nitrile Gloves (General Use)</v>
      </c>
      <c r="L70" s="170">
        <f>_xlfn.SINGLE(VLOOKUP(FAS_Centralized[[#This Row],[SKU]],Centralized_Conversions[#All],5,FALSE))</f>
        <v>100</v>
      </c>
      <c r="M70" s="170" t="str">
        <f>_xlfn.SINGLE(VLOOKUP(FAS_Centralized[[#This Row],[SKU]],Centralized_Conversions[#All],6,FALSE))</f>
        <v>Pair</v>
      </c>
      <c r="N70" s="170">
        <f>+FAS_Centralized[[#This Row],[On-hand]]*FAS_Centralized[[#This Row],[Multiplier]]</f>
        <v>0</v>
      </c>
      <c r="P70" t="s">
        <v>2869</v>
      </c>
      <c r="Q70" t="s">
        <v>2870</v>
      </c>
      <c r="U70" t="s">
        <v>2858</v>
      </c>
      <c r="V70">
        <v>0</v>
      </c>
      <c r="X70" t="s">
        <v>85</v>
      </c>
      <c r="Y70">
        <v>16</v>
      </c>
      <c r="Z70" t="s">
        <v>72</v>
      </c>
      <c r="AA70">
        <v>100</v>
      </c>
      <c r="AB70" t="s">
        <v>2762</v>
      </c>
      <c r="AC70">
        <v>0</v>
      </c>
      <c r="AE70" t="str">
        <f>_xlfn.SINGLE(IF(FAS_Centralized[[#This Row],[SKU]]&lt;&gt;P70,"XXXX MISMATCH XXXX",""))</f>
        <v/>
      </c>
      <c r="AF70" s="185">
        <f>+FAS_Centralized[[#This Row],[Count for Dashboard]]-AC70</f>
        <v>0</v>
      </c>
    </row>
    <row r="71" spans="1:32">
      <c r="A71" s="14" t="s">
        <v>2871</v>
      </c>
      <c r="B71" s="14" t="s">
        <v>2872</v>
      </c>
      <c r="C71" s="14"/>
      <c r="D71" s="14"/>
      <c r="E71" s="14"/>
      <c r="F71" s="14" t="s">
        <v>2858</v>
      </c>
      <c r="G71" s="14">
        <v>15</v>
      </c>
      <c r="H71" s="14"/>
      <c r="I71" s="14" t="s">
        <v>85</v>
      </c>
      <c r="J71" s="14">
        <v>3</v>
      </c>
      <c r="K71" s="170" t="str">
        <f>_xlfn.SINGLE(VLOOKUP(FAS_Centralized[[#This Row],[SKU]],Centralized_Conversions[#All],4,FALSE))</f>
        <v>Nitrile Gloves (General Use)</v>
      </c>
      <c r="L71" s="170">
        <f>_xlfn.SINGLE(VLOOKUP(FAS_Centralized[[#This Row],[SKU]],Centralized_Conversions[#All],5,FALSE))</f>
        <v>100</v>
      </c>
      <c r="M71" s="170" t="str">
        <f>_xlfn.SINGLE(VLOOKUP(FAS_Centralized[[#This Row],[SKU]],Centralized_Conversions[#All],6,FALSE))</f>
        <v>Pair</v>
      </c>
      <c r="N71" s="170">
        <f>+FAS_Centralized[[#This Row],[On-hand]]*FAS_Centralized[[#This Row],[Multiplier]]</f>
        <v>1500</v>
      </c>
      <c r="P71" t="s">
        <v>2871</v>
      </c>
      <c r="Q71" t="s">
        <v>2872</v>
      </c>
      <c r="U71" t="s">
        <v>2858</v>
      </c>
      <c r="V71">
        <v>15</v>
      </c>
      <c r="X71" t="s">
        <v>85</v>
      </c>
      <c r="Y71">
        <v>3</v>
      </c>
      <c r="Z71" t="s">
        <v>72</v>
      </c>
      <c r="AA71">
        <v>100</v>
      </c>
      <c r="AB71" t="s">
        <v>2762</v>
      </c>
      <c r="AC71">
        <v>1500</v>
      </c>
      <c r="AE71" t="str">
        <f>_xlfn.SINGLE(IF(FAS_Centralized[[#This Row],[SKU]]&lt;&gt;P71,"XXXX MISMATCH XXXX",""))</f>
        <v/>
      </c>
      <c r="AF71" s="185">
        <f>+FAS_Centralized[[#This Row],[Count for Dashboard]]-AC71</f>
        <v>0</v>
      </c>
    </row>
    <row r="72" spans="1:32">
      <c r="A72" s="14" t="s">
        <v>2873</v>
      </c>
      <c r="B72" s="14" t="s">
        <v>2874</v>
      </c>
      <c r="C72" s="14"/>
      <c r="D72" s="14"/>
      <c r="E72" s="14"/>
      <c r="F72" s="14" t="s">
        <v>2858</v>
      </c>
      <c r="G72" s="14">
        <v>29</v>
      </c>
      <c r="H72" s="14"/>
      <c r="I72" s="14" t="s">
        <v>85</v>
      </c>
      <c r="J72" s="14">
        <v>5</v>
      </c>
      <c r="K72" s="170" t="str">
        <f>_xlfn.SINGLE(VLOOKUP(FAS_Centralized[[#This Row],[SKU]],Centralized_Conversions[#All],4,FALSE))</f>
        <v>Nitrile Gloves (General Use)</v>
      </c>
      <c r="L72" s="170">
        <f>_xlfn.SINGLE(VLOOKUP(FAS_Centralized[[#This Row],[SKU]],Centralized_Conversions[#All],5,FALSE))</f>
        <v>100</v>
      </c>
      <c r="M72" s="170" t="str">
        <f>_xlfn.SINGLE(VLOOKUP(FAS_Centralized[[#This Row],[SKU]],Centralized_Conversions[#All],6,FALSE))</f>
        <v>Pair</v>
      </c>
      <c r="N72" s="170">
        <f>+FAS_Centralized[[#This Row],[On-hand]]*FAS_Centralized[[#This Row],[Multiplier]]</f>
        <v>2900</v>
      </c>
      <c r="P72" t="s">
        <v>2873</v>
      </c>
      <c r="Q72" t="s">
        <v>2874</v>
      </c>
      <c r="U72" t="s">
        <v>2858</v>
      </c>
      <c r="V72">
        <v>29</v>
      </c>
      <c r="X72" t="s">
        <v>85</v>
      </c>
      <c r="Y72">
        <v>5</v>
      </c>
      <c r="Z72" t="s">
        <v>72</v>
      </c>
      <c r="AA72">
        <v>100</v>
      </c>
      <c r="AB72" t="s">
        <v>2762</v>
      </c>
      <c r="AC72">
        <v>2900</v>
      </c>
      <c r="AE72" t="str">
        <f>_xlfn.SINGLE(IF(FAS_Centralized[[#This Row],[SKU]]&lt;&gt;P72,"XXXX MISMATCH XXXX",""))</f>
        <v/>
      </c>
      <c r="AF72" s="185">
        <f>+FAS_Centralized[[#This Row],[Count for Dashboard]]-AC72</f>
        <v>0</v>
      </c>
    </row>
    <row r="73" spans="1:32">
      <c r="A73" s="14" t="s">
        <v>2875</v>
      </c>
      <c r="B73" s="14" t="s">
        <v>2876</v>
      </c>
      <c r="C73" s="14"/>
      <c r="D73" s="14"/>
      <c r="E73" s="14"/>
      <c r="F73" s="14" t="s">
        <v>2858</v>
      </c>
      <c r="G73" s="14">
        <v>10</v>
      </c>
      <c r="H73" s="14"/>
      <c r="I73" s="14" t="s">
        <v>85</v>
      </c>
      <c r="J73" s="14">
        <v>21</v>
      </c>
      <c r="K73" s="170" t="str">
        <f>_xlfn.SINGLE(VLOOKUP(FAS_Centralized[[#This Row],[SKU]],Centralized_Conversions[#All],4,FALSE))</f>
        <v>Nitrile Gloves (General Use)</v>
      </c>
      <c r="L73" s="170">
        <f>_xlfn.SINGLE(VLOOKUP(FAS_Centralized[[#This Row],[SKU]],Centralized_Conversions[#All],5,FALSE))</f>
        <v>100</v>
      </c>
      <c r="M73" s="170" t="str">
        <f>_xlfn.SINGLE(VLOOKUP(FAS_Centralized[[#This Row],[SKU]],Centralized_Conversions[#All],6,FALSE))</f>
        <v>Pair</v>
      </c>
      <c r="N73" s="170">
        <f>+FAS_Centralized[[#This Row],[On-hand]]*FAS_Centralized[[#This Row],[Multiplier]]</f>
        <v>1000</v>
      </c>
      <c r="P73" t="s">
        <v>2875</v>
      </c>
      <c r="Q73" t="s">
        <v>2876</v>
      </c>
      <c r="U73" t="s">
        <v>2858</v>
      </c>
      <c r="V73">
        <v>10</v>
      </c>
      <c r="X73" t="s">
        <v>85</v>
      </c>
      <c r="Y73">
        <v>21</v>
      </c>
      <c r="Z73" t="s">
        <v>72</v>
      </c>
      <c r="AA73">
        <v>100</v>
      </c>
      <c r="AB73" t="s">
        <v>2762</v>
      </c>
      <c r="AC73">
        <v>1000</v>
      </c>
      <c r="AE73" t="str">
        <f>_xlfn.SINGLE(IF(FAS_Centralized[[#This Row],[SKU]]&lt;&gt;P73,"XXXX MISMATCH XXXX",""))</f>
        <v/>
      </c>
      <c r="AF73" s="185">
        <f>+FAS_Centralized[[#This Row],[Count for Dashboard]]-AC73</f>
        <v>0</v>
      </c>
    </row>
    <row r="74" spans="1:32">
      <c r="A74" s="14" t="s">
        <v>2877</v>
      </c>
      <c r="B74" s="14" t="s">
        <v>2878</v>
      </c>
      <c r="C74" s="14"/>
      <c r="D74" s="14"/>
      <c r="E74" s="14"/>
      <c r="F74" s="14" t="s">
        <v>2858</v>
      </c>
      <c r="G74" s="14">
        <v>13282</v>
      </c>
      <c r="H74" s="14"/>
      <c r="I74" s="14" t="s">
        <v>67</v>
      </c>
      <c r="J74" s="14">
        <v>0</v>
      </c>
      <c r="K74" s="170" t="e">
        <f>_xlfn.SINGLE(VLOOKUP(FAS_Centralized[[#This Row],[SKU]],Centralized_Conversions[#All],4,FALSE))</f>
        <v>#N/A</v>
      </c>
      <c r="L74" s="170" t="e">
        <f>_xlfn.SINGLE(VLOOKUP(FAS_Centralized[[#This Row],[SKU]],Centralized_Conversions[#All],5,FALSE))</f>
        <v>#N/A</v>
      </c>
      <c r="M74" s="170" t="e">
        <f>_xlfn.SINGLE(VLOOKUP(FAS_Centralized[[#This Row],[SKU]],Centralized_Conversions[#All],6,FALSE))</f>
        <v>#N/A</v>
      </c>
      <c r="N74" s="170" t="e">
        <f>+FAS_Centralized[[#This Row],[On-hand]]*FAS_Centralized[[#This Row],[Multiplier]]</f>
        <v>#N/A</v>
      </c>
      <c r="P74" t="s">
        <v>2877</v>
      </c>
      <c r="Q74" t="s">
        <v>2878</v>
      </c>
      <c r="U74" t="s">
        <v>2858</v>
      </c>
      <c r="V74">
        <v>13282</v>
      </c>
      <c r="X74" t="s">
        <v>67</v>
      </c>
      <c r="Y74">
        <v>0</v>
      </c>
      <c r="Z74" t="e">
        <v>#N/A</v>
      </c>
      <c r="AA74" t="e">
        <v>#N/A</v>
      </c>
      <c r="AB74" t="e">
        <v>#N/A</v>
      </c>
      <c r="AC74" t="e">
        <v>#N/A</v>
      </c>
      <c r="AE74" t="str">
        <f>_xlfn.SINGLE(IF(FAS_Centralized[[#This Row],[SKU]]&lt;&gt;P74,"XXXX MISMATCH XXXX",""))</f>
        <v/>
      </c>
      <c r="AF74" s="185" t="e">
        <f>+FAS_Centralized[[#This Row],[Count for Dashboard]]-AC74</f>
        <v>#N/A</v>
      </c>
    </row>
    <row r="75" spans="1:32">
      <c r="A75" s="14" t="s">
        <v>2879</v>
      </c>
      <c r="B75" s="14" t="s">
        <v>2880</v>
      </c>
      <c r="C75" s="14"/>
      <c r="D75" s="14"/>
      <c r="E75" s="14"/>
      <c r="F75" s="14" t="s">
        <v>2858</v>
      </c>
      <c r="G75" s="14">
        <v>125</v>
      </c>
      <c r="H75" s="14"/>
      <c r="I75" s="14" t="s">
        <v>67</v>
      </c>
      <c r="J75" s="14">
        <v>0</v>
      </c>
      <c r="K75" s="170" t="str">
        <f>_xlfn.SINGLE(VLOOKUP(FAS_Centralized[[#This Row],[SKU]],Centralized_Conversions[#All],4,FALSE))</f>
        <v>Tyvek Suits w/hoods</v>
      </c>
      <c r="L75" s="170">
        <f>_xlfn.SINGLE(VLOOKUP(FAS_Centralized[[#This Row],[SKU]],Centralized_Conversions[#All],5,FALSE))</f>
        <v>1</v>
      </c>
      <c r="M75" s="170" t="str">
        <f>_xlfn.SINGLE(VLOOKUP(FAS_Centralized[[#This Row],[SKU]],Centralized_Conversions[#All],6,FALSE))</f>
        <v>Each</v>
      </c>
      <c r="N75" s="170">
        <f>+FAS_Centralized[[#This Row],[On-hand]]*FAS_Centralized[[#This Row],[Multiplier]]</f>
        <v>125</v>
      </c>
      <c r="P75" t="s">
        <v>2879</v>
      </c>
      <c r="Q75" t="s">
        <v>2880</v>
      </c>
      <c r="U75" t="s">
        <v>2858</v>
      </c>
      <c r="V75">
        <v>125</v>
      </c>
      <c r="X75" t="s">
        <v>67</v>
      </c>
      <c r="Y75">
        <v>0</v>
      </c>
      <c r="Z75" t="s">
        <v>75</v>
      </c>
      <c r="AA75">
        <v>1</v>
      </c>
      <c r="AB75" t="s">
        <v>2739</v>
      </c>
      <c r="AC75">
        <v>125</v>
      </c>
      <c r="AE75" t="str">
        <f>_xlfn.SINGLE(IF(FAS_Centralized[[#This Row],[SKU]]&lt;&gt;P75,"XXXX MISMATCH XXXX",""))</f>
        <v/>
      </c>
      <c r="AF75" s="185">
        <f>+FAS_Centralized[[#This Row],[Count for Dashboard]]-AC75</f>
        <v>0</v>
      </c>
    </row>
    <row r="76" spans="1:32">
      <c r="A76" s="14" t="s">
        <v>2881</v>
      </c>
      <c r="B76" s="14" t="s">
        <v>2882</v>
      </c>
      <c r="C76" s="14"/>
      <c r="D76" s="14"/>
      <c r="E76" s="14"/>
      <c r="F76" s="14" t="s">
        <v>2858</v>
      </c>
      <c r="G76" s="14">
        <v>75</v>
      </c>
      <c r="H76" s="14"/>
      <c r="I76" s="14" t="s">
        <v>67</v>
      </c>
      <c r="J76" s="14">
        <v>0</v>
      </c>
      <c r="K76" s="170" t="str">
        <f>_xlfn.SINGLE(VLOOKUP(FAS_Centralized[[#This Row],[SKU]],Centralized_Conversions[#All],4,FALSE))</f>
        <v>Tyvek Suits w/hoods</v>
      </c>
      <c r="L76" s="170">
        <f>_xlfn.SINGLE(VLOOKUP(FAS_Centralized[[#This Row],[SKU]],Centralized_Conversions[#All],5,FALSE))</f>
        <v>1</v>
      </c>
      <c r="M76" s="170" t="str">
        <f>_xlfn.SINGLE(VLOOKUP(FAS_Centralized[[#This Row],[SKU]],Centralized_Conversions[#All],6,FALSE))</f>
        <v>Each</v>
      </c>
      <c r="N76" s="170">
        <f>+FAS_Centralized[[#This Row],[On-hand]]*FAS_Centralized[[#This Row],[Multiplier]]</f>
        <v>75</v>
      </c>
      <c r="P76" t="s">
        <v>2881</v>
      </c>
      <c r="Q76" t="s">
        <v>2882</v>
      </c>
      <c r="U76" t="s">
        <v>2858</v>
      </c>
      <c r="V76">
        <v>75</v>
      </c>
      <c r="X76" t="s">
        <v>67</v>
      </c>
      <c r="Y76">
        <v>0</v>
      </c>
      <c r="Z76" t="s">
        <v>75</v>
      </c>
      <c r="AA76">
        <v>1</v>
      </c>
      <c r="AB76" t="s">
        <v>2739</v>
      </c>
      <c r="AC76">
        <v>75</v>
      </c>
      <c r="AE76" t="str">
        <f>_xlfn.SINGLE(IF(FAS_Centralized[[#This Row],[SKU]]&lt;&gt;P76,"XXXX MISMATCH XXXX",""))</f>
        <v/>
      </c>
      <c r="AF76" s="185">
        <f>+FAS_Centralized[[#This Row],[Count for Dashboard]]-AC76</f>
        <v>0</v>
      </c>
    </row>
    <row r="77" spans="1:32">
      <c r="A77" s="14" t="s">
        <v>2883</v>
      </c>
      <c r="B77" s="14" t="s">
        <v>2884</v>
      </c>
      <c r="C77" s="14"/>
      <c r="D77" s="14"/>
      <c r="E77" s="14"/>
      <c r="F77" s="14" t="s">
        <v>2858</v>
      </c>
      <c r="G77" s="14">
        <v>25</v>
      </c>
      <c r="H77" s="14"/>
      <c r="I77" s="14" t="s">
        <v>67</v>
      </c>
      <c r="J77" s="14">
        <v>0</v>
      </c>
      <c r="K77" s="170" t="str">
        <f>_xlfn.SINGLE(VLOOKUP(FAS_Centralized[[#This Row],[SKU]],Centralized_Conversions[#All],4,FALSE))</f>
        <v>Tyvek Suits</v>
      </c>
      <c r="L77" s="170">
        <f>_xlfn.SINGLE(VLOOKUP(FAS_Centralized[[#This Row],[SKU]],Centralized_Conversions[#All],5,FALSE))</f>
        <v>1</v>
      </c>
      <c r="M77" s="170" t="str">
        <f>_xlfn.SINGLE(VLOOKUP(FAS_Centralized[[#This Row],[SKU]],Centralized_Conversions[#All],6,FALSE))</f>
        <v>Each</v>
      </c>
      <c r="N77" s="170">
        <f>+FAS_Centralized[[#This Row],[On-hand]]*FAS_Centralized[[#This Row],[Multiplier]]</f>
        <v>25</v>
      </c>
      <c r="P77" t="s">
        <v>2883</v>
      </c>
      <c r="Q77" t="s">
        <v>2884</v>
      </c>
      <c r="U77" t="s">
        <v>2858</v>
      </c>
      <c r="V77">
        <v>25</v>
      </c>
      <c r="X77" t="s">
        <v>67</v>
      </c>
      <c r="Y77">
        <v>0</v>
      </c>
      <c r="Z77" t="s">
        <v>74</v>
      </c>
      <c r="AA77">
        <v>1</v>
      </c>
      <c r="AB77" t="s">
        <v>2739</v>
      </c>
      <c r="AC77">
        <v>25</v>
      </c>
      <c r="AE77" t="str">
        <f>_xlfn.SINGLE(IF(FAS_Centralized[[#This Row],[SKU]]&lt;&gt;P77,"XXXX MISMATCH XXXX",""))</f>
        <v/>
      </c>
      <c r="AF77" s="185">
        <f>+FAS_Centralized[[#This Row],[Count for Dashboard]]-AC77</f>
        <v>0</v>
      </c>
    </row>
    <row r="78" spans="1:32">
      <c r="A78" s="14" t="s">
        <v>2885</v>
      </c>
      <c r="B78" s="14" t="s">
        <v>2886</v>
      </c>
      <c r="C78" s="14"/>
      <c r="D78" s="14"/>
      <c r="E78" s="14"/>
      <c r="F78" s="14" t="s">
        <v>2858</v>
      </c>
      <c r="G78" s="14">
        <v>25</v>
      </c>
      <c r="H78" s="14"/>
      <c r="I78" s="14" t="s">
        <v>67</v>
      </c>
      <c r="J78" s="14">
        <v>0</v>
      </c>
      <c r="K78" s="170" t="str">
        <f>_xlfn.SINGLE(VLOOKUP(FAS_Centralized[[#This Row],[SKU]],Centralized_Conversions[#All],4,FALSE))</f>
        <v>Tyvek Suits</v>
      </c>
      <c r="L78" s="170">
        <f>_xlfn.SINGLE(VLOOKUP(FAS_Centralized[[#This Row],[SKU]],Centralized_Conversions[#All],5,FALSE))</f>
        <v>1</v>
      </c>
      <c r="M78" s="170" t="str">
        <f>_xlfn.SINGLE(VLOOKUP(FAS_Centralized[[#This Row],[SKU]],Centralized_Conversions[#All],6,FALSE))</f>
        <v>Each</v>
      </c>
      <c r="N78" s="170">
        <f>+FAS_Centralized[[#This Row],[On-hand]]*FAS_Centralized[[#This Row],[Multiplier]]</f>
        <v>25</v>
      </c>
      <c r="P78" t="s">
        <v>2885</v>
      </c>
      <c r="Q78" t="s">
        <v>2886</v>
      </c>
      <c r="U78" t="s">
        <v>2858</v>
      </c>
      <c r="V78">
        <v>25</v>
      </c>
      <c r="X78" t="s">
        <v>67</v>
      </c>
      <c r="Y78">
        <v>0</v>
      </c>
      <c r="Z78" t="s">
        <v>74</v>
      </c>
      <c r="AA78">
        <v>1</v>
      </c>
      <c r="AB78" t="s">
        <v>2739</v>
      </c>
      <c r="AC78">
        <v>25</v>
      </c>
      <c r="AE78" t="str">
        <f>_xlfn.SINGLE(IF(FAS_Centralized[[#This Row],[SKU]]&lt;&gt;P78,"XXXX MISMATCH XXXX",""))</f>
        <v/>
      </c>
      <c r="AF78" s="185">
        <f>+FAS_Centralized[[#This Row],[Count for Dashboard]]-AC78</f>
        <v>0</v>
      </c>
    </row>
    <row r="79" spans="1:32">
      <c r="A79" s="14" t="s">
        <v>2887</v>
      </c>
      <c r="B79" s="14" t="s">
        <v>2888</v>
      </c>
      <c r="C79" s="14"/>
      <c r="D79" s="14"/>
      <c r="E79" s="14"/>
      <c r="F79" s="14" t="s">
        <v>2858</v>
      </c>
      <c r="G79" s="14">
        <v>75</v>
      </c>
      <c r="H79" s="14"/>
      <c r="I79" s="14" t="s">
        <v>67</v>
      </c>
      <c r="J79" s="14">
        <v>0</v>
      </c>
      <c r="K79" s="170" t="str">
        <f>_xlfn.SINGLE(VLOOKUP(FAS_Centralized[[#This Row],[SKU]],Centralized_Conversions[#All],4,FALSE))</f>
        <v>Tyvek Suits w/hoods</v>
      </c>
      <c r="L79" s="170">
        <f>_xlfn.SINGLE(VLOOKUP(FAS_Centralized[[#This Row],[SKU]],Centralized_Conversions[#All],5,FALSE))</f>
        <v>1</v>
      </c>
      <c r="M79" s="170" t="str">
        <f>_xlfn.SINGLE(VLOOKUP(FAS_Centralized[[#This Row],[SKU]],Centralized_Conversions[#All],6,FALSE))</f>
        <v>Each</v>
      </c>
      <c r="N79" s="170">
        <f>+FAS_Centralized[[#This Row],[On-hand]]*FAS_Centralized[[#This Row],[Multiplier]]</f>
        <v>75</v>
      </c>
      <c r="P79" t="s">
        <v>2887</v>
      </c>
      <c r="Q79" t="s">
        <v>2888</v>
      </c>
      <c r="U79" t="s">
        <v>2858</v>
      </c>
      <c r="V79">
        <v>75</v>
      </c>
      <c r="X79" t="s">
        <v>67</v>
      </c>
      <c r="Y79">
        <v>0</v>
      </c>
      <c r="Z79" t="s">
        <v>75</v>
      </c>
      <c r="AA79">
        <v>1</v>
      </c>
      <c r="AB79" t="s">
        <v>2739</v>
      </c>
      <c r="AC79">
        <v>75</v>
      </c>
      <c r="AE79" t="str">
        <f>_xlfn.SINGLE(IF(FAS_Centralized[[#This Row],[SKU]]&lt;&gt;P79,"XXXX MISMATCH XXXX",""))</f>
        <v/>
      </c>
      <c r="AF79" s="185">
        <f>+FAS_Centralized[[#This Row],[Count for Dashboard]]-AC79</f>
        <v>0</v>
      </c>
    </row>
    <row r="80" spans="1:32">
      <c r="A80" s="14" t="s">
        <v>2889</v>
      </c>
      <c r="B80" s="14" t="s">
        <v>2890</v>
      </c>
      <c r="C80" s="14"/>
      <c r="D80" s="14"/>
      <c r="E80" s="14"/>
      <c r="F80" s="14" t="s">
        <v>2858</v>
      </c>
      <c r="G80" s="14">
        <v>125</v>
      </c>
      <c r="H80" s="14"/>
      <c r="I80" s="14" t="s">
        <v>67</v>
      </c>
      <c r="J80" s="14">
        <v>100</v>
      </c>
      <c r="K80" s="170" t="str">
        <f>_xlfn.SINGLE(VLOOKUP(FAS_Centralized[[#This Row],[SKU]],Centralized_Conversions[#All],4,FALSE))</f>
        <v>Tyvek Suits w/hoods</v>
      </c>
      <c r="L80" s="170">
        <f>_xlfn.SINGLE(VLOOKUP(FAS_Centralized[[#This Row],[SKU]],Centralized_Conversions[#All],5,FALSE))</f>
        <v>1</v>
      </c>
      <c r="M80" s="170" t="str">
        <f>_xlfn.SINGLE(VLOOKUP(FAS_Centralized[[#This Row],[SKU]],Centralized_Conversions[#All],6,FALSE))</f>
        <v>Each</v>
      </c>
      <c r="N80" s="170">
        <f>+FAS_Centralized[[#This Row],[On-hand]]*FAS_Centralized[[#This Row],[Multiplier]]</f>
        <v>125</v>
      </c>
      <c r="P80" t="s">
        <v>2889</v>
      </c>
      <c r="Q80" t="s">
        <v>2890</v>
      </c>
      <c r="U80" t="s">
        <v>2858</v>
      </c>
      <c r="V80">
        <v>125</v>
      </c>
      <c r="X80" t="s">
        <v>67</v>
      </c>
      <c r="Y80">
        <v>100</v>
      </c>
      <c r="Z80" t="s">
        <v>75</v>
      </c>
      <c r="AA80">
        <v>1</v>
      </c>
      <c r="AB80" t="s">
        <v>2739</v>
      </c>
      <c r="AC80">
        <v>125</v>
      </c>
      <c r="AE80" t="str">
        <f>_xlfn.SINGLE(IF(FAS_Centralized[[#This Row],[SKU]]&lt;&gt;P80,"XXXX MISMATCH XXXX",""))</f>
        <v/>
      </c>
      <c r="AF80" s="185">
        <f>+FAS_Centralized[[#This Row],[Count for Dashboard]]-AC80</f>
        <v>0</v>
      </c>
    </row>
    <row r="81" spans="1:32">
      <c r="A81" s="14" t="s">
        <v>2891</v>
      </c>
      <c r="B81" s="14" t="s">
        <v>2892</v>
      </c>
      <c r="C81" s="14"/>
      <c r="D81" s="14"/>
      <c r="E81" s="14"/>
      <c r="F81" s="14" t="s">
        <v>2858</v>
      </c>
      <c r="G81" s="14">
        <v>50</v>
      </c>
      <c r="H81" s="14"/>
      <c r="I81" s="14" t="s">
        <v>67</v>
      </c>
      <c r="J81" s="14">
        <v>0</v>
      </c>
      <c r="K81" s="170" t="str">
        <f>_xlfn.SINGLE(VLOOKUP(FAS_Centralized[[#This Row],[SKU]],Centralized_Conversions[#All],4,FALSE))</f>
        <v>Tyvek Suits</v>
      </c>
      <c r="L81" s="170">
        <f>_xlfn.SINGLE(VLOOKUP(FAS_Centralized[[#This Row],[SKU]],Centralized_Conversions[#All],5,FALSE))</f>
        <v>1</v>
      </c>
      <c r="M81" s="170" t="str">
        <f>_xlfn.SINGLE(VLOOKUP(FAS_Centralized[[#This Row],[SKU]],Centralized_Conversions[#All],6,FALSE))</f>
        <v>Each</v>
      </c>
      <c r="N81" s="170">
        <f>+FAS_Centralized[[#This Row],[On-hand]]*FAS_Centralized[[#This Row],[Multiplier]]</f>
        <v>50</v>
      </c>
      <c r="P81" t="s">
        <v>2891</v>
      </c>
      <c r="Q81" t="s">
        <v>2892</v>
      </c>
      <c r="U81" t="s">
        <v>2858</v>
      </c>
      <c r="V81">
        <v>50</v>
      </c>
      <c r="X81" t="s">
        <v>67</v>
      </c>
      <c r="Y81">
        <v>0</v>
      </c>
      <c r="Z81" t="s">
        <v>74</v>
      </c>
      <c r="AA81">
        <v>1</v>
      </c>
      <c r="AB81" t="s">
        <v>2739</v>
      </c>
      <c r="AC81">
        <v>50</v>
      </c>
      <c r="AE81" t="str">
        <f>_xlfn.SINGLE(IF(FAS_Centralized[[#This Row],[SKU]]&lt;&gt;P81,"XXXX MISMATCH XXXX",""))</f>
        <v/>
      </c>
      <c r="AF81" s="185">
        <f>+FAS_Centralized[[#This Row],[Count for Dashboard]]-AC81</f>
        <v>0</v>
      </c>
    </row>
    <row r="82" spans="1:32">
      <c r="A82" s="14" t="s">
        <v>2893</v>
      </c>
      <c r="B82" s="14" t="s">
        <v>2894</v>
      </c>
      <c r="C82" s="14"/>
      <c r="D82" s="14"/>
      <c r="E82" s="14"/>
      <c r="F82" s="14" t="s">
        <v>2858</v>
      </c>
      <c r="G82" s="14">
        <v>1871</v>
      </c>
      <c r="H82" s="14"/>
      <c r="I82" s="14" t="s">
        <v>67</v>
      </c>
      <c r="J82" s="14">
        <v>6125</v>
      </c>
      <c r="K82" s="170" t="str">
        <f>_xlfn.SINGLE(VLOOKUP(FAS_Centralized[[#This Row],[SKU]],Centralized_Conversions[#All],4,FALSE))</f>
        <v>Surgical gowns</v>
      </c>
      <c r="L82" s="170">
        <f>_xlfn.SINGLE(VLOOKUP(FAS_Centralized[[#This Row],[SKU]],Centralized_Conversions[#All],5,FALSE))</f>
        <v>1</v>
      </c>
      <c r="M82" s="170" t="str">
        <f>_xlfn.SINGLE(VLOOKUP(FAS_Centralized[[#This Row],[SKU]],Centralized_Conversions[#All],6,FALSE))</f>
        <v>Each</v>
      </c>
      <c r="N82" s="170">
        <f>+FAS_Centralized[[#This Row],[On-hand]]*FAS_Centralized[[#This Row],[Multiplier]]</f>
        <v>1871</v>
      </c>
      <c r="P82" t="s">
        <v>2893</v>
      </c>
      <c r="Q82" t="s">
        <v>2894</v>
      </c>
      <c r="U82" t="s">
        <v>2858</v>
      </c>
      <c r="V82">
        <v>1871</v>
      </c>
      <c r="X82" t="s">
        <v>67</v>
      </c>
      <c r="Y82">
        <v>6125</v>
      </c>
      <c r="Z82" t="s">
        <v>2669</v>
      </c>
      <c r="AA82">
        <v>1</v>
      </c>
      <c r="AB82" t="s">
        <v>2739</v>
      </c>
      <c r="AC82">
        <v>1871</v>
      </c>
      <c r="AE82" t="str">
        <f>_xlfn.SINGLE(IF(FAS_Centralized[[#This Row],[SKU]]&lt;&gt;P82,"XXXX MISMATCH XXXX",""))</f>
        <v/>
      </c>
      <c r="AF82" s="185">
        <f>+FAS_Centralized[[#This Row],[Count for Dashboard]]-AC82</f>
        <v>0</v>
      </c>
    </row>
    <row r="83" spans="1:32">
      <c r="A83" s="14" t="s">
        <v>2895</v>
      </c>
      <c r="B83" s="14" t="s">
        <v>2825</v>
      </c>
      <c r="C83" s="14"/>
      <c r="D83" s="14"/>
      <c r="E83" s="14"/>
      <c r="F83" s="14" t="s">
        <v>2858</v>
      </c>
      <c r="G83" s="14">
        <v>638</v>
      </c>
      <c r="H83" s="14"/>
      <c r="I83" s="14" t="s">
        <v>67</v>
      </c>
      <c r="J83" s="14">
        <v>2</v>
      </c>
      <c r="K83" s="170" t="str">
        <f>_xlfn.SINGLE(VLOOKUP(FAS_Centralized[[#This Row],[SKU]],Centralized_Conversions[#All],4,FALSE))</f>
        <v>Hand Sanitizer (12oz or equiv)</v>
      </c>
      <c r="L83" s="170">
        <f>_xlfn.SINGLE(VLOOKUP(FAS_Centralized[[#This Row],[SKU]],Centralized_Conversions[#All],5,FALSE))</f>
        <v>10</v>
      </c>
      <c r="M83" s="170" t="str">
        <f>_xlfn.SINGLE(VLOOKUP(FAS_Centralized[[#This Row],[SKU]],Centralized_Conversions[#All],6,FALSE))</f>
        <v>Each</v>
      </c>
      <c r="N83" s="170">
        <f>+FAS_Centralized[[#This Row],[On-hand]]*FAS_Centralized[[#This Row],[Multiplier]]</f>
        <v>6380</v>
      </c>
      <c r="P83" t="s">
        <v>2895</v>
      </c>
      <c r="Q83" t="s">
        <v>2825</v>
      </c>
      <c r="U83" t="s">
        <v>2858</v>
      </c>
      <c r="V83">
        <v>638</v>
      </c>
      <c r="X83" t="s">
        <v>67</v>
      </c>
      <c r="Y83">
        <v>2</v>
      </c>
      <c r="Z83" t="s">
        <v>82</v>
      </c>
      <c r="AA83">
        <v>10</v>
      </c>
      <c r="AB83" t="s">
        <v>2739</v>
      </c>
      <c r="AC83">
        <v>6380</v>
      </c>
      <c r="AE83" t="str">
        <f>_xlfn.SINGLE(IF(FAS_Centralized[[#This Row],[SKU]]&lt;&gt;P83,"XXXX MISMATCH XXXX",""))</f>
        <v/>
      </c>
      <c r="AF83" s="185">
        <f>+FAS_Centralized[[#This Row],[Count for Dashboard]]-AC83</f>
        <v>0</v>
      </c>
    </row>
    <row r="84" spans="1:32">
      <c r="A84" s="14" t="s">
        <v>2896</v>
      </c>
      <c r="B84" s="14" t="s">
        <v>2897</v>
      </c>
      <c r="C84" s="14"/>
      <c r="D84" s="14"/>
      <c r="E84" s="14"/>
      <c r="F84" s="14" t="s">
        <v>2858</v>
      </c>
      <c r="G84" s="14">
        <v>116</v>
      </c>
      <c r="H84" s="14"/>
      <c r="I84" s="14" t="s">
        <v>67</v>
      </c>
      <c r="J84" s="14">
        <v>0</v>
      </c>
      <c r="K84" s="170" t="str">
        <f>_xlfn.SINGLE(VLOOKUP(FAS_Centralized[[#This Row],[SKU]],Centralized_Conversions[#All],4,FALSE))</f>
        <v>Hand Sanitizer (12oz or equiv)</v>
      </c>
      <c r="L84" s="170">
        <f>_xlfn.SINGLE(VLOOKUP(FAS_Centralized[[#This Row],[SKU]],Centralized_Conversions[#All],5,FALSE))</f>
        <v>1</v>
      </c>
      <c r="M84" s="170" t="str">
        <f>_xlfn.SINGLE(VLOOKUP(FAS_Centralized[[#This Row],[SKU]],Centralized_Conversions[#All],6,FALSE))</f>
        <v>Each</v>
      </c>
      <c r="N84" s="170">
        <f>+FAS_Centralized[[#This Row],[On-hand]]*FAS_Centralized[[#This Row],[Multiplier]]</f>
        <v>116</v>
      </c>
      <c r="P84" t="s">
        <v>2896</v>
      </c>
      <c r="Q84" t="s">
        <v>2897</v>
      </c>
      <c r="U84" t="s">
        <v>2858</v>
      </c>
      <c r="V84">
        <v>116</v>
      </c>
      <c r="X84" t="s">
        <v>67</v>
      </c>
      <c r="Y84">
        <v>0</v>
      </c>
      <c r="Z84" t="s">
        <v>82</v>
      </c>
      <c r="AA84">
        <v>1</v>
      </c>
      <c r="AB84" t="s">
        <v>2739</v>
      </c>
      <c r="AC84">
        <v>116</v>
      </c>
      <c r="AE84" t="str">
        <f>_xlfn.SINGLE(IF(FAS_Centralized[[#This Row],[SKU]]&lt;&gt;P84,"XXXX MISMATCH XXXX",""))</f>
        <v/>
      </c>
      <c r="AF84" s="185">
        <f>+FAS_Centralized[[#This Row],[Count for Dashboard]]-AC84</f>
        <v>0</v>
      </c>
    </row>
    <row r="85" spans="1:32">
      <c r="A85" s="14" t="s">
        <v>2898</v>
      </c>
      <c r="B85" s="14" t="s">
        <v>2899</v>
      </c>
      <c r="C85" s="14"/>
      <c r="D85" s="14"/>
      <c r="E85" s="14"/>
      <c r="F85" s="14" t="s">
        <v>2858</v>
      </c>
      <c r="G85" s="14">
        <v>243</v>
      </c>
      <c r="H85" s="14"/>
      <c r="I85" s="14" t="s">
        <v>67</v>
      </c>
      <c r="J85" s="14">
        <v>6</v>
      </c>
      <c r="K85" s="170" t="str">
        <f>_xlfn.SINGLE(VLOOKUP(FAS_Centralized[[#This Row],[SKU]],Centralized_Conversions[#All],4,FALSE))</f>
        <v>Hand Sanitizer (12oz or equiv)</v>
      </c>
      <c r="L85" s="170">
        <f>_xlfn.SINGLE(VLOOKUP(FAS_Centralized[[#This Row],[SKU]],Centralized_Conversions[#All],5,FALSE))</f>
        <v>5</v>
      </c>
      <c r="M85" s="170" t="str">
        <f>_xlfn.SINGLE(VLOOKUP(FAS_Centralized[[#This Row],[SKU]],Centralized_Conversions[#All],6,FALSE))</f>
        <v>Each</v>
      </c>
      <c r="N85" s="170">
        <f>+FAS_Centralized[[#This Row],[On-hand]]*FAS_Centralized[[#This Row],[Multiplier]]</f>
        <v>1215</v>
      </c>
      <c r="P85" t="s">
        <v>2898</v>
      </c>
      <c r="Q85" t="s">
        <v>2899</v>
      </c>
      <c r="U85" t="s">
        <v>2858</v>
      </c>
      <c r="V85">
        <v>243</v>
      </c>
      <c r="X85" t="s">
        <v>67</v>
      </c>
      <c r="Y85">
        <v>6</v>
      </c>
      <c r="Z85" t="s">
        <v>82</v>
      </c>
      <c r="AA85">
        <v>5</v>
      </c>
      <c r="AB85" t="s">
        <v>2739</v>
      </c>
      <c r="AC85">
        <v>1215</v>
      </c>
      <c r="AE85" t="str">
        <f>_xlfn.SINGLE(IF(FAS_Centralized[[#This Row],[SKU]]&lt;&gt;P85,"XXXX MISMATCH XXXX",""))</f>
        <v/>
      </c>
      <c r="AF85" s="185">
        <f>+FAS_Centralized[[#This Row],[Count for Dashboard]]-AC85</f>
        <v>0</v>
      </c>
    </row>
    <row r="86" spans="1:32">
      <c r="A86" s="14" t="s">
        <v>2900</v>
      </c>
      <c r="B86" s="14" t="s">
        <v>2843</v>
      </c>
      <c r="C86" s="14"/>
      <c r="D86" s="14"/>
      <c r="E86" s="14"/>
      <c r="F86" s="14" t="s">
        <v>2858</v>
      </c>
      <c r="G86" s="14">
        <v>0</v>
      </c>
      <c r="H86" s="14"/>
      <c r="I86" s="14" t="s">
        <v>67</v>
      </c>
      <c r="J86" s="14">
        <v>200</v>
      </c>
      <c r="K86" s="170" t="str">
        <f>_xlfn.SINGLE(VLOOKUP(FAS_Centralized[[#This Row],[SKU]],Centralized_Conversions[#All],4,FALSE))</f>
        <v>Thermometers</v>
      </c>
      <c r="L86" s="170">
        <f>_xlfn.SINGLE(VLOOKUP(FAS_Centralized[[#This Row],[SKU]],Centralized_Conversions[#All],5,FALSE))</f>
        <v>1</v>
      </c>
      <c r="M86" s="170" t="str">
        <f>_xlfn.SINGLE(VLOOKUP(FAS_Centralized[[#This Row],[SKU]],Centralized_Conversions[#All],6,FALSE))</f>
        <v>Each</v>
      </c>
      <c r="N86" s="170">
        <f>+FAS_Centralized[[#This Row],[On-hand]]*FAS_Centralized[[#This Row],[Multiplier]]</f>
        <v>0</v>
      </c>
      <c r="P86" t="s">
        <v>2900</v>
      </c>
      <c r="Q86" t="s">
        <v>2843</v>
      </c>
      <c r="U86" t="s">
        <v>2858</v>
      </c>
      <c r="V86">
        <v>0</v>
      </c>
      <c r="X86" t="s">
        <v>67</v>
      </c>
      <c r="Y86">
        <v>200</v>
      </c>
      <c r="Z86" t="s">
        <v>89</v>
      </c>
      <c r="AA86">
        <v>1</v>
      </c>
      <c r="AB86" t="s">
        <v>2739</v>
      </c>
      <c r="AC86">
        <v>0</v>
      </c>
      <c r="AE86" t="str">
        <f>_xlfn.SINGLE(IF(FAS_Centralized[[#This Row],[SKU]]&lt;&gt;P86,"XXXX MISMATCH XXXX",""))</f>
        <v/>
      </c>
      <c r="AF86" s="185">
        <f>+FAS_Centralized[[#This Row],[Count for Dashboard]]-AC86</f>
        <v>0</v>
      </c>
    </row>
    <row r="87" spans="1:32">
      <c r="A87" s="14" t="s">
        <v>2901</v>
      </c>
      <c r="B87" s="14" t="s">
        <v>2902</v>
      </c>
      <c r="C87" s="14"/>
      <c r="D87" s="14"/>
      <c r="E87" s="14"/>
      <c r="F87" s="14" t="s">
        <v>2858</v>
      </c>
      <c r="G87" s="14">
        <v>35</v>
      </c>
      <c r="H87" s="14"/>
      <c r="I87" s="14" t="s">
        <v>67</v>
      </c>
      <c r="J87" s="14">
        <v>40</v>
      </c>
      <c r="K87" s="170" t="str">
        <f>_xlfn.SINGLE(VLOOKUP(FAS_Centralized[[#This Row],[SKU]],Centralized_Conversions[#All],4,FALSE))</f>
        <v>No Longer Used</v>
      </c>
      <c r="L87" s="170">
        <f>_xlfn.SINGLE(VLOOKUP(FAS_Centralized[[#This Row],[SKU]],Centralized_Conversions[#All],5,FALSE))</f>
        <v>1</v>
      </c>
      <c r="M87" s="170" t="str">
        <f>_xlfn.SINGLE(VLOOKUP(FAS_Centralized[[#This Row],[SKU]],Centralized_Conversions[#All],6,FALSE))</f>
        <v>Each</v>
      </c>
      <c r="N87" s="170">
        <f>+FAS_Centralized[[#This Row],[On-hand]]*FAS_Centralized[[#This Row],[Multiplier]]</f>
        <v>35</v>
      </c>
      <c r="P87" t="s">
        <v>2901</v>
      </c>
      <c r="Q87" t="s">
        <v>2902</v>
      </c>
      <c r="U87" t="s">
        <v>2858</v>
      </c>
      <c r="V87">
        <v>35</v>
      </c>
      <c r="X87" t="s">
        <v>67</v>
      </c>
      <c r="Y87">
        <v>40</v>
      </c>
      <c r="Z87" t="s">
        <v>2795</v>
      </c>
      <c r="AA87">
        <v>1</v>
      </c>
      <c r="AB87" t="s">
        <v>2739</v>
      </c>
      <c r="AC87">
        <v>35</v>
      </c>
      <c r="AE87" t="str">
        <f>_xlfn.SINGLE(IF(FAS_Centralized[[#This Row],[SKU]]&lt;&gt;P87,"XXXX MISMATCH XXXX",""))</f>
        <v/>
      </c>
      <c r="AF87" s="185">
        <f>+FAS_Centralized[[#This Row],[Count for Dashboard]]-AC87</f>
        <v>0</v>
      </c>
    </row>
    <row r="88" spans="1:32">
      <c r="A88" s="14" t="s">
        <v>2903</v>
      </c>
      <c r="B88" s="14" t="s">
        <v>2904</v>
      </c>
      <c r="C88" s="14"/>
      <c r="D88" s="14"/>
      <c r="E88" s="14"/>
      <c r="F88" s="14" t="s">
        <v>2858</v>
      </c>
      <c r="G88" s="14">
        <v>2287</v>
      </c>
      <c r="H88" s="14"/>
      <c r="I88" s="14" t="s">
        <v>67</v>
      </c>
      <c r="J88" s="14">
        <v>1100</v>
      </c>
      <c r="K88" s="170" t="str">
        <f>_xlfn.SINGLE(VLOOKUP(FAS_Centralized[[#This Row],[SKU]],Centralized_Conversions[#All],4,FALSE))</f>
        <v>Goggles</v>
      </c>
      <c r="L88" s="170">
        <f>_xlfn.SINGLE(VLOOKUP(FAS_Centralized[[#This Row],[SKU]],Centralized_Conversions[#All],5,FALSE))</f>
        <v>1</v>
      </c>
      <c r="M88" s="170" t="str">
        <f>_xlfn.SINGLE(VLOOKUP(FAS_Centralized[[#This Row],[SKU]],Centralized_Conversions[#All],6,FALSE))</f>
        <v>Each</v>
      </c>
      <c r="N88" s="170">
        <f>+FAS_Centralized[[#This Row],[On-hand]]*FAS_Centralized[[#This Row],[Multiplier]]</f>
        <v>2287</v>
      </c>
      <c r="P88" t="s">
        <v>2903</v>
      </c>
      <c r="Q88" t="s">
        <v>2904</v>
      </c>
      <c r="U88" t="s">
        <v>2858</v>
      </c>
      <c r="V88">
        <v>2287</v>
      </c>
      <c r="X88" t="s">
        <v>67</v>
      </c>
      <c r="Y88">
        <v>1100</v>
      </c>
      <c r="Z88" t="s">
        <v>77</v>
      </c>
      <c r="AA88">
        <v>1</v>
      </c>
      <c r="AB88" t="s">
        <v>2739</v>
      </c>
      <c r="AC88">
        <v>2287</v>
      </c>
      <c r="AE88" t="str">
        <f>_xlfn.SINGLE(IF(FAS_Centralized[[#This Row],[SKU]]&lt;&gt;P88,"XXXX MISMATCH XXXX",""))</f>
        <v/>
      </c>
      <c r="AF88" s="185">
        <f>+FAS_Centralized[[#This Row],[Count for Dashboard]]-AC88</f>
        <v>0</v>
      </c>
    </row>
    <row r="89" spans="1:32">
      <c r="A89" s="14" t="s">
        <v>2905</v>
      </c>
      <c r="B89" s="14" t="s">
        <v>2906</v>
      </c>
      <c r="C89" s="14"/>
      <c r="D89" s="14"/>
      <c r="E89" s="14"/>
      <c r="F89" s="14" t="s">
        <v>2723</v>
      </c>
      <c r="G89" s="14">
        <v>0</v>
      </c>
      <c r="H89" s="14"/>
      <c r="I89" s="14" t="s">
        <v>85</v>
      </c>
      <c r="J89" s="14">
        <v>65</v>
      </c>
      <c r="K89" s="170" t="e">
        <f>_xlfn.SINGLE(VLOOKUP(FAS_Centralized[[#This Row],[SKU]],Centralized_Conversions[#All],4,FALSE))</f>
        <v>#N/A</v>
      </c>
      <c r="L89" s="170" t="e">
        <f>_xlfn.SINGLE(VLOOKUP(FAS_Centralized[[#This Row],[SKU]],Centralized_Conversions[#All],5,FALSE))</f>
        <v>#N/A</v>
      </c>
      <c r="M89" s="170" t="e">
        <f>_xlfn.SINGLE(VLOOKUP(FAS_Centralized[[#This Row],[SKU]],Centralized_Conversions[#All],6,FALSE))</f>
        <v>#N/A</v>
      </c>
      <c r="N89" s="170" t="e">
        <f>+FAS_Centralized[[#This Row],[On-hand]]*FAS_Centralized[[#This Row],[Multiplier]]</f>
        <v>#N/A</v>
      </c>
      <c r="P89" t="s">
        <v>2905</v>
      </c>
      <c r="Q89" t="s">
        <v>2906</v>
      </c>
      <c r="U89" t="s">
        <v>2723</v>
      </c>
      <c r="V89">
        <v>0</v>
      </c>
      <c r="X89" t="s">
        <v>85</v>
      </c>
      <c r="Y89">
        <v>65</v>
      </c>
      <c r="Z89" t="e">
        <v>#N/A</v>
      </c>
      <c r="AA89" t="e">
        <v>#N/A</v>
      </c>
      <c r="AB89" t="e">
        <v>#N/A</v>
      </c>
      <c r="AC89" t="e">
        <v>#N/A</v>
      </c>
      <c r="AE89" t="str">
        <f>_xlfn.SINGLE(IF(FAS_Centralized[[#This Row],[SKU]]&lt;&gt;P89,"XXXX MISMATCH XXXX",""))</f>
        <v/>
      </c>
      <c r="AF89" s="185" t="e">
        <f>+FAS_Centralized[[#This Row],[Count for Dashboard]]-AC89</f>
        <v>#N/A</v>
      </c>
    </row>
    <row r="90" spans="1:32">
      <c r="A90" s="14" t="s">
        <v>2907</v>
      </c>
      <c r="B90" s="14" t="s">
        <v>2908</v>
      </c>
      <c r="C90" s="14"/>
      <c r="D90" s="14"/>
      <c r="E90" s="14"/>
      <c r="F90" s="14" t="s">
        <v>2723</v>
      </c>
      <c r="G90" s="14">
        <v>0</v>
      </c>
      <c r="H90" s="14"/>
      <c r="I90" s="14" t="s">
        <v>67</v>
      </c>
      <c r="J90" s="14">
        <v>20</v>
      </c>
      <c r="K90" s="170" t="e">
        <f>_xlfn.SINGLE(VLOOKUP(FAS_Centralized[[#This Row],[SKU]],Centralized_Conversions[#All],4,FALSE))</f>
        <v>#N/A</v>
      </c>
      <c r="L90" s="170" t="e">
        <f>_xlfn.SINGLE(VLOOKUP(FAS_Centralized[[#This Row],[SKU]],Centralized_Conversions[#All],5,FALSE))</f>
        <v>#N/A</v>
      </c>
      <c r="M90" s="170" t="e">
        <f>_xlfn.SINGLE(VLOOKUP(FAS_Centralized[[#This Row],[SKU]],Centralized_Conversions[#All],6,FALSE))</f>
        <v>#N/A</v>
      </c>
      <c r="N90" s="170" t="e">
        <f>+FAS_Centralized[[#This Row],[On-hand]]*FAS_Centralized[[#This Row],[Multiplier]]</f>
        <v>#N/A</v>
      </c>
      <c r="P90" t="s">
        <v>2907</v>
      </c>
      <c r="Q90" t="s">
        <v>2908</v>
      </c>
      <c r="U90" t="s">
        <v>2723</v>
      </c>
      <c r="V90">
        <v>0</v>
      </c>
      <c r="X90" t="s">
        <v>67</v>
      </c>
      <c r="Y90">
        <v>20</v>
      </c>
      <c r="Z90" t="e">
        <v>#N/A</v>
      </c>
      <c r="AA90" t="e">
        <v>#N/A</v>
      </c>
      <c r="AB90" t="e">
        <v>#N/A</v>
      </c>
      <c r="AC90" t="e">
        <v>#N/A</v>
      </c>
      <c r="AE90" t="str">
        <f>_xlfn.SINGLE(IF(FAS_Centralized[[#This Row],[SKU]]&lt;&gt;P90,"XXXX MISMATCH XXXX",""))</f>
        <v/>
      </c>
      <c r="AF90" s="185" t="e">
        <f>+FAS_Centralized[[#This Row],[Count for Dashboard]]-AC90</f>
        <v>#N/A</v>
      </c>
    </row>
    <row r="91" spans="1:32">
      <c r="A91" s="14" t="s">
        <v>2909</v>
      </c>
      <c r="B91" s="14" t="s">
        <v>2910</v>
      </c>
      <c r="C91" s="14"/>
      <c r="D91" s="14"/>
      <c r="E91" s="14"/>
      <c r="F91" s="14" t="s">
        <v>2723</v>
      </c>
      <c r="G91" s="14">
        <v>0</v>
      </c>
      <c r="H91" s="14"/>
      <c r="I91" s="14" t="s">
        <v>67</v>
      </c>
      <c r="J91" s="14">
        <v>50000</v>
      </c>
      <c r="K91" s="170" t="e">
        <f>_xlfn.SINGLE(VLOOKUP(FAS_Centralized[[#This Row],[SKU]],Centralized_Conversions[#All],4,FALSE))</f>
        <v>#N/A</v>
      </c>
      <c r="L91" s="170" t="e">
        <f>_xlfn.SINGLE(VLOOKUP(FAS_Centralized[[#This Row],[SKU]],Centralized_Conversions[#All],5,FALSE))</f>
        <v>#N/A</v>
      </c>
      <c r="M91" s="170" t="e">
        <f>_xlfn.SINGLE(VLOOKUP(FAS_Centralized[[#This Row],[SKU]],Centralized_Conversions[#All],6,FALSE))</f>
        <v>#N/A</v>
      </c>
      <c r="N91" s="170" t="e">
        <f>+FAS_Centralized[[#This Row],[On-hand]]*FAS_Centralized[[#This Row],[Multiplier]]</f>
        <v>#N/A</v>
      </c>
      <c r="P91" t="s">
        <v>2909</v>
      </c>
      <c r="Q91" t="s">
        <v>2910</v>
      </c>
      <c r="U91" t="s">
        <v>2723</v>
      </c>
      <c r="V91">
        <v>0</v>
      </c>
      <c r="X91" t="s">
        <v>67</v>
      </c>
      <c r="Y91">
        <v>50000</v>
      </c>
      <c r="Z91" t="e">
        <v>#N/A</v>
      </c>
      <c r="AA91" t="e">
        <v>#N/A</v>
      </c>
      <c r="AB91" t="e">
        <v>#N/A</v>
      </c>
      <c r="AC91" t="e">
        <v>#N/A</v>
      </c>
      <c r="AE91" t="str">
        <f>_xlfn.SINGLE(IF(FAS_Centralized[[#This Row],[SKU]]&lt;&gt;P91,"XXXX MISMATCH XXXX",""))</f>
        <v/>
      </c>
      <c r="AF91" s="185" t="e">
        <f>+FAS_Centralized[[#This Row],[Count for Dashboard]]-AC91</f>
        <v>#N/A</v>
      </c>
    </row>
    <row r="92" spans="1:32">
      <c r="A92" s="14" t="s">
        <v>2911</v>
      </c>
      <c r="B92" s="14" t="s">
        <v>2912</v>
      </c>
      <c r="C92" s="14"/>
      <c r="D92" s="14"/>
      <c r="E92" s="14"/>
      <c r="F92" s="14" t="s">
        <v>2723</v>
      </c>
      <c r="G92" s="14">
        <v>6</v>
      </c>
      <c r="H92" s="14"/>
      <c r="I92" s="14" t="s">
        <v>67</v>
      </c>
      <c r="J92" s="14">
        <v>2</v>
      </c>
      <c r="K92" s="170" t="e">
        <f>_xlfn.SINGLE(VLOOKUP(FAS_Centralized[[#This Row],[SKU]],Centralized_Conversions[#All],4,FALSE))</f>
        <v>#N/A</v>
      </c>
      <c r="L92" s="170" t="e">
        <f>_xlfn.SINGLE(VLOOKUP(FAS_Centralized[[#This Row],[SKU]],Centralized_Conversions[#All],5,FALSE))</f>
        <v>#N/A</v>
      </c>
      <c r="M92" s="170" t="e">
        <f>_xlfn.SINGLE(VLOOKUP(FAS_Centralized[[#This Row],[SKU]],Centralized_Conversions[#All],6,FALSE))</f>
        <v>#N/A</v>
      </c>
      <c r="N92" s="170" t="e">
        <f>+FAS_Centralized[[#This Row],[On-hand]]*FAS_Centralized[[#This Row],[Multiplier]]</f>
        <v>#N/A</v>
      </c>
      <c r="P92" t="s">
        <v>2911</v>
      </c>
      <c r="Q92" t="s">
        <v>2912</v>
      </c>
      <c r="U92" t="s">
        <v>2723</v>
      </c>
      <c r="V92">
        <v>6</v>
      </c>
      <c r="X92" t="s">
        <v>67</v>
      </c>
      <c r="Y92">
        <v>2</v>
      </c>
      <c r="Z92" t="e">
        <v>#N/A</v>
      </c>
      <c r="AA92" t="e">
        <v>#N/A</v>
      </c>
      <c r="AB92" t="e">
        <v>#N/A</v>
      </c>
      <c r="AC92" t="e">
        <v>#N/A</v>
      </c>
      <c r="AE92" t="str">
        <f>_xlfn.SINGLE(IF(FAS_Centralized[[#This Row],[SKU]]&lt;&gt;P92,"XXXX MISMATCH XXXX",""))</f>
        <v/>
      </c>
      <c r="AF92" s="185" t="e">
        <f>+FAS_Centralized[[#This Row],[Count for Dashboard]]-AC92</f>
        <v>#N/A</v>
      </c>
    </row>
    <row r="93" spans="1:32">
      <c r="A93" s="14" t="s">
        <v>2913</v>
      </c>
      <c r="B93" s="14" t="s">
        <v>2914</v>
      </c>
      <c r="C93" s="14"/>
      <c r="D93" s="14"/>
      <c r="E93" s="14"/>
      <c r="F93" s="14" t="s">
        <v>2723</v>
      </c>
      <c r="G93" s="14">
        <v>0</v>
      </c>
      <c r="H93" s="14"/>
      <c r="I93" s="14" t="s">
        <v>67</v>
      </c>
      <c r="J93" s="14">
        <v>1200</v>
      </c>
      <c r="K93" s="170" t="e">
        <f>_xlfn.SINGLE(VLOOKUP(FAS_Centralized[[#This Row],[SKU]],Centralized_Conversions[#All],4,FALSE))</f>
        <v>#N/A</v>
      </c>
      <c r="L93" s="170" t="e">
        <f>_xlfn.SINGLE(VLOOKUP(FAS_Centralized[[#This Row],[SKU]],Centralized_Conversions[#All],5,FALSE))</f>
        <v>#N/A</v>
      </c>
      <c r="M93" s="170" t="e">
        <f>_xlfn.SINGLE(VLOOKUP(FAS_Centralized[[#This Row],[SKU]],Centralized_Conversions[#All],6,FALSE))</f>
        <v>#N/A</v>
      </c>
      <c r="N93" s="170" t="e">
        <f>+FAS_Centralized[[#This Row],[On-hand]]*FAS_Centralized[[#This Row],[Multiplier]]</f>
        <v>#N/A</v>
      </c>
      <c r="P93" t="s">
        <v>2913</v>
      </c>
      <c r="Q93" t="s">
        <v>2914</v>
      </c>
      <c r="U93" t="s">
        <v>2723</v>
      </c>
      <c r="V93">
        <v>0</v>
      </c>
      <c r="X93" t="s">
        <v>67</v>
      </c>
      <c r="Y93">
        <v>1200</v>
      </c>
      <c r="AE93" t="str">
        <f>_xlfn.SINGLE(IF(FAS_Centralized[[#This Row],[SKU]]&lt;&gt;P93,"XXXX MISMATCH XXXX",""))</f>
        <v/>
      </c>
      <c r="AF93" s="185" t="e">
        <f>+FAS_Centralized[[#This Row],[Count for Dashboard]]-AC93</f>
        <v>#N/A</v>
      </c>
    </row>
    <row r="94" spans="1:32">
      <c r="A94" s="14"/>
      <c r="B94" s="14"/>
      <c r="C94" s="14"/>
      <c r="D94" s="14"/>
      <c r="E94" s="14"/>
      <c r="F94" s="14"/>
      <c r="G94" s="14"/>
      <c r="H94" s="14"/>
      <c r="I94" s="14"/>
      <c r="J94" s="14"/>
      <c r="K94" s="170"/>
      <c r="L94" s="170"/>
      <c r="M94" s="170"/>
      <c r="N94" s="170"/>
      <c r="AE94" t="str">
        <f>_xlfn.SINGLE(IF(FAS_Centralized[[#This Row],[SKU]]&lt;&gt;P94,"XXXX MISMATCH XXXX",""))</f>
        <v/>
      </c>
      <c r="AF94" s="185">
        <f>+FAS_Centralized[[#This Row],[Count for Dashboard]]-AC94</f>
        <v>0</v>
      </c>
    </row>
    <row r="95" spans="1:32">
      <c r="A95" s="14"/>
      <c r="B95" s="14"/>
      <c r="C95" s="14"/>
      <c r="D95" s="14"/>
      <c r="E95" s="14"/>
      <c r="F95" s="14"/>
      <c r="G95" s="14"/>
      <c r="H95" s="14"/>
      <c r="I95" s="14"/>
      <c r="J95" s="14"/>
      <c r="K95" s="170"/>
      <c r="L95" s="170"/>
      <c r="M95" s="170"/>
      <c r="N95" s="170"/>
      <c r="AE95" t="str">
        <f>_xlfn.SINGLE(IF(FAS_Centralized[[#This Row],[SKU]]&lt;&gt;P95,"XXXX MISMATCH XXXX",""))</f>
        <v/>
      </c>
      <c r="AF95" s="185">
        <f>+FAS_Centralized[[#This Row],[Count for Dashboard]]-AC95</f>
        <v>0</v>
      </c>
    </row>
    <row r="96" spans="1:32">
      <c r="A96" s="14"/>
      <c r="B96" s="14"/>
      <c r="C96" s="14"/>
      <c r="D96" s="14"/>
      <c r="E96" s="14"/>
      <c r="F96" s="14"/>
      <c r="G96" s="14"/>
      <c r="H96" s="14"/>
      <c r="I96" s="14"/>
      <c r="J96" s="14"/>
      <c r="K96" s="170"/>
      <c r="L96" s="170"/>
      <c r="M96" s="170"/>
      <c r="N96" s="170"/>
      <c r="AE96" t="str">
        <f>_xlfn.SINGLE(IF(FAS_Centralized[[#This Row],[SKU]]&lt;&gt;P96,"XXXX MISMATCH XXXX",""))</f>
        <v/>
      </c>
      <c r="AF96" s="185">
        <f>+FAS_Centralized[[#This Row],[Count for Dashboard]]-AC96</f>
        <v>0</v>
      </c>
    </row>
    <row r="97" spans="1:32">
      <c r="A97" s="14"/>
      <c r="B97" s="14"/>
      <c r="C97" s="14"/>
      <c r="D97" s="14"/>
      <c r="E97" s="14"/>
      <c r="F97" s="14"/>
      <c r="G97" s="14"/>
      <c r="H97" s="14"/>
      <c r="I97" s="14"/>
      <c r="J97" s="14"/>
      <c r="K97" s="170"/>
      <c r="L97" s="170"/>
      <c r="M97" s="170"/>
      <c r="N97" s="170"/>
      <c r="AE97" t="str">
        <f>_xlfn.SINGLE(IF(FAS_Centralized[[#This Row],[SKU]]&lt;&gt;P97,"XXXX MISMATCH XXXX",""))</f>
        <v/>
      </c>
      <c r="AF97" s="185">
        <f>+FAS_Centralized[[#This Row],[Count for Dashboard]]-AC97</f>
        <v>0</v>
      </c>
    </row>
    <row r="98" spans="1:32">
      <c r="A98" s="14"/>
      <c r="B98" s="14"/>
      <c r="C98" s="14"/>
      <c r="D98" s="14"/>
      <c r="E98" s="14"/>
      <c r="F98" s="14"/>
      <c r="G98" s="14"/>
      <c r="H98" s="14"/>
      <c r="I98" s="14"/>
      <c r="J98" s="14"/>
      <c r="K98" s="170"/>
      <c r="L98" s="170"/>
      <c r="M98" s="170"/>
      <c r="N98" s="170"/>
      <c r="AE98" t="str">
        <f>_xlfn.SINGLE(IF(FAS_Centralized[[#This Row],[SKU]]&lt;&gt;P98,"XXXX MISMATCH XXXX",""))</f>
        <v/>
      </c>
      <c r="AF98" s="185">
        <f>+FAS_Centralized[[#This Row],[Count for Dashboard]]-AC98</f>
        <v>0</v>
      </c>
    </row>
    <row r="99" spans="1:32">
      <c r="A99" s="14"/>
      <c r="B99" s="14"/>
      <c r="C99" s="14"/>
      <c r="D99" s="14"/>
      <c r="E99" s="14"/>
      <c r="F99" s="14"/>
      <c r="G99" s="14"/>
      <c r="H99" s="14"/>
      <c r="I99" s="14"/>
      <c r="J99" s="14"/>
      <c r="K99" s="170"/>
      <c r="L99" s="170"/>
      <c r="M99" s="170"/>
      <c r="N99" s="170"/>
      <c r="AE99" t="str">
        <f>_xlfn.SINGLE(IF(FAS_Centralized[[#This Row],[SKU]]&lt;&gt;P99,"XXXX MISMATCH XXXX",""))</f>
        <v/>
      </c>
      <c r="AF99" s="185">
        <f>+FAS_Centralized[[#This Row],[Count for Dashboard]]-AC99</f>
        <v>0</v>
      </c>
    </row>
    <row r="100" spans="1:32">
      <c r="A100" s="14"/>
      <c r="B100" s="14"/>
      <c r="C100" s="14"/>
      <c r="D100" s="14"/>
      <c r="E100" s="14"/>
      <c r="F100" s="14"/>
      <c r="G100" s="14"/>
      <c r="H100" s="14"/>
      <c r="I100" s="14"/>
      <c r="J100" s="14"/>
      <c r="K100" s="170"/>
      <c r="L100" s="170"/>
      <c r="M100" s="170"/>
      <c r="N100" s="170"/>
      <c r="AE100" t="str">
        <f>_xlfn.SINGLE(IF(FAS_Centralized[[#This Row],[SKU]]&lt;&gt;P100,"XXXX MISMATCH XXXX",""))</f>
        <v/>
      </c>
      <c r="AF100" s="185">
        <f>+FAS_Centralized[[#This Row],[Count for Dashboard]]-AC100</f>
        <v>0</v>
      </c>
    </row>
    <row r="101" spans="1:32">
      <c r="A101" s="14"/>
      <c r="B101" s="14"/>
      <c r="C101" s="14"/>
      <c r="D101" s="14"/>
      <c r="E101" s="14"/>
      <c r="F101" s="14"/>
      <c r="G101" s="14"/>
      <c r="H101" s="14"/>
      <c r="I101" s="14"/>
      <c r="J101" s="14"/>
      <c r="K101" s="170"/>
      <c r="L101" s="170"/>
      <c r="M101" s="170"/>
      <c r="N101" s="170"/>
      <c r="AE101" t="str">
        <f>_xlfn.SINGLE(IF(FAS_Centralized[[#This Row],[SKU]]&lt;&gt;P101,"XXXX MISMATCH XXXX",""))</f>
        <v/>
      </c>
      <c r="AF101" s="185">
        <f>+FAS_Centralized[[#This Row],[Count for Dashboard]]-AC101</f>
        <v>0</v>
      </c>
    </row>
    <row r="102" spans="1:32">
      <c r="A102" s="14"/>
      <c r="B102" s="14"/>
      <c r="C102" s="14"/>
      <c r="D102" s="14"/>
      <c r="E102" s="14"/>
      <c r="F102" s="14"/>
      <c r="G102" s="14"/>
      <c r="H102" s="14"/>
      <c r="I102" s="14"/>
      <c r="J102" s="14"/>
      <c r="K102" s="170"/>
      <c r="L102" s="170"/>
      <c r="M102" s="170"/>
      <c r="N102" s="170"/>
      <c r="AE102" t="str">
        <f>_xlfn.SINGLE(IF(FAS_Centralized[[#This Row],[SKU]]&lt;&gt;P102,"XXXX MISMATCH XXXX",""))</f>
        <v/>
      </c>
      <c r="AF102" s="185">
        <f>+FAS_Centralized[[#This Row],[Count for Dashboard]]-AC102</f>
        <v>0</v>
      </c>
    </row>
    <row r="103" spans="1:32">
      <c r="A103" s="14"/>
      <c r="B103" s="14"/>
      <c r="C103" s="14"/>
      <c r="D103" s="14"/>
      <c r="E103" s="14"/>
      <c r="F103" s="14"/>
      <c r="G103" s="14"/>
      <c r="H103" s="14"/>
      <c r="I103" s="14"/>
      <c r="J103" s="14"/>
      <c r="K103" s="170"/>
      <c r="L103" s="170"/>
      <c r="M103" s="170"/>
      <c r="N103" s="170"/>
      <c r="AE103" t="str">
        <f>_xlfn.SINGLE(IF(FAS_Centralized[[#This Row],[SKU]]&lt;&gt;P103,"XXXX MISMATCH XXXX",""))</f>
        <v/>
      </c>
      <c r="AF103" s="185">
        <f>+FAS_Centralized[[#This Row],[Count for Dashboard]]-AC103</f>
        <v>0</v>
      </c>
    </row>
    <row r="104" spans="1:32">
      <c r="A104" s="14"/>
      <c r="B104" s="14"/>
      <c r="C104" s="14"/>
      <c r="D104" s="14"/>
      <c r="E104" s="14"/>
      <c r="F104" s="14"/>
      <c r="G104" s="14"/>
      <c r="H104" s="14"/>
      <c r="I104" s="14"/>
      <c r="J104" s="14"/>
      <c r="K104" s="170"/>
      <c r="L104" s="170"/>
      <c r="M104" s="170"/>
      <c r="N104" s="170"/>
      <c r="AE104" t="str">
        <f>_xlfn.SINGLE(IF(FAS_Centralized[[#This Row],[SKU]]&lt;&gt;P104,"XXXX MISMATCH XXXX",""))</f>
        <v/>
      </c>
      <c r="AF104" s="185">
        <f>+FAS_Centralized[[#This Row],[Count for Dashboard]]-AC104</f>
        <v>0</v>
      </c>
    </row>
    <row r="105" spans="1:32">
      <c r="A105" s="14"/>
      <c r="B105" s="14"/>
      <c r="C105" s="14"/>
      <c r="D105" s="14"/>
      <c r="E105" s="14"/>
      <c r="F105" s="14"/>
      <c r="G105" s="14"/>
      <c r="H105" s="14"/>
      <c r="I105" s="14"/>
      <c r="J105" s="14"/>
      <c r="K105" s="170"/>
      <c r="L105" s="170"/>
      <c r="M105" s="170"/>
      <c r="N105" s="170"/>
      <c r="AE105" t="str">
        <f>_xlfn.SINGLE(IF(FAS_Centralized[[#This Row],[SKU]]&lt;&gt;P105,"XXXX MISMATCH XXXX",""))</f>
        <v/>
      </c>
      <c r="AF105" s="185">
        <f>+FAS_Centralized[[#This Row],[Count for Dashboard]]-AC105</f>
        <v>0</v>
      </c>
    </row>
    <row r="106" spans="1:32">
      <c r="A106" s="14"/>
      <c r="B106" s="14"/>
      <c r="C106" s="14"/>
      <c r="D106" s="14"/>
      <c r="E106" s="14"/>
      <c r="F106" s="14"/>
      <c r="G106" s="14"/>
      <c r="H106" s="14"/>
      <c r="I106" s="14"/>
      <c r="J106" s="14"/>
      <c r="K106" s="170"/>
      <c r="L106" s="170"/>
      <c r="M106" s="170"/>
      <c r="N106" s="170"/>
      <c r="AE106" t="str">
        <f>_xlfn.SINGLE(IF(FAS_Centralized[[#This Row],[SKU]]&lt;&gt;P106,"XXXX MISMATCH XXXX",""))</f>
        <v/>
      </c>
      <c r="AF106" s="185">
        <f>+FAS_Centralized[[#This Row],[Count for Dashboard]]-AC106</f>
        <v>0</v>
      </c>
    </row>
    <row r="107" spans="1:32">
      <c r="A107" s="14"/>
      <c r="B107" s="14"/>
      <c r="C107" s="14"/>
      <c r="D107" s="14"/>
      <c r="E107" s="14"/>
      <c r="F107" s="14"/>
      <c r="G107" s="14"/>
      <c r="H107" s="14"/>
      <c r="I107" s="14"/>
      <c r="J107" s="14"/>
      <c r="K107" s="170"/>
      <c r="L107" s="170"/>
      <c r="M107" s="170"/>
      <c r="N107" s="170"/>
      <c r="AE107" t="str">
        <f>_xlfn.SINGLE(IF(FAS_Centralized[[#This Row],[SKU]]&lt;&gt;P107,"XXXX MISMATCH XXXX",""))</f>
        <v/>
      </c>
      <c r="AF107" s="185">
        <f>+FAS_Centralized[[#This Row],[Count for Dashboard]]-AC107</f>
        <v>0</v>
      </c>
    </row>
    <row r="108" spans="1:32">
      <c r="A108" s="14"/>
      <c r="B108" s="14"/>
      <c r="C108" s="14"/>
      <c r="D108" s="14"/>
      <c r="E108" s="14"/>
      <c r="F108" s="14"/>
      <c r="G108" s="14"/>
      <c r="H108" s="14"/>
      <c r="I108" s="14"/>
      <c r="J108" s="14"/>
      <c r="K108" s="170"/>
      <c r="L108" s="170"/>
      <c r="M108" s="170"/>
      <c r="N108" s="170"/>
      <c r="AE108" t="str">
        <f>_xlfn.SINGLE(IF(FAS_Centralized[[#This Row],[SKU]]&lt;&gt;P108,"XXXX MISMATCH XXXX",""))</f>
        <v/>
      </c>
      <c r="AF108" s="185">
        <f>+FAS_Centralized[[#This Row],[Count for Dashboard]]-AC108</f>
        <v>0</v>
      </c>
    </row>
    <row r="109" spans="1:32">
      <c r="A109" s="14"/>
      <c r="B109" s="14"/>
      <c r="C109" s="14"/>
      <c r="D109" s="14"/>
      <c r="E109" s="14"/>
      <c r="F109" s="14"/>
      <c r="G109" s="14"/>
      <c r="H109" s="14"/>
      <c r="I109" s="14"/>
      <c r="J109" s="14"/>
      <c r="K109" s="170"/>
      <c r="L109" s="170"/>
      <c r="M109" s="170"/>
      <c r="N109" s="170"/>
      <c r="AE109" t="str">
        <f>_xlfn.SINGLE(IF(FAS_Centralized[[#This Row],[SKU]]&lt;&gt;P109,"XXXX MISMATCH XXXX",""))</f>
        <v/>
      </c>
      <c r="AF109" s="185">
        <f>+FAS_Centralized[[#This Row],[Count for Dashboard]]-AC109</f>
        <v>0</v>
      </c>
    </row>
    <row r="110" spans="1:32">
      <c r="A110" s="14"/>
      <c r="B110" s="14"/>
      <c r="C110" s="14"/>
      <c r="D110" s="14"/>
      <c r="E110" s="14"/>
      <c r="F110" s="14"/>
      <c r="G110" s="14"/>
      <c r="H110" s="14"/>
      <c r="I110" s="14"/>
      <c r="J110" s="14"/>
      <c r="K110" s="170"/>
      <c r="L110" s="170"/>
      <c r="M110" s="170"/>
      <c r="N110" s="170"/>
      <c r="AE110" t="str">
        <f>_xlfn.SINGLE(IF(FAS_Centralized[[#This Row],[SKU]]&lt;&gt;P110,"XXXX MISMATCH XXXX",""))</f>
        <v/>
      </c>
      <c r="AF110" s="185">
        <f>+FAS_Centralized[[#This Row],[Count for Dashboard]]-AC110</f>
        <v>0</v>
      </c>
    </row>
    <row r="111" spans="1:32">
      <c r="A111" s="14"/>
      <c r="B111" s="14"/>
      <c r="C111" s="14"/>
      <c r="D111" s="14"/>
      <c r="E111" s="14"/>
      <c r="F111" s="14"/>
      <c r="G111" s="14"/>
      <c r="H111" s="14"/>
      <c r="I111" s="14"/>
      <c r="J111" s="14"/>
      <c r="K111" s="170"/>
      <c r="L111" s="170"/>
      <c r="M111" s="170"/>
      <c r="N111" s="170"/>
      <c r="AE111" t="str">
        <f>_xlfn.SINGLE(IF(FAS_Centralized[[#This Row],[SKU]]&lt;&gt;P111,"XXXX MISMATCH XXXX",""))</f>
        <v/>
      </c>
      <c r="AF111" s="185">
        <f>+FAS_Centralized[[#This Row],[Count for Dashboard]]-AC111</f>
        <v>0</v>
      </c>
    </row>
    <row r="112" spans="1:32">
      <c r="A112" s="14"/>
      <c r="B112" s="14"/>
      <c r="C112" s="14"/>
      <c r="D112" s="14"/>
      <c r="E112" s="14"/>
      <c r="F112" s="14"/>
      <c r="G112" s="14"/>
      <c r="H112" s="14"/>
      <c r="I112" s="14"/>
      <c r="J112" s="14"/>
      <c r="K112" s="170"/>
      <c r="L112" s="170"/>
      <c r="M112" s="170"/>
      <c r="N112" s="170"/>
      <c r="AE112" t="str">
        <f>_xlfn.SINGLE(IF(FAS_Centralized[[#This Row],[SKU]]&lt;&gt;P112,"XXXX MISMATCH XXXX",""))</f>
        <v/>
      </c>
      <c r="AF112" s="185">
        <f>+FAS_Centralized[[#This Row],[Count for Dashboard]]-AC112</f>
        <v>0</v>
      </c>
    </row>
    <row r="113" spans="1:32">
      <c r="A113" s="14"/>
      <c r="B113" s="14"/>
      <c r="C113" s="14"/>
      <c r="D113" s="14"/>
      <c r="E113" s="14"/>
      <c r="F113" s="14"/>
      <c r="G113" s="14"/>
      <c r="H113" s="14"/>
      <c r="I113" s="14"/>
      <c r="J113" s="14"/>
      <c r="K113" s="170"/>
      <c r="L113" s="170"/>
      <c r="M113" s="170"/>
      <c r="N113" s="170"/>
      <c r="AE113" t="str">
        <f>_xlfn.SINGLE(IF(FAS_Centralized[[#This Row],[SKU]]&lt;&gt;P113,"XXXX MISMATCH XXXX",""))</f>
        <v/>
      </c>
      <c r="AF113" s="185">
        <f>+FAS_Centralized[[#This Row],[Count for Dashboard]]-AC113</f>
        <v>0</v>
      </c>
    </row>
    <row r="114" spans="1:32">
      <c r="A114" s="14"/>
      <c r="B114" s="14"/>
      <c r="C114" s="14"/>
      <c r="D114" s="14"/>
      <c r="E114" s="14"/>
      <c r="F114" s="14"/>
      <c r="G114" s="14"/>
      <c r="H114" s="14"/>
      <c r="I114" s="14"/>
      <c r="J114" s="14"/>
      <c r="K114" s="170"/>
      <c r="L114" s="170"/>
      <c r="M114" s="170"/>
      <c r="N114" s="170"/>
      <c r="AE114" t="str">
        <f>_xlfn.SINGLE(IF(FAS_Centralized[[#This Row],[SKU]]&lt;&gt;P114,"XXXX MISMATCH XXXX",""))</f>
        <v/>
      </c>
      <c r="AF114" s="185">
        <f>+FAS_Centralized[[#This Row],[Count for Dashboard]]-AC114</f>
        <v>0</v>
      </c>
    </row>
    <row r="115" spans="1:32">
      <c r="A115" s="14"/>
      <c r="B115" s="14"/>
      <c r="C115" s="14"/>
      <c r="D115" s="14"/>
      <c r="E115" s="14"/>
      <c r="F115" s="14"/>
      <c r="G115" s="14"/>
      <c r="H115" s="14"/>
      <c r="I115" s="14"/>
      <c r="J115" s="14"/>
      <c r="K115" s="170"/>
      <c r="L115" s="170"/>
      <c r="M115" s="170"/>
      <c r="N115" s="170"/>
      <c r="AE115" t="str">
        <f>_xlfn.SINGLE(IF(FAS_Centralized[[#This Row],[SKU]]&lt;&gt;P115,"XXXX MISMATCH XXXX",""))</f>
        <v/>
      </c>
      <c r="AF115" s="185">
        <f>+FAS_Centralized[[#This Row],[Count for Dashboard]]-AC115</f>
        <v>0</v>
      </c>
    </row>
    <row r="116" spans="1:32">
      <c r="A116" s="14"/>
      <c r="B116" s="14"/>
      <c r="C116" s="14"/>
      <c r="D116" s="14"/>
      <c r="E116" s="14"/>
      <c r="F116" s="14"/>
      <c r="G116" s="14"/>
      <c r="H116" s="14"/>
      <c r="I116" s="14"/>
      <c r="J116" s="14"/>
      <c r="K116" s="170"/>
      <c r="L116" s="170"/>
      <c r="M116" s="170"/>
      <c r="N116" s="170"/>
      <c r="AE116" t="str">
        <f>_xlfn.SINGLE(IF(FAS_Centralized[[#This Row],[SKU]]&lt;&gt;P116,"XXXX MISMATCH XXXX",""))</f>
        <v/>
      </c>
      <c r="AF116" s="185">
        <f>+FAS_Centralized[[#This Row],[Count for Dashboard]]-AC116</f>
        <v>0</v>
      </c>
    </row>
    <row r="117" spans="1:32">
      <c r="A117" s="14"/>
      <c r="B117" s="14"/>
      <c r="C117" s="14"/>
      <c r="D117" s="14"/>
      <c r="E117" s="14"/>
      <c r="F117" s="14"/>
      <c r="G117" s="14"/>
      <c r="H117" s="14"/>
      <c r="I117" s="14"/>
      <c r="J117" s="14"/>
      <c r="K117" s="170"/>
      <c r="L117" s="170"/>
      <c r="M117" s="170"/>
      <c r="N117" s="170"/>
      <c r="AE117" t="str">
        <f>_xlfn.SINGLE(IF(FAS_Centralized[[#This Row],[SKU]]&lt;&gt;P117,"XXXX MISMATCH XXXX",""))</f>
        <v/>
      </c>
      <c r="AF117" s="185">
        <f>+FAS_Centralized[[#This Row],[Count for Dashboard]]-AC117</f>
        <v>0</v>
      </c>
    </row>
    <row r="118" spans="1:32">
      <c r="A118" s="14"/>
      <c r="B118" s="14"/>
      <c r="C118" s="14"/>
      <c r="D118" s="14"/>
      <c r="E118" s="14"/>
      <c r="F118" s="14"/>
      <c r="G118" s="14"/>
      <c r="H118" s="14"/>
      <c r="I118" s="14"/>
      <c r="J118" s="14"/>
      <c r="K118" s="170"/>
      <c r="L118" s="170"/>
      <c r="M118" s="170"/>
      <c r="N118" s="170"/>
      <c r="AE118" t="str">
        <f>_xlfn.SINGLE(IF(FAS_Centralized[[#This Row],[SKU]]&lt;&gt;P118,"XXXX MISMATCH XXXX",""))</f>
        <v/>
      </c>
      <c r="AF118" s="185">
        <f>+FAS_Centralized[[#This Row],[Count for Dashboard]]-AC118</f>
        <v>0</v>
      </c>
    </row>
    <row r="119" spans="1:32">
      <c r="A119" s="14"/>
      <c r="B119" s="14"/>
      <c r="C119" s="14"/>
      <c r="D119" s="14"/>
      <c r="E119" s="14"/>
      <c r="F119" s="14"/>
      <c r="G119" s="14"/>
      <c r="H119" s="14"/>
      <c r="I119" s="14"/>
      <c r="J119" s="14"/>
      <c r="K119" s="170"/>
      <c r="L119" s="170"/>
      <c r="M119" s="170"/>
      <c r="N119" s="170"/>
      <c r="AE119" t="str">
        <f>_xlfn.SINGLE(IF(FAS_Centralized[[#This Row],[SKU]]&lt;&gt;P119,"XXXX MISMATCH XXXX",""))</f>
        <v/>
      </c>
      <c r="AF119" s="185">
        <f>+FAS_Centralized[[#This Row],[Count for Dashboard]]-AC119</f>
        <v>0</v>
      </c>
    </row>
    <row r="120" spans="1:32">
      <c r="A120" s="14"/>
      <c r="B120" s="14"/>
      <c r="C120" s="14"/>
      <c r="D120" s="14"/>
      <c r="E120" s="14"/>
      <c r="F120" s="14"/>
      <c r="G120" s="14"/>
      <c r="H120" s="14"/>
      <c r="I120" s="14"/>
      <c r="J120" s="14"/>
      <c r="K120" s="170"/>
      <c r="L120" s="170"/>
      <c r="M120" s="170"/>
      <c r="N120" s="170"/>
      <c r="AE120" t="str">
        <f>_xlfn.SINGLE(IF(FAS_Centralized[[#This Row],[SKU]]&lt;&gt;P120,"XXXX MISMATCH XXXX",""))</f>
        <v/>
      </c>
      <c r="AF120" s="185">
        <f>+FAS_Centralized[[#This Row],[Count for Dashboard]]-AC120</f>
        <v>0</v>
      </c>
    </row>
    <row r="121" spans="1:32">
      <c r="A121" s="14"/>
      <c r="B121" s="14"/>
      <c r="C121" s="14"/>
      <c r="D121" s="14"/>
      <c r="E121" s="14"/>
      <c r="F121" s="14"/>
      <c r="G121" s="14"/>
      <c r="H121" s="14"/>
      <c r="I121" s="14"/>
      <c r="J121" s="14"/>
      <c r="K121" s="170"/>
      <c r="L121" s="170"/>
      <c r="M121" s="170"/>
      <c r="N121" s="170"/>
      <c r="AE121" t="str">
        <f>_xlfn.SINGLE(IF(FAS_Centralized[[#This Row],[SKU]]&lt;&gt;P121,"XXXX MISMATCH XXXX",""))</f>
        <v/>
      </c>
      <c r="AF121" s="185">
        <f>+FAS_Centralized[[#This Row],[Count for Dashboard]]-AC121</f>
        <v>0</v>
      </c>
    </row>
    <row r="122" spans="1:32">
      <c r="A122" s="14"/>
      <c r="B122" s="14"/>
      <c r="C122" s="14"/>
      <c r="D122" s="14"/>
      <c r="E122" s="14"/>
      <c r="F122" s="14"/>
      <c r="G122" s="14"/>
      <c r="H122" s="14"/>
      <c r="I122" s="14"/>
      <c r="J122" s="14"/>
      <c r="K122" s="170"/>
      <c r="L122" s="170"/>
      <c r="M122" s="170"/>
      <c r="N122" s="170"/>
      <c r="AE122" t="str">
        <f>_xlfn.SINGLE(IF(FAS_Centralized[[#This Row],[SKU]]&lt;&gt;P122,"XXXX MISMATCH XXXX",""))</f>
        <v/>
      </c>
      <c r="AF122" s="185">
        <f>+FAS_Centralized[[#This Row],[Count for Dashboard]]-AC122</f>
        <v>0</v>
      </c>
    </row>
    <row r="123" spans="1:32">
      <c r="A123" s="14"/>
      <c r="B123" s="14"/>
      <c r="C123" s="14"/>
      <c r="D123" s="14"/>
      <c r="E123" s="14"/>
      <c r="F123" s="14"/>
      <c r="G123" s="14"/>
      <c r="H123" s="14"/>
      <c r="I123" s="14"/>
      <c r="J123" s="14"/>
      <c r="K123" s="170"/>
      <c r="L123" s="170"/>
      <c r="M123" s="170"/>
      <c r="N123" s="170"/>
      <c r="AE123" t="str">
        <f>_xlfn.SINGLE(IF(FAS_Centralized[[#This Row],[SKU]]&lt;&gt;P123,"XXXX MISMATCH XXXX",""))</f>
        <v/>
      </c>
      <c r="AF123" s="185">
        <f>+FAS_Centralized[[#This Row],[Count for Dashboard]]-AC123</f>
        <v>0</v>
      </c>
    </row>
    <row r="124" spans="1:32">
      <c r="A124" s="14"/>
      <c r="B124" s="14"/>
      <c r="C124" s="14"/>
      <c r="D124" s="14"/>
      <c r="E124" s="14"/>
      <c r="F124" s="14"/>
      <c r="G124" s="14"/>
      <c r="H124" s="14"/>
      <c r="I124" s="14"/>
      <c r="J124" s="14"/>
      <c r="K124" s="170"/>
      <c r="L124" s="170"/>
      <c r="M124" s="170"/>
      <c r="N124" s="170"/>
      <c r="AE124" t="str">
        <f>_xlfn.SINGLE(IF(FAS_Centralized[[#This Row],[SKU]]&lt;&gt;P124,"XXXX MISMATCH XXXX",""))</f>
        <v/>
      </c>
      <c r="AF124" s="185">
        <f>+FAS_Centralized[[#This Row],[Count for Dashboard]]-AC124</f>
        <v>0</v>
      </c>
    </row>
    <row r="125" spans="1:32">
      <c r="A125" s="14"/>
      <c r="B125" s="14"/>
      <c r="C125" s="14"/>
      <c r="D125" s="14"/>
      <c r="E125" s="14"/>
      <c r="F125" s="14"/>
      <c r="G125" s="14"/>
      <c r="H125" s="14"/>
      <c r="I125" s="14"/>
      <c r="J125" s="14"/>
      <c r="K125" s="170"/>
      <c r="L125" s="170"/>
      <c r="M125" s="170"/>
      <c r="N125" s="170"/>
      <c r="AE125" t="str">
        <f>_xlfn.SINGLE(IF(FAS_Centralized[[#This Row],[SKU]]&lt;&gt;P125,"XXXX MISMATCH XXXX",""))</f>
        <v/>
      </c>
      <c r="AF125" s="185">
        <f>+FAS_Centralized[[#This Row],[Count for Dashboard]]-AC125</f>
        <v>0</v>
      </c>
    </row>
    <row r="126" spans="1:32">
      <c r="A126" s="14"/>
      <c r="B126" s="14"/>
      <c r="C126" s="14"/>
      <c r="D126" s="14"/>
      <c r="E126" s="14"/>
      <c r="F126" s="14"/>
      <c r="G126" s="14"/>
      <c r="H126" s="14"/>
      <c r="I126" s="14"/>
      <c r="J126" s="14"/>
      <c r="K126" s="170"/>
      <c r="L126" s="170"/>
      <c r="M126" s="170"/>
      <c r="N126" s="170"/>
      <c r="AE126" t="str">
        <f>_xlfn.SINGLE(IF(FAS_Centralized[[#This Row],[SKU]]&lt;&gt;P126,"XXXX MISMATCH XXXX",""))</f>
        <v/>
      </c>
      <c r="AF126" s="185">
        <f>+FAS_Centralized[[#This Row],[Count for Dashboard]]-AC126</f>
        <v>0</v>
      </c>
    </row>
    <row r="127" spans="1:32">
      <c r="A127" s="14"/>
      <c r="B127" s="14"/>
      <c r="C127" s="14"/>
      <c r="D127" s="14"/>
      <c r="E127" s="14"/>
      <c r="F127" s="14"/>
      <c r="G127" s="14"/>
      <c r="H127" s="14"/>
      <c r="I127" s="14"/>
      <c r="J127" s="14"/>
      <c r="K127" s="170"/>
      <c r="L127" s="170"/>
      <c r="M127" s="170"/>
      <c r="N127" s="170"/>
      <c r="AE127" t="str">
        <f>_xlfn.SINGLE(IF(FAS_Centralized[[#This Row],[SKU]]&lt;&gt;P127,"XXXX MISMATCH XXXX",""))</f>
        <v/>
      </c>
      <c r="AF127" s="185">
        <f>+FAS_Centralized[[#This Row],[Count for Dashboard]]-AC127</f>
        <v>0</v>
      </c>
    </row>
    <row r="128" spans="1:32">
      <c r="A128" s="14"/>
      <c r="B128" s="14"/>
      <c r="C128" s="14"/>
      <c r="D128" s="14"/>
      <c r="E128" s="14"/>
      <c r="F128" s="14"/>
      <c r="G128" s="14"/>
      <c r="H128" s="14"/>
      <c r="I128" s="14"/>
      <c r="J128" s="14"/>
      <c r="K128" s="170"/>
      <c r="L128" s="170"/>
      <c r="M128" s="170"/>
      <c r="N128" s="170"/>
      <c r="AE128" t="str">
        <f>_xlfn.SINGLE(IF(FAS_Centralized[[#This Row],[SKU]]&lt;&gt;P128,"XXXX MISMATCH XXXX",""))</f>
        <v/>
      </c>
      <c r="AF128" s="185">
        <f>+FAS_Centralized[[#This Row],[Count for Dashboard]]-AC128</f>
        <v>0</v>
      </c>
    </row>
    <row r="129" spans="1:32">
      <c r="A129" s="14"/>
      <c r="B129" s="14"/>
      <c r="C129" s="14"/>
      <c r="D129" s="14"/>
      <c r="E129" s="14"/>
      <c r="F129" s="14"/>
      <c r="G129" s="14"/>
      <c r="H129" s="14"/>
      <c r="I129" s="14"/>
      <c r="J129" s="14"/>
      <c r="K129" s="170"/>
      <c r="L129" s="170"/>
      <c r="M129" s="170"/>
      <c r="N129" s="170"/>
      <c r="AE129" t="str">
        <f>_xlfn.SINGLE(IF(FAS_Centralized[[#This Row],[SKU]]&lt;&gt;P129,"XXXX MISMATCH XXXX",""))</f>
        <v/>
      </c>
      <c r="AF129" s="185">
        <f>+FAS_Centralized[[#This Row],[Count for Dashboard]]-AC129</f>
        <v>0</v>
      </c>
    </row>
    <row r="130" spans="1:32">
      <c r="A130" s="14"/>
      <c r="B130" s="14"/>
      <c r="C130" s="14"/>
      <c r="D130" s="14"/>
      <c r="E130" s="14"/>
      <c r="F130" s="14"/>
      <c r="G130" s="14"/>
      <c r="H130" s="14"/>
      <c r="I130" s="14"/>
      <c r="J130" s="14"/>
      <c r="K130" s="170"/>
      <c r="L130" s="170"/>
      <c r="M130" s="170"/>
      <c r="N130" s="170"/>
      <c r="AE130" t="str">
        <f>_xlfn.SINGLE(IF(FAS_Centralized[[#This Row],[SKU]]&lt;&gt;P130,"XXXX MISMATCH XXXX",""))</f>
        <v/>
      </c>
      <c r="AF130" s="185">
        <f>+FAS_Centralized[[#This Row],[Count for Dashboard]]-AC130</f>
        <v>0</v>
      </c>
    </row>
    <row r="131" spans="1:32">
      <c r="A131" s="14"/>
      <c r="B131" s="14"/>
      <c r="C131" s="14"/>
      <c r="D131" s="14"/>
      <c r="E131" s="14"/>
      <c r="F131" s="14"/>
      <c r="G131" s="14"/>
      <c r="H131" s="14"/>
      <c r="I131" s="14"/>
      <c r="J131" s="14"/>
      <c r="K131" s="170"/>
      <c r="L131" s="170"/>
      <c r="M131" s="170"/>
      <c r="N131" s="170"/>
      <c r="AE131" t="str">
        <f>_xlfn.SINGLE(IF(FAS_Centralized[[#This Row],[SKU]]&lt;&gt;P131,"XXXX MISMATCH XXXX",""))</f>
        <v/>
      </c>
      <c r="AF131" s="185">
        <f>+FAS_Centralized[[#This Row],[Count for Dashboard]]-AC131</f>
        <v>0</v>
      </c>
    </row>
    <row r="132" spans="1:32">
      <c r="A132" s="14"/>
      <c r="B132" s="14"/>
      <c r="C132" s="14"/>
      <c r="D132" s="14"/>
      <c r="E132" s="14"/>
      <c r="F132" s="14"/>
      <c r="G132" s="14"/>
      <c r="H132" s="14"/>
      <c r="I132" s="14"/>
      <c r="J132" s="14"/>
      <c r="K132" s="170"/>
      <c r="L132" s="170"/>
      <c r="M132" s="170"/>
      <c r="N132" s="170"/>
      <c r="AE132" t="str">
        <f>_xlfn.SINGLE(IF(FAS_Centralized[[#This Row],[SKU]]&lt;&gt;P132,"XXXX MISMATCH XXXX",""))</f>
        <v/>
      </c>
      <c r="AF132" s="185">
        <f>+FAS_Centralized[[#This Row],[Count for Dashboard]]-AC132</f>
        <v>0</v>
      </c>
    </row>
    <row r="133" spans="1:32">
      <c r="A133" s="14"/>
      <c r="B133" s="14"/>
      <c r="C133" s="14"/>
      <c r="D133" s="14"/>
      <c r="E133" s="14"/>
      <c r="F133" s="14"/>
      <c r="G133" s="14"/>
      <c r="H133" s="14"/>
      <c r="I133" s="14"/>
      <c r="J133" s="14"/>
      <c r="K133" s="170"/>
      <c r="L133" s="170"/>
      <c r="M133" s="170"/>
      <c r="N133" s="170"/>
      <c r="AE133" t="str">
        <f>_xlfn.SINGLE(IF(FAS_Centralized[[#This Row],[SKU]]&lt;&gt;P133,"XXXX MISMATCH XXXX",""))</f>
        <v/>
      </c>
      <c r="AF133" s="185">
        <f>+FAS_Centralized[[#This Row],[Count for Dashboard]]-AC133</f>
        <v>0</v>
      </c>
    </row>
    <row r="134" spans="1:32">
      <c r="A134" s="14"/>
      <c r="B134" s="14"/>
      <c r="C134" s="14"/>
      <c r="D134" s="14"/>
      <c r="E134" s="14"/>
      <c r="F134" s="14"/>
      <c r="G134" s="14"/>
      <c r="H134" s="14"/>
      <c r="I134" s="14"/>
      <c r="J134" s="14"/>
      <c r="K134" s="170"/>
      <c r="L134" s="170"/>
      <c r="M134" s="170"/>
      <c r="N134" s="170"/>
      <c r="AE134" t="str">
        <f>_xlfn.SINGLE(IF(FAS_Centralized[[#This Row],[SKU]]&lt;&gt;P134,"XXXX MISMATCH XXXX",""))</f>
        <v/>
      </c>
      <c r="AF134" s="185">
        <f>+FAS_Centralized[[#This Row],[Count for Dashboard]]-AC134</f>
        <v>0</v>
      </c>
    </row>
    <row r="135" spans="1:32">
      <c r="A135" s="14"/>
      <c r="B135" s="14"/>
      <c r="C135" s="14"/>
      <c r="D135" s="14"/>
      <c r="E135" s="14"/>
      <c r="F135" s="14"/>
      <c r="G135" s="14"/>
      <c r="H135" s="14"/>
      <c r="I135" s="14"/>
      <c r="J135" s="14"/>
      <c r="K135" s="170"/>
      <c r="L135" s="170"/>
      <c r="M135" s="170"/>
      <c r="N135" s="170"/>
      <c r="AE135" t="str">
        <f>_xlfn.SINGLE(IF(FAS_Centralized[[#This Row],[SKU]]&lt;&gt;P135,"XXXX MISMATCH XXXX",""))</f>
        <v/>
      </c>
      <c r="AF135" s="185">
        <f>+FAS_Centralized[[#This Row],[Count for Dashboard]]-AC135</f>
        <v>0</v>
      </c>
    </row>
    <row r="136" spans="1:32">
      <c r="A136" s="14"/>
      <c r="B136" s="14"/>
      <c r="C136" s="14"/>
      <c r="D136" s="14"/>
      <c r="E136" s="14"/>
      <c r="F136" s="14"/>
      <c r="G136" s="14"/>
      <c r="H136" s="14"/>
      <c r="I136" s="14"/>
      <c r="J136" s="14"/>
      <c r="K136" s="170"/>
      <c r="L136" s="170"/>
      <c r="M136" s="170"/>
      <c r="N136" s="170"/>
      <c r="AE136" t="str">
        <f>_xlfn.SINGLE(IF(FAS_Centralized[[#This Row],[SKU]]&lt;&gt;P136,"XXXX MISMATCH XXXX",""))</f>
        <v/>
      </c>
      <c r="AF136" s="185">
        <f>+FAS_Centralized[[#This Row],[Count for Dashboard]]-AC136</f>
        <v>0</v>
      </c>
    </row>
    <row r="137" spans="1:32">
      <c r="A137" s="14"/>
      <c r="B137" s="14"/>
      <c r="C137" s="14"/>
      <c r="D137" s="14"/>
      <c r="E137" s="14"/>
      <c r="F137" s="14"/>
      <c r="G137" s="14"/>
      <c r="H137" s="14"/>
      <c r="I137" s="14"/>
      <c r="J137" s="14"/>
      <c r="K137" s="170"/>
      <c r="L137" s="170"/>
      <c r="M137" s="170"/>
      <c r="N137" s="170"/>
      <c r="AE137" t="str">
        <f>_xlfn.SINGLE(IF(FAS_Centralized[[#This Row],[SKU]]&lt;&gt;P137,"XXXX MISMATCH XXXX",""))</f>
        <v/>
      </c>
      <c r="AF137" s="185">
        <f>+FAS_Centralized[[#This Row],[Count for Dashboard]]-AC137</f>
        <v>0</v>
      </c>
    </row>
    <row r="138" spans="1:32">
      <c r="A138" s="14"/>
      <c r="B138" s="14"/>
      <c r="C138" s="14"/>
      <c r="D138" s="14"/>
      <c r="E138" s="14"/>
      <c r="F138" s="14"/>
      <c r="G138" s="14"/>
      <c r="H138" s="14"/>
      <c r="I138" s="14"/>
      <c r="J138" s="14"/>
      <c r="K138" s="170"/>
      <c r="L138" s="170"/>
      <c r="M138" s="170"/>
      <c r="N138" s="170"/>
      <c r="AE138" t="str">
        <f>_xlfn.SINGLE(IF(FAS_Centralized[[#This Row],[SKU]]&lt;&gt;P138,"XXXX MISMATCH XXXX",""))</f>
        <v/>
      </c>
      <c r="AF138" s="185">
        <f>+FAS_Centralized[[#This Row],[Count for Dashboard]]-AC138</f>
        <v>0</v>
      </c>
    </row>
    <row r="139" spans="1:32">
      <c r="A139" s="14"/>
      <c r="B139" s="14"/>
      <c r="C139" s="14"/>
      <c r="D139" s="14"/>
      <c r="E139" s="14"/>
      <c r="F139" s="14"/>
      <c r="G139" s="14"/>
      <c r="H139" s="14"/>
      <c r="I139" s="14"/>
      <c r="J139" s="14"/>
      <c r="K139" s="170"/>
      <c r="L139" s="170"/>
      <c r="M139" s="170"/>
      <c r="N139" s="170"/>
      <c r="AE139" t="str">
        <f>_xlfn.SINGLE(IF(FAS_Centralized[[#This Row],[SKU]]&lt;&gt;P139,"XXXX MISMATCH XXXX",""))</f>
        <v/>
      </c>
      <c r="AF139" s="185">
        <f>+FAS_Centralized[[#This Row],[Count for Dashboard]]-AC139</f>
        <v>0</v>
      </c>
    </row>
    <row r="140" spans="1:32">
      <c r="A140" s="14"/>
      <c r="B140" s="14"/>
      <c r="C140" s="14"/>
      <c r="D140" s="14"/>
      <c r="E140" s="14"/>
      <c r="F140" s="14"/>
      <c r="G140" s="14"/>
      <c r="H140" s="14"/>
      <c r="I140" s="14"/>
      <c r="J140" s="14"/>
      <c r="K140" s="170"/>
      <c r="L140" s="170"/>
      <c r="M140" s="170"/>
      <c r="N140" s="170"/>
      <c r="AE140" t="str">
        <f>_xlfn.SINGLE(IF(FAS_Centralized[[#This Row],[SKU]]&lt;&gt;P140,"XXXX MISMATCH XXXX",""))</f>
        <v/>
      </c>
      <c r="AF140" s="185">
        <f>+FAS_Centralized[[#This Row],[Count for Dashboard]]-AC140</f>
        <v>0</v>
      </c>
    </row>
    <row r="141" spans="1:32">
      <c r="A141" s="14"/>
      <c r="B141" s="14"/>
      <c r="C141" s="14"/>
      <c r="D141" s="14"/>
      <c r="E141" s="14"/>
      <c r="F141" s="14"/>
      <c r="G141" s="14"/>
      <c r="H141" s="14"/>
      <c r="I141" s="14"/>
      <c r="J141" s="14"/>
      <c r="K141" s="170"/>
      <c r="L141" s="170"/>
      <c r="M141" s="170"/>
      <c r="N141" s="170"/>
      <c r="AE141" t="str">
        <f>_xlfn.SINGLE(IF(FAS_Centralized[[#This Row],[SKU]]&lt;&gt;P141,"XXXX MISMATCH XXXX",""))</f>
        <v/>
      </c>
      <c r="AF141" s="185">
        <f>+FAS_Centralized[[#This Row],[Count for Dashboard]]-AC141</f>
        <v>0</v>
      </c>
    </row>
    <row r="142" spans="1:32">
      <c r="A142" s="14"/>
      <c r="B142" s="14"/>
      <c r="C142" s="14"/>
      <c r="D142" s="14"/>
      <c r="E142" s="14"/>
      <c r="F142" s="14"/>
      <c r="G142" s="14"/>
      <c r="H142" s="14"/>
      <c r="I142" s="14"/>
      <c r="J142" s="14"/>
      <c r="K142" s="170"/>
      <c r="L142" s="170"/>
      <c r="M142" s="170"/>
      <c r="N142" s="170"/>
      <c r="AE142" t="str">
        <f>_xlfn.SINGLE(IF(FAS_Centralized[[#This Row],[SKU]]&lt;&gt;P142,"XXXX MISMATCH XXXX",""))</f>
        <v/>
      </c>
      <c r="AF142" s="185">
        <f>+FAS_Centralized[[#This Row],[Count for Dashboard]]-AC142</f>
        <v>0</v>
      </c>
    </row>
    <row r="143" spans="1:32">
      <c r="A143" s="14"/>
      <c r="B143" s="14"/>
      <c r="C143" s="14"/>
      <c r="D143" s="14"/>
      <c r="E143" s="14"/>
      <c r="F143" s="14"/>
      <c r="G143" s="14"/>
      <c r="H143" s="14"/>
      <c r="I143" s="14"/>
      <c r="J143" s="14"/>
      <c r="K143" s="170"/>
      <c r="L143" s="170"/>
      <c r="M143" s="170"/>
      <c r="N143" s="170"/>
      <c r="AE143" t="str">
        <f>_xlfn.SINGLE(IF(FAS_Centralized[[#This Row],[SKU]]&lt;&gt;P143,"XXXX MISMATCH XXXX",""))</f>
        <v/>
      </c>
      <c r="AF143" s="185">
        <f>+FAS_Centralized[[#This Row],[Count for Dashboard]]-AC143</f>
        <v>0</v>
      </c>
    </row>
    <row r="144" spans="1:32">
      <c r="A144" s="14"/>
      <c r="B144" s="14"/>
      <c r="C144" s="14"/>
      <c r="D144" s="14"/>
      <c r="E144" s="14"/>
      <c r="F144" s="14"/>
      <c r="G144" s="14"/>
      <c r="H144" s="14"/>
      <c r="I144" s="14"/>
      <c r="J144" s="14"/>
      <c r="K144" s="170"/>
      <c r="L144" s="170"/>
      <c r="M144" s="170"/>
      <c r="N144" s="170"/>
      <c r="AE144" t="str">
        <f>_xlfn.SINGLE(IF(FAS_Centralized[[#This Row],[SKU]]&lt;&gt;P144,"XXXX MISMATCH XXXX",""))</f>
        <v/>
      </c>
      <c r="AF144" s="185">
        <f>+FAS_Centralized[[#This Row],[Count for Dashboard]]-AC144</f>
        <v>0</v>
      </c>
    </row>
    <row r="145" spans="1:32">
      <c r="A145" s="14"/>
      <c r="B145" s="14"/>
      <c r="C145" s="14"/>
      <c r="D145" s="14"/>
      <c r="E145" s="14"/>
      <c r="F145" s="14"/>
      <c r="G145" s="14"/>
      <c r="H145" s="14"/>
      <c r="I145" s="14"/>
      <c r="J145" s="14"/>
      <c r="K145" s="170"/>
      <c r="L145" s="170"/>
      <c r="M145" s="170"/>
      <c r="N145" s="170"/>
      <c r="AE145" t="str">
        <f>_xlfn.SINGLE(IF(FAS_Centralized[[#This Row],[SKU]]&lt;&gt;P145,"XXXX MISMATCH XXXX",""))</f>
        <v/>
      </c>
      <c r="AF145" s="185">
        <f>+FAS_Centralized[[#This Row],[Count for Dashboard]]-AC145</f>
        <v>0</v>
      </c>
    </row>
    <row r="146" spans="1:32">
      <c r="A146" s="14"/>
      <c r="B146" s="14"/>
      <c r="C146" s="14"/>
      <c r="D146" s="14"/>
      <c r="E146" s="14"/>
      <c r="F146" s="14"/>
      <c r="G146" s="14"/>
      <c r="H146" s="14"/>
      <c r="I146" s="14"/>
      <c r="J146" s="14"/>
      <c r="K146" s="170"/>
      <c r="L146" s="170"/>
      <c r="M146" s="170"/>
      <c r="N146" s="170"/>
      <c r="AE146" t="str">
        <f>_xlfn.SINGLE(IF(FAS_Centralized[[#This Row],[SKU]]&lt;&gt;P146,"XXXX MISMATCH XXXX",""))</f>
        <v/>
      </c>
      <c r="AF146" s="185">
        <f>+FAS_Centralized[[#This Row],[Count for Dashboard]]-AC146</f>
        <v>0</v>
      </c>
    </row>
    <row r="147" spans="1:32">
      <c r="A147" s="14"/>
      <c r="B147" s="14"/>
      <c r="C147" s="14"/>
      <c r="D147" s="14"/>
      <c r="E147" s="14"/>
      <c r="F147" s="14"/>
      <c r="G147" s="14"/>
      <c r="H147" s="14"/>
      <c r="I147" s="14"/>
      <c r="J147" s="14"/>
      <c r="K147" s="170"/>
      <c r="L147" s="170"/>
      <c r="M147" s="170"/>
      <c r="N147" s="170"/>
      <c r="AE147" t="str">
        <f>_xlfn.SINGLE(IF(FAS_Centralized[[#This Row],[SKU]]&lt;&gt;P147,"XXXX MISMATCH XXXX",""))</f>
        <v/>
      </c>
      <c r="AF147" s="185">
        <f>+FAS_Centralized[[#This Row],[Count for Dashboard]]-AC147</f>
        <v>0</v>
      </c>
    </row>
    <row r="148" spans="1:32">
      <c r="A148" s="14"/>
      <c r="B148" s="14"/>
      <c r="C148" s="14"/>
      <c r="D148" s="14"/>
      <c r="E148" s="14"/>
      <c r="F148" s="14"/>
      <c r="G148" s="14"/>
      <c r="H148" s="14"/>
      <c r="I148" s="14"/>
      <c r="J148" s="14"/>
      <c r="K148" s="170"/>
      <c r="L148" s="170"/>
      <c r="M148" s="170"/>
      <c r="N148" s="170"/>
      <c r="AE148" t="str">
        <f>_xlfn.SINGLE(IF(FAS_Centralized[[#This Row],[SKU]]&lt;&gt;P148,"XXXX MISMATCH XXXX",""))</f>
        <v/>
      </c>
      <c r="AF148" s="185">
        <f>+FAS_Centralized[[#This Row],[Count for Dashboard]]-AC148</f>
        <v>0</v>
      </c>
    </row>
    <row r="149" spans="1:32">
      <c r="A149" s="14"/>
      <c r="B149" s="14"/>
      <c r="C149" s="14"/>
      <c r="D149" s="14"/>
      <c r="E149" s="14"/>
      <c r="F149" s="14"/>
      <c r="G149" s="14"/>
      <c r="H149" s="14"/>
      <c r="I149" s="14"/>
      <c r="J149" s="14"/>
      <c r="K149" s="170"/>
      <c r="L149" s="170"/>
      <c r="M149" s="170"/>
      <c r="N149" s="170"/>
      <c r="AE149" t="str">
        <f>_xlfn.SINGLE(IF(FAS_Centralized[[#This Row],[SKU]]&lt;&gt;P149,"XXXX MISMATCH XXXX",""))</f>
        <v/>
      </c>
      <c r="AF149" s="185">
        <f>+FAS_Centralized[[#This Row],[Count for Dashboard]]-AC149</f>
        <v>0</v>
      </c>
    </row>
    <row r="150" spans="1:32">
      <c r="A150" s="14"/>
      <c r="B150" s="14"/>
      <c r="C150" s="14"/>
      <c r="D150" s="14"/>
      <c r="E150" s="14"/>
      <c r="F150" s="14"/>
      <c r="G150" s="14"/>
      <c r="H150" s="14"/>
      <c r="I150" s="14"/>
      <c r="J150" s="14"/>
      <c r="K150" s="170"/>
      <c r="L150" s="170"/>
      <c r="M150" s="170"/>
      <c r="N150" s="170"/>
      <c r="AE150" t="str">
        <f>_xlfn.SINGLE(IF(FAS_Centralized[[#This Row],[SKU]]&lt;&gt;P150,"XXXX MISMATCH XXXX",""))</f>
        <v/>
      </c>
      <c r="AF150" s="185">
        <f>+FAS_Centralized[[#This Row],[Count for Dashboard]]-AC150</f>
        <v>0</v>
      </c>
    </row>
    <row r="151" spans="1:32">
      <c r="A151" s="14"/>
      <c r="B151" s="14"/>
      <c r="C151" s="14"/>
      <c r="D151" s="14"/>
      <c r="E151" s="14"/>
      <c r="F151" s="14"/>
      <c r="G151" s="14"/>
      <c r="H151" s="14"/>
      <c r="I151" s="14"/>
      <c r="J151" s="14"/>
      <c r="K151" s="170"/>
      <c r="L151" s="170"/>
      <c r="M151" s="170"/>
      <c r="N151" s="170"/>
      <c r="AE151" t="str">
        <f>_xlfn.SINGLE(IF(FAS_Centralized[[#This Row],[SKU]]&lt;&gt;P151,"XXXX MISMATCH XXXX",""))</f>
        <v/>
      </c>
      <c r="AF151" s="185">
        <f>+FAS_Centralized[[#This Row],[Count for Dashboard]]-AC151</f>
        <v>0</v>
      </c>
    </row>
    <row r="152" spans="1:32">
      <c r="A152" s="14"/>
      <c r="B152" s="14"/>
      <c r="C152" s="14"/>
      <c r="D152" s="14"/>
      <c r="E152" s="14"/>
      <c r="F152" s="14"/>
      <c r="G152" s="14"/>
      <c r="H152" s="14"/>
      <c r="I152" s="14"/>
      <c r="J152" s="14"/>
      <c r="K152" s="170"/>
      <c r="L152" s="170"/>
      <c r="M152" s="170"/>
      <c r="N152" s="170"/>
      <c r="AE152" t="str">
        <f>_xlfn.SINGLE(IF(FAS_Centralized[[#This Row],[SKU]]&lt;&gt;P152,"XXXX MISMATCH XXXX",""))</f>
        <v/>
      </c>
      <c r="AF152" s="185">
        <f>+FAS_Centralized[[#This Row],[Count for Dashboard]]-AC152</f>
        <v>0</v>
      </c>
    </row>
    <row r="153" spans="1:32">
      <c r="A153" s="14"/>
      <c r="B153" s="14"/>
      <c r="C153" s="14"/>
      <c r="D153" s="14"/>
      <c r="E153" s="14"/>
      <c r="F153" s="14"/>
      <c r="G153" s="14"/>
      <c r="H153" s="14"/>
      <c r="I153" s="14"/>
      <c r="J153" s="14"/>
      <c r="K153" s="170"/>
      <c r="L153" s="170"/>
      <c r="M153" s="170"/>
      <c r="N153" s="170"/>
      <c r="AE153" t="str">
        <f>_xlfn.SINGLE(IF(FAS_Centralized[[#This Row],[SKU]]&lt;&gt;P153,"XXXX MISMATCH XXXX",""))</f>
        <v/>
      </c>
      <c r="AF153" s="185">
        <f>+FAS_Centralized[[#This Row],[Count for Dashboard]]-AC153</f>
        <v>0</v>
      </c>
    </row>
    <row r="154" spans="1:32">
      <c r="A154" s="14"/>
      <c r="B154" s="14"/>
      <c r="C154" s="14"/>
      <c r="D154" s="14"/>
      <c r="E154" s="14"/>
      <c r="F154" s="14"/>
      <c r="G154" s="14"/>
      <c r="H154" s="14"/>
      <c r="I154" s="14"/>
      <c r="J154" s="14"/>
      <c r="K154" s="170"/>
      <c r="L154" s="170"/>
      <c r="M154" s="170"/>
      <c r="N154" s="170"/>
      <c r="AE154" t="str">
        <f>_xlfn.SINGLE(IF(FAS_Centralized[[#This Row],[SKU]]&lt;&gt;P154,"XXXX MISMATCH XXXX",""))</f>
        <v/>
      </c>
      <c r="AF154" s="185">
        <f>+FAS_Centralized[[#This Row],[Count for Dashboard]]-AC154</f>
        <v>0</v>
      </c>
    </row>
    <row r="155" spans="1:32">
      <c r="A155" s="14"/>
      <c r="B155" s="14"/>
      <c r="C155" s="14"/>
      <c r="D155" s="14"/>
      <c r="E155" s="14"/>
      <c r="F155" s="14"/>
      <c r="G155" s="14"/>
      <c r="H155" s="14"/>
      <c r="I155" s="14"/>
      <c r="J155" s="14"/>
      <c r="K155" s="170"/>
      <c r="L155" s="170"/>
      <c r="M155" s="170"/>
      <c r="N155" s="170"/>
      <c r="AE155" t="str">
        <f>_xlfn.SINGLE(IF(FAS_Centralized[[#This Row],[SKU]]&lt;&gt;P155,"XXXX MISMATCH XXXX",""))</f>
        <v/>
      </c>
      <c r="AF155" s="185">
        <f>+FAS_Centralized[[#This Row],[Count for Dashboard]]-AC155</f>
        <v>0</v>
      </c>
    </row>
    <row r="156" spans="1:32">
      <c r="A156" s="14"/>
      <c r="B156" s="14"/>
      <c r="C156" s="14"/>
      <c r="D156" s="14"/>
      <c r="E156" s="14"/>
      <c r="F156" s="14"/>
      <c r="G156" s="14"/>
      <c r="H156" s="14"/>
      <c r="I156" s="14"/>
      <c r="J156" s="14"/>
      <c r="K156" s="170"/>
      <c r="L156" s="170"/>
      <c r="M156" s="170"/>
      <c r="N156" s="170"/>
      <c r="AE156" t="str">
        <f>_xlfn.SINGLE(IF(FAS_Centralized[[#This Row],[SKU]]&lt;&gt;P156,"XXXX MISMATCH XXXX",""))</f>
        <v/>
      </c>
      <c r="AF156" s="185">
        <f>+FAS_Centralized[[#This Row],[Count for Dashboard]]-AC156</f>
        <v>0</v>
      </c>
    </row>
    <row r="157" spans="1:32">
      <c r="A157" s="14"/>
      <c r="B157" s="14"/>
      <c r="C157" s="14"/>
      <c r="D157" s="14"/>
      <c r="E157" s="14"/>
      <c r="F157" s="14"/>
      <c r="G157" s="14"/>
      <c r="H157" s="14"/>
      <c r="I157" s="14"/>
      <c r="J157" s="14"/>
      <c r="K157" s="170"/>
      <c r="L157" s="170"/>
      <c r="M157" s="170"/>
      <c r="N157" s="170"/>
      <c r="AE157" t="str">
        <f>_xlfn.SINGLE(IF(FAS_Centralized[[#This Row],[SKU]]&lt;&gt;P157,"XXXX MISMATCH XXXX",""))</f>
        <v/>
      </c>
      <c r="AF157" s="185">
        <f>+FAS_Centralized[[#This Row],[Count for Dashboard]]-AC157</f>
        <v>0</v>
      </c>
    </row>
    <row r="158" spans="1:32">
      <c r="A158" s="14"/>
      <c r="B158" s="14"/>
      <c r="C158" s="14"/>
      <c r="D158" s="14"/>
      <c r="E158" s="14"/>
      <c r="F158" s="14"/>
      <c r="G158" s="14"/>
      <c r="H158" s="14"/>
      <c r="I158" s="14"/>
      <c r="J158" s="14"/>
      <c r="K158" s="170"/>
      <c r="L158" s="170"/>
      <c r="M158" s="170"/>
      <c r="N158" s="170"/>
      <c r="AE158" t="str">
        <f>_xlfn.SINGLE(IF(FAS_Centralized[[#This Row],[SKU]]&lt;&gt;P158,"XXXX MISMATCH XXXX",""))</f>
        <v/>
      </c>
      <c r="AF158" s="185">
        <f>+FAS_Centralized[[#This Row],[Count for Dashboard]]-AC158</f>
        <v>0</v>
      </c>
    </row>
    <row r="159" spans="1:32">
      <c r="A159" s="14"/>
      <c r="B159" s="14"/>
      <c r="C159" s="14"/>
      <c r="D159" s="14"/>
      <c r="E159" s="14"/>
      <c r="F159" s="14"/>
      <c r="G159" s="14"/>
      <c r="H159" s="14"/>
      <c r="I159" s="14"/>
      <c r="J159" s="14"/>
      <c r="K159" s="170"/>
      <c r="L159" s="170"/>
      <c r="M159" s="170"/>
      <c r="N159" s="170"/>
      <c r="AE159" t="str">
        <f>_xlfn.SINGLE(IF(FAS_Centralized[[#This Row],[SKU]]&lt;&gt;P159,"XXXX MISMATCH XXXX",""))</f>
        <v/>
      </c>
      <c r="AF159" s="185">
        <f>+FAS_Centralized[[#This Row],[Count for Dashboard]]-AC159</f>
        <v>0</v>
      </c>
    </row>
    <row r="160" spans="1:32">
      <c r="A160" s="14"/>
      <c r="B160" s="14"/>
      <c r="C160" s="14"/>
      <c r="D160" s="14"/>
      <c r="E160" s="14"/>
      <c r="F160" s="14"/>
      <c r="G160" s="14"/>
      <c r="H160" s="14"/>
      <c r="I160" s="14"/>
      <c r="J160" s="14"/>
      <c r="K160" s="170"/>
      <c r="L160" s="170"/>
      <c r="M160" s="170"/>
      <c r="N160" s="170"/>
      <c r="AE160" t="str">
        <f>_xlfn.SINGLE(IF(FAS_Centralized[[#This Row],[SKU]]&lt;&gt;P160,"XXXX MISMATCH XXXX",""))</f>
        <v/>
      </c>
      <c r="AF160" s="185">
        <f>+FAS_Centralized[[#This Row],[Count for Dashboard]]-AC160</f>
        <v>0</v>
      </c>
    </row>
    <row r="161" spans="1:32">
      <c r="A161" s="14"/>
      <c r="B161" s="14"/>
      <c r="C161" s="14"/>
      <c r="D161" s="14"/>
      <c r="E161" s="14"/>
      <c r="F161" s="14"/>
      <c r="G161" s="14"/>
      <c r="H161" s="14"/>
      <c r="I161" s="14"/>
      <c r="J161" s="14"/>
      <c r="K161" s="170"/>
      <c r="L161" s="170"/>
      <c r="M161" s="170"/>
      <c r="N161" s="170"/>
      <c r="AE161" t="str">
        <f>_xlfn.SINGLE(IF(FAS_Centralized[[#This Row],[SKU]]&lt;&gt;P161,"XXXX MISMATCH XXXX",""))</f>
        <v/>
      </c>
      <c r="AF161" s="185">
        <f>+FAS_Centralized[[#This Row],[Count for Dashboard]]-AC161</f>
        <v>0</v>
      </c>
    </row>
    <row r="162" spans="1:32">
      <c r="A162" s="14"/>
      <c r="B162" s="14"/>
      <c r="C162" s="14"/>
      <c r="D162" s="14"/>
      <c r="E162" s="14"/>
      <c r="F162" s="14"/>
      <c r="G162" s="14"/>
      <c r="H162" s="14"/>
      <c r="I162" s="14"/>
      <c r="J162" s="14"/>
      <c r="K162" s="170"/>
      <c r="L162" s="170"/>
      <c r="M162" s="170"/>
      <c r="N162" s="170"/>
      <c r="AE162" t="str">
        <f>_xlfn.SINGLE(IF(FAS_Centralized[[#This Row],[SKU]]&lt;&gt;P162,"XXXX MISMATCH XXXX",""))</f>
        <v/>
      </c>
      <c r="AF162" s="185">
        <f>+FAS_Centralized[[#This Row],[Count for Dashboard]]-AC162</f>
        <v>0</v>
      </c>
    </row>
    <row r="163" spans="1:32">
      <c r="AE163" t="e">
        <f>_xlfn.SINGLE(IF(FAS_Centralized[[#This Row],[SKU]]&lt;&gt;P163,"XXXX MISMATCH XXXX",""))</f>
        <v>#VALUE!</v>
      </c>
      <c r="AF163" s="185" t="e">
        <f>+FAS_Centralized[[#This Row],[Count for Dashboard]]-AC163</f>
        <v>#VALUE!</v>
      </c>
    </row>
    <row r="164" spans="1:32">
      <c r="AE164" t="e">
        <f>_xlfn.SINGLE(IF(FAS_Centralized[[#This Row],[SKU]]&lt;&gt;P164,"XXXX MISMATCH XXXX",""))</f>
        <v>#VALUE!</v>
      </c>
      <c r="AF164" s="185" t="e">
        <f>+FAS_Centralized[[#This Row],[Count for Dashboard]]-AC164</f>
        <v>#VALUE!</v>
      </c>
    </row>
    <row r="165" spans="1:32">
      <c r="AE165" t="e">
        <f>_xlfn.SINGLE(IF(FAS_Centralized[[#This Row],[SKU]]&lt;&gt;P165,"XXXX MISMATCH XXXX",""))</f>
        <v>#VALUE!</v>
      </c>
      <c r="AF165" s="185" t="e">
        <f>+FAS_Centralized[[#This Row],[Count for Dashboard]]-AC165</f>
        <v>#VALUE!</v>
      </c>
    </row>
  </sheetData>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B4126-CBD3-49F2-84CF-57D58F6382B5}">
  <sheetPr codeName="Sheet4"/>
  <dimension ref="A1:P242"/>
  <sheetViews>
    <sheetView zoomScaleNormal="100" workbookViewId="0"/>
  </sheetViews>
  <sheetFormatPr baseColWidth="10" defaultColWidth="8.83203125" defaultRowHeight="15"/>
  <cols>
    <col min="1" max="1" width="8.33203125" customWidth="1"/>
    <col min="2" max="2" width="35" bestFit="1" customWidth="1"/>
    <col min="3" max="3" width="7.5" bestFit="1" customWidth="1"/>
    <col min="4" max="4" width="6.33203125" customWidth="1"/>
    <col min="5" max="5" width="18.33203125" customWidth="1"/>
    <col min="6" max="7" width="15.33203125" customWidth="1"/>
    <col min="8" max="8" width="19.6640625" customWidth="1"/>
    <col min="9" max="9" width="55.5" style="143" customWidth="1"/>
    <col min="10" max="10" width="16.83203125" customWidth="1"/>
    <col min="11" max="11" width="11.5" customWidth="1"/>
    <col min="12" max="12" width="23.5" customWidth="1"/>
    <col min="13" max="13" width="13.33203125" customWidth="1"/>
    <col min="14" max="14" width="10.1640625" style="3" customWidth="1"/>
    <col min="15" max="16" width="8.83203125" customWidth="1"/>
  </cols>
  <sheetData>
    <row r="1" spans="1:16">
      <c r="A1" s="28" t="s">
        <v>23</v>
      </c>
      <c r="B1" s="28" t="s">
        <v>2915</v>
      </c>
      <c r="H1" s="10">
        <f>SUMIF('Employees Supported'!$A$2:$A$29,$A1,'Employees Supported'!$C$2:$C$29)</f>
        <v>12989</v>
      </c>
      <c r="M1" s="37"/>
      <c r="N1" s="39" t="s">
        <v>2916</v>
      </c>
      <c r="O1" s="10" t="s">
        <v>2917</v>
      </c>
    </row>
    <row r="2" spans="1:16">
      <c r="A2" s="29" t="s">
        <v>2651</v>
      </c>
      <c r="B2" s="29" t="s">
        <v>53</v>
      </c>
      <c r="C2" s="29" t="s">
        <v>22</v>
      </c>
      <c r="D2" s="30" t="s">
        <v>2678</v>
      </c>
      <c r="E2" s="30" t="s">
        <v>2918</v>
      </c>
      <c r="F2" s="30" t="s">
        <v>2919</v>
      </c>
      <c r="G2" s="30" t="s">
        <v>2920</v>
      </c>
      <c r="H2" s="30" t="s">
        <v>2921</v>
      </c>
      <c r="J2" s="31" t="s">
        <v>2662</v>
      </c>
      <c r="K2" s="31" t="s">
        <v>2922</v>
      </c>
      <c r="M2" t="s">
        <v>2923</v>
      </c>
      <c r="N2" s="3">
        <v>7500</v>
      </c>
      <c r="O2" s="3"/>
    </row>
    <row r="3" spans="1:16" ht="16">
      <c r="A3" s="2">
        <v>1</v>
      </c>
      <c r="B3" t="s">
        <v>66</v>
      </c>
      <c r="C3" s="2" t="s">
        <v>67</v>
      </c>
      <c r="D3" s="2" t="s">
        <v>2678</v>
      </c>
      <c r="E3" s="3">
        <f t="shared" ref="E3:E8" si="0">(5/90)*H3</f>
        <v>64945</v>
      </c>
      <c r="F3" s="3">
        <f t="shared" ref="F3:F8" si="1">(14/90)*H3</f>
        <v>181846</v>
      </c>
      <c r="G3" s="3">
        <f t="shared" ref="G3:G18" si="2">(60/90)*H3</f>
        <v>779340</v>
      </c>
      <c r="H3" s="53">
        <f>90*H1</f>
        <v>1169010</v>
      </c>
      <c r="I3" s="143" t="s">
        <v>2665</v>
      </c>
      <c r="J3" s="127">
        <f>SUM(H3)/90</f>
        <v>12989</v>
      </c>
      <c r="K3" s="33"/>
      <c r="L3" t="s">
        <v>2924</v>
      </c>
      <c r="M3" t="s">
        <v>27</v>
      </c>
      <c r="N3" s="3">
        <v>400</v>
      </c>
      <c r="O3" s="3"/>
    </row>
    <row r="4" spans="1:16" ht="32">
      <c r="A4" s="2">
        <v>2</v>
      </c>
      <c r="B4" t="s">
        <v>68</v>
      </c>
      <c r="C4" s="2" t="s">
        <v>67</v>
      </c>
      <c r="D4" s="2" t="s">
        <v>2678</v>
      </c>
      <c r="E4" s="3">
        <f t="shared" si="0"/>
        <v>324835</v>
      </c>
      <c r="F4" s="3">
        <f t="shared" si="1"/>
        <v>909538</v>
      </c>
      <c r="G4" s="3">
        <f t="shared" si="2"/>
        <v>3898020</v>
      </c>
      <c r="H4" s="53">
        <f>(270*H1)+(26000*90)</f>
        <v>5847030</v>
      </c>
      <c r="I4" s="126" t="s">
        <v>2925</v>
      </c>
      <c r="J4" s="127">
        <f t="shared" ref="J4:J21" si="3">SUM(H4)/90</f>
        <v>64967</v>
      </c>
      <c r="K4" s="33">
        <v>3</v>
      </c>
      <c r="L4" t="s">
        <v>2926</v>
      </c>
      <c r="M4" t="s">
        <v>28</v>
      </c>
      <c r="N4" s="54">
        <v>1100</v>
      </c>
      <c r="O4" s="3">
        <v>550</v>
      </c>
      <c r="P4" t="s">
        <v>2927</v>
      </c>
    </row>
    <row r="5" spans="1:16" ht="16">
      <c r="A5" s="2">
        <v>3</v>
      </c>
      <c r="B5" t="s">
        <v>70</v>
      </c>
      <c r="C5" s="2" t="s">
        <v>71</v>
      </c>
      <c r="D5" s="2" t="s">
        <v>2678</v>
      </c>
      <c r="E5" s="3">
        <f t="shared" si="0"/>
        <v>194835</v>
      </c>
      <c r="F5" s="3">
        <f t="shared" si="1"/>
        <v>545538</v>
      </c>
      <c r="G5" s="3">
        <f t="shared" si="2"/>
        <v>2338020</v>
      </c>
      <c r="H5" s="53">
        <f>270*H1</f>
        <v>3507030</v>
      </c>
      <c r="I5" s="143" t="s">
        <v>2667</v>
      </c>
      <c r="J5" s="127">
        <f t="shared" si="3"/>
        <v>38967</v>
      </c>
      <c r="K5" s="33">
        <f>J5</f>
        <v>38967</v>
      </c>
      <c r="L5" t="s">
        <v>2928</v>
      </c>
      <c r="M5" t="s">
        <v>2929</v>
      </c>
      <c r="N5" s="54" t="s">
        <v>2678</v>
      </c>
      <c r="O5" s="3">
        <v>1000</v>
      </c>
    </row>
    <row r="6" spans="1:16" ht="16">
      <c r="A6" s="2">
        <v>4</v>
      </c>
      <c r="B6" t="s">
        <v>72</v>
      </c>
      <c r="C6" s="2" t="s">
        <v>71</v>
      </c>
      <c r="D6" s="2" t="s">
        <v>2678</v>
      </c>
      <c r="E6" s="3">
        <f t="shared" si="0"/>
        <v>194835</v>
      </c>
      <c r="F6" s="3">
        <f t="shared" si="1"/>
        <v>545538</v>
      </c>
      <c r="G6" s="3">
        <f t="shared" si="2"/>
        <v>2338020</v>
      </c>
      <c r="H6" s="53">
        <f>270*H1</f>
        <v>3507030</v>
      </c>
      <c r="I6" s="143" t="s">
        <v>2668</v>
      </c>
      <c r="J6" s="127">
        <f t="shared" si="3"/>
        <v>38967</v>
      </c>
      <c r="K6" s="33">
        <f>J6</f>
        <v>38967</v>
      </c>
      <c r="L6" t="s">
        <v>2928</v>
      </c>
      <c r="M6" t="s">
        <v>29</v>
      </c>
      <c r="N6" s="3">
        <v>550</v>
      </c>
      <c r="O6" s="3"/>
    </row>
    <row r="7" spans="1:16" ht="16">
      <c r="A7" s="2">
        <v>5</v>
      </c>
      <c r="B7" t="s">
        <v>2669</v>
      </c>
      <c r="C7" s="2" t="s">
        <v>67</v>
      </c>
      <c r="D7" s="2" t="s">
        <v>2678</v>
      </c>
      <c r="E7" s="3">
        <f t="shared" si="0"/>
        <v>5000</v>
      </c>
      <c r="F7" s="3">
        <f t="shared" si="1"/>
        <v>14000</v>
      </c>
      <c r="G7" s="3">
        <f t="shared" si="2"/>
        <v>60000</v>
      </c>
      <c r="H7" s="53">
        <f>1000*90</f>
        <v>90000</v>
      </c>
      <c r="I7" s="143" t="s">
        <v>2670</v>
      </c>
      <c r="J7" s="127">
        <f t="shared" si="3"/>
        <v>1000</v>
      </c>
      <c r="K7" s="33"/>
    </row>
    <row r="8" spans="1:16" ht="16">
      <c r="A8" s="2">
        <v>6</v>
      </c>
      <c r="B8" t="s">
        <v>78</v>
      </c>
      <c r="C8" s="2" t="s">
        <v>79</v>
      </c>
      <c r="D8" s="2" t="s">
        <v>2678</v>
      </c>
      <c r="E8" s="3">
        <f t="shared" si="0"/>
        <v>2164.833333333333</v>
      </c>
      <c r="F8" s="3">
        <f t="shared" si="1"/>
        <v>6061.5333333333338</v>
      </c>
      <c r="G8" s="3">
        <f t="shared" si="2"/>
        <v>25978</v>
      </c>
      <c r="H8" s="53">
        <f>3*H1</f>
        <v>38967</v>
      </c>
      <c r="I8" s="143" t="s">
        <v>2671</v>
      </c>
      <c r="J8" s="127">
        <f t="shared" si="3"/>
        <v>432.96666666666664</v>
      </c>
      <c r="K8" s="33">
        <f>J8*75</f>
        <v>32472.499999999996</v>
      </c>
      <c r="L8" t="s">
        <v>2930</v>
      </c>
      <c r="M8" t="s">
        <v>24</v>
      </c>
      <c r="N8" s="3">
        <v>1100</v>
      </c>
      <c r="O8" s="3"/>
    </row>
    <row r="9" spans="1:16" ht="16">
      <c r="A9" s="2">
        <v>7</v>
      </c>
      <c r="B9" t="s">
        <v>80</v>
      </c>
      <c r="C9" s="2" t="s">
        <v>81</v>
      </c>
      <c r="D9" s="2" t="s">
        <v>2678</v>
      </c>
      <c r="E9" s="3">
        <f>(60/90)*F9</f>
        <v>11545.777777777776</v>
      </c>
      <c r="F9" s="3">
        <f>(60/90)*G9</f>
        <v>17318.666666666664</v>
      </c>
      <c r="G9" s="3">
        <f t="shared" si="2"/>
        <v>25978</v>
      </c>
      <c r="H9" s="53">
        <f>3*H1</f>
        <v>38967</v>
      </c>
      <c r="I9" s="143" t="s">
        <v>2672</v>
      </c>
      <c r="J9" s="127">
        <f t="shared" si="3"/>
        <v>432.96666666666664</v>
      </c>
      <c r="K9" s="2">
        <v>3</v>
      </c>
      <c r="L9" t="s">
        <v>2931</v>
      </c>
    </row>
    <row r="10" spans="1:16" ht="16">
      <c r="A10" s="2">
        <v>8</v>
      </c>
      <c r="B10" t="s">
        <v>2932</v>
      </c>
      <c r="C10" s="2" t="s">
        <v>83</v>
      </c>
      <c r="D10" s="2" t="s">
        <v>2678</v>
      </c>
      <c r="E10" s="3">
        <f>(5/90)*H10</f>
        <v>2886.4444444444443</v>
      </c>
      <c r="F10" s="3">
        <f>(14/90)*H10</f>
        <v>8082.0444444444447</v>
      </c>
      <c r="G10" s="3">
        <f t="shared" si="2"/>
        <v>34637.333333333328</v>
      </c>
      <c r="H10" s="53">
        <f>4*H1</f>
        <v>51956</v>
      </c>
      <c r="I10" s="143" t="s">
        <v>2673</v>
      </c>
      <c r="J10" s="127">
        <f t="shared" si="3"/>
        <v>577.28888888888889</v>
      </c>
      <c r="K10" s="33">
        <f>J10*12</f>
        <v>6927.4666666666672</v>
      </c>
      <c r="L10" t="s">
        <v>2933</v>
      </c>
      <c r="M10" t="s">
        <v>32</v>
      </c>
      <c r="N10" s="54" t="s">
        <v>2678</v>
      </c>
      <c r="O10" s="3">
        <v>400</v>
      </c>
    </row>
    <row r="11" spans="1:16">
      <c r="A11" s="2">
        <v>9</v>
      </c>
      <c r="B11" t="s">
        <v>84</v>
      </c>
      <c r="C11" s="2" t="s">
        <v>85</v>
      </c>
      <c r="D11" s="2" t="s">
        <v>2678</v>
      </c>
      <c r="E11" s="3">
        <f>(5/90)*H11</f>
        <v>208.33333333333331</v>
      </c>
      <c r="F11" s="3">
        <f>(14/90)*H11</f>
        <v>583.33333333333337</v>
      </c>
      <c r="G11" s="3">
        <f t="shared" si="2"/>
        <v>2500</v>
      </c>
      <c r="H11" s="53">
        <v>3750</v>
      </c>
      <c r="J11" s="127">
        <f t="shared" si="3"/>
        <v>41.666666666666664</v>
      </c>
      <c r="K11" s="33">
        <f>4*J11*29.57</f>
        <v>4928.333333333333</v>
      </c>
      <c r="L11" t="s">
        <v>2933</v>
      </c>
      <c r="M11" t="s">
        <v>2934</v>
      </c>
      <c r="N11" s="3">
        <v>700</v>
      </c>
      <c r="O11" s="3"/>
    </row>
    <row r="12" spans="1:16" ht="16">
      <c r="A12" s="2">
        <v>10</v>
      </c>
      <c r="B12" t="s">
        <v>89</v>
      </c>
      <c r="C12" s="2" t="s">
        <v>67</v>
      </c>
      <c r="D12" s="2" t="s">
        <v>2678</v>
      </c>
      <c r="E12" s="3">
        <f>(60/90)*F12</f>
        <v>88.888888888888872</v>
      </c>
      <c r="F12" s="3">
        <f>(60/90)*G12</f>
        <v>133.33333333333331</v>
      </c>
      <c r="G12" s="3">
        <f t="shared" si="2"/>
        <v>200</v>
      </c>
      <c r="H12" s="53">
        <v>300</v>
      </c>
      <c r="I12" s="143" t="s">
        <v>2674</v>
      </c>
      <c r="J12" s="127">
        <f t="shared" si="3"/>
        <v>3.3333333333333335</v>
      </c>
    </row>
    <row r="13" spans="1:16" ht="16">
      <c r="A13" s="2">
        <v>11</v>
      </c>
      <c r="B13" t="s">
        <v>2935</v>
      </c>
      <c r="C13" s="2" t="s">
        <v>83</v>
      </c>
      <c r="D13" s="2" t="s">
        <v>2678</v>
      </c>
      <c r="E13" s="3">
        <f>(60/90)*F13</f>
        <v>23091.555555555551</v>
      </c>
      <c r="F13" s="3">
        <f>(60/90)*G13</f>
        <v>34637.333333333328</v>
      </c>
      <c r="G13" s="3">
        <f t="shared" si="2"/>
        <v>51956</v>
      </c>
      <c r="H13" s="53">
        <f>6*H1</f>
        <v>77934</v>
      </c>
      <c r="I13" s="143" t="s">
        <v>2675</v>
      </c>
      <c r="J13" s="127">
        <f t="shared" si="3"/>
        <v>865.93333333333328</v>
      </c>
    </row>
    <row r="14" spans="1:16" ht="16">
      <c r="A14" s="2">
        <v>12</v>
      </c>
      <c r="B14" t="s">
        <v>93</v>
      </c>
      <c r="C14" s="2" t="s">
        <v>83</v>
      </c>
      <c r="D14" s="2" t="s">
        <v>2678</v>
      </c>
      <c r="E14" s="3">
        <f>(5/90)*H14</f>
        <v>2886.4444444444443</v>
      </c>
      <c r="F14" s="3">
        <f>(14/90)*H14</f>
        <v>8082.0444444444447</v>
      </c>
      <c r="G14" s="3">
        <f t="shared" si="2"/>
        <v>34637.333333333328</v>
      </c>
      <c r="H14" s="53">
        <f>4*H1</f>
        <v>51956</v>
      </c>
      <c r="I14" s="143" t="s">
        <v>2673</v>
      </c>
      <c r="J14" s="127">
        <f t="shared" si="3"/>
        <v>577.28888888888889</v>
      </c>
      <c r="K14" s="33">
        <f>J14*12</f>
        <v>6927.4666666666672</v>
      </c>
      <c r="L14" t="s">
        <v>2933</v>
      </c>
      <c r="M14" t="s">
        <v>26</v>
      </c>
      <c r="N14" s="3">
        <v>400</v>
      </c>
      <c r="O14" s="3"/>
    </row>
    <row r="15" spans="1:16" ht="16">
      <c r="A15" s="2">
        <v>13</v>
      </c>
      <c r="B15" t="s">
        <v>75</v>
      </c>
      <c r="C15" s="2" t="s">
        <v>67</v>
      </c>
      <c r="D15" s="2" t="s">
        <v>2678</v>
      </c>
      <c r="E15" s="3">
        <f>(5/90)*H15</f>
        <v>33.333333333333329</v>
      </c>
      <c r="F15" s="3">
        <f>(14/90)*H15</f>
        <v>93.333333333333329</v>
      </c>
      <c r="G15" s="3">
        <f t="shared" si="2"/>
        <v>400</v>
      </c>
      <c r="H15" s="53">
        <v>600</v>
      </c>
      <c r="I15" s="143" t="s">
        <v>2676</v>
      </c>
      <c r="J15" s="127">
        <f t="shared" si="3"/>
        <v>6.666666666666667</v>
      </c>
      <c r="K15" s="33"/>
    </row>
    <row r="16" spans="1:16" ht="16">
      <c r="A16" s="2">
        <v>14</v>
      </c>
      <c r="B16" t="s">
        <v>74</v>
      </c>
      <c r="C16" s="2" t="s">
        <v>67</v>
      </c>
      <c r="D16" s="2" t="s">
        <v>2678</v>
      </c>
      <c r="E16" s="3">
        <f>(5/90)*H16</f>
        <v>33.333333333333329</v>
      </c>
      <c r="F16" s="3">
        <f>(14/90)*H16</f>
        <v>93.333333333333329</v>
      </c>
      <c r="G16" s="3">
        <f t="shared" si="2"/>
        <v>400</v>
      </c>
      <c r="H16" s="53">
        <v>600</v>
      </c>
      <c r="I16" s="143" t="s">
        <v>2676</v>
      </c>
      <c r="J16" s="127">
        <f t="shared" si="3"/>
        <v>6.666666666666667</v>
      </c>
      <c r="K16" s="33"/>
    </row>
    <row r="17" spans="1:15" ht="16">
      <c r="A17" s="2">
        <v>15</v>
      </c>
      <c r="B17" t="s">
        <v>94</v>
      </c>
      <c r="C17" s="2" t="s">
        <v>85</v>
      </c>
      <c r="D17" s="2" t="s">
        <v>2678</v>
      </c>
      <c r="E17" s="3">
        <f>(5/90)*H17</f>
        <v>2164.833333333333</v>
      </c>
      <c r="F17" s="3">
        <f>(14/90)*H17</f>
        <v>6061.5333333333338</v>
      </c>
      <c r="G17" s="3">
        <f t="shared" si="2"/>
        <v>25978</v>
      </c>
      <c r="H17" s="53">
        <f>3*H1</f>
        <v>38967</v>
      </c>
      <c r="I17" s="143" t="s">
        <v>2677</v>
      </c>
      <c r="J17" s="127">
        <f t="shared" si="3"/>
        <v>432.96666666666664</v>
      </c>
      <c r="K17" s="33">
        <f>J17*100</f>
        <v>43296.666666666664</v>
      </c>
      <c r="L17" t="s">
        <v>2936</v>
      </c>
      <c r="M17" t="s">
        <v>25</v>
      </c>
      <c r="N17" s="54">
        <v>1300</v>
      </c>
      <c r="O17" s="3">
        <v>1500</v>
      </c>
    </row>
    <row r="18" spans="1:15" ht="32">
      <c r="A18" s="2">
        <v>16</v>
      </c>
      <c r="B18" t="s">
        <v>267</v>
      </c>
      <c r="C18" s="2" t="s">
        <v>67</v>
      </c>
      <c r="D18" s="2" t="s">
        <v>2678</v>
      </c>
      <c r="E18" s="3">
        <f>(5/90)*H18</f>
        <v>2887.0555555555552</v>
      </c>
      <c r="F18" s="3">
        <f>(14/90)*H18</f>
        <v>8083.7555555555555</v>
      </c>
      <c r="G18" s="3">
        <f t="shared" si="2"/>
        <v>34644.666666666664</v>
      </c>
      <c r="H18" s="53">
        <f>(H1*3)+13000</f>
        <v>51967</v>
      </c>
      <c r="I18" s="143" t="s">
        <v>2937</v>
      </c>
      <c r="J18" s="127">
        <f t="shared" si="3"/>
        <v>577.41111111111115</v>
      </c>
      <c r="K18" s="33">
        <f>J18*200</f>
        <v>115482.22222222223</v>
      </c>
      <c r="L18" t="s">
        <v>2938</v>
      </c>
      <c r="M18" t="s">
        <v>30</v>
      </c>
      <c r="N18" s="3">
        <v>300</v>
      </c>
      <c r="O18" s="3"/>
    </row>
    <row r="19" spans="1:15" ht="16">
      <c r="A19" s="2">
        <v>17</v>
      </c>
      <c r="B19" t="s">
        <v>77</v>
      </c>
      <c r="C19" s="2" t="s">
        <v>67</v>
      </c>
      <c r="D19" s="2" t="s">
        <v>2678</v>
      </c>
      <c r="E19" s="53" t="s">
        <v>2939</v>
      </c>
      <c r="F19" s="53" t="s">
        <v>2939</v>
      </c>
      <c r="G19" s="53" t="s">
        <v>2939</v>
      </c>
      <c r="H19" s="53" t="s">
        <v>2939</v>
      </c>
      <c r="I19" s="143" t="s">
        <v>2680</v>
      </c>
      <c r="J19" s="127">
        <f t="shared" si="3"/>
        <v>0</v>
      </c>
    </row>
    <row r="20" spans="1:15" ht="16">
      <c r="A20" s="2">
        <v>18</v>
      </c>
      <c r="B20" t="s">
        <v>76</v>
      </c>
      <c r="C20" s="2" t="s">
        <v>67</v>
      </c>
      <c r="D20" s="2" t="s">
        <v>2678</v>
      </c>
      <c r="E20" s="53" t="s">
        <v>2939</v>
      </c>
      <c r="F20" s="53" t="s">
        <v>2939</v>
      </c>
      <c r="G20" s="53" t="s">
        <v>2939</v>
      </c>
      <c r="H20" s="53" t="s">
        <v>2939</v>
      </c>
      <c r="I20" s="143" t="s">
        <v>2680</v>
      </c>
      <c r="J20" s="127">
        <f t="shared" si="3"/>
        <v>0</v>
      </c>
    </row>
    <row r="21" spans="1:15" ht="16">
      <c r="A21" s="2">
        <v>19</v>
      </c>
      <c r="B21" t="s">
        <v>97</v>
      </c>
      <c r="C21" s="2" t="s">
        <v>98</v>
      </c>
      <c r="D21" s="2" t="s">
        <v>2678</v>
      </c>
      <c r="E21" s="3">
        <f>(5/90)*H21</f>
        <v>4329.6666666666661</v>
      </c>
      <c r="F21" s="3">
        <f>(14/90)*H21</f>
        <v>12123.066666666668</v>
      </c>
      <c r="G21" s="3">
        <f>(60/90)*H21</f>
        <v>51956</v>
      </c>
      <c r="H21" s="53">
        <f>6*H1</f>
        <v>77934</v>
      </c>
      <c r="I21" s="143" t="s">
        <v>2681</v>
      </c>
      <c r="J21" s="127">
        <f t="shared" si="3"/>
        <v>865.93333333333328</v>
      </c>
      <c r="K21" s="33"/>
      <c r="M21" t="s">
        <v>33</v>
      </c>
      <c r="N21" s="3">
        <v>1000</v>
      </c>
    </row>
    <row r="24" spans="1:15">
      <c r="A24" s="12" t="s">
        <v>25</v>
      </c>
      <c r="B24" s="12" t="s">
        <v>2940</v>
      </c>
      <c r="G24" s="10"/>
      <c r="H24" s="10">
        <f>SUMIF('Employees Supported'!$A$2:$A$29,$A24,'Employees Supported'!$C$2:$C$29)</f>
        <v>1500</v>
      </c>
    </row>
    <row r="25" spans="1:15">
      <c r="A25" s="29" t="s">
        <v>2651</v>
      </c>
      <c r="B25" s="29" t="s">
        <v>53</v>
      </c>
      <c r="C25" s="29" t="s">
        <v>22</v>
      </c>
      <c r="D25" s="30" t="s">
        <v>2678</v>
      </c>
      <c r="E25" s="30" t="s">
        <v>2918</v>
      </c>
      <c r="F25" s="30" t="s">
        <v>2919</v>
      </c>
      <c r="G25" s="30" t="s">
        <v>2920</v>
      </c>
      <c r="H25" s="30" t="s">
        <v>2921</v>
      </c>
      <c r="J25" s="31" t="s">
        <v>2941</v>
      </c>
      <c r="K25" s="31"/>
    </row>
    <row r="26" spans="1:15" ht="32">
      <c r="A26" s="2">
        <v>1</v>
      </c>
      <c r="B26" t="s">
        <v>66</v>
      </c>
      <c r="C26" s="2" t="s">
        <v>67</v>
      </c>
      <c r="D26" s="2" t="s">
        <v>2678</v>
      </c>
      <c r="E26" s="63">
        <f t="shared" ref="E26:E43" si="4">(5/90)*H26</f>
        <v>2000</v>
      </c>
      <c r="F26" s="63">
        <f t="shared" ref="F26:F43" si="5">(14/90)*H26</f>
        <v>5600</v>
      </c>
      <c r="G26" s="63">
        <f t="shared" ref="G26:G43" si="6">(60/90)*H26</f>
        <v>24000</v>
      </c>
      <c r="H26" s="63">
        <f>400*90</f>
        <v>36000</v>
      </c>
      <c r="I26" s="143" t="s">
        <v>2682</v>
      </c>
      <c r="J26" s="127">
        <f>SUM(H26)/90</f>
        <v>400</v>
      </c>
    </row>
    <row r="27" spans="1:15" ht="48">
      <c r="A27" s="2">
        <v>2</v>
      </c>
      <c r="B27" t="s">
        <v>68</v>
      </c>
      <c r="C27" s="2" t="s">
        <v>67</v>
      </c>
      <c r="D27" s="2" t="s">
        <v>2678</v>
      </c>
      <c r="E27" s="3">
        <f t="shared" si="4"/>
        <v>5000</v>
      </c>
      <c r="F27" s="3">
        <f t="shared" si="5"/>
        <v>14000</v>
      </c>
      <c r="G27" s="3">
        <f t="shared" si="6"/>
        <v>60000</v>
      </c>
      <c r="H27" s="3">
        <f>1000*90</f>
        <v>90000</v>
      </c>
      <c r="I27" s="143" t="s">
        <v>2683</v>
      </c>
      <c r="J27" s="127">
        <f t="shared" ref="J27:J44" si="7">SUM(H27)/90</f>
        <v>1000</v>
      </c>
    </row>
    <row r="28" spans="1:15" ht="32">
      <c r="A28" s="2">
        <v>3</v>
      </c>
      <c r="B28" t="s">
        <v>70</v>
      </c>
      <c r="C28" s="2" t="s">
        <v>71</v>
      </c>
      <c r="D28" s="2" t="s">
        <v>2678</v>
      </c>
      <c r="E28" s="63">
        <f t="shared" si="4"/>
        <v>4000</v>
      </c>
      <c r="F28" s="63">
        <f t="shared" si="5"/>
        <v>11200</v>
      </c>
      <c r="G28" s="63">
        <f t="shared" si="6"/>
        <v>48000</v>
      </c>
      <c r="H28" s="63">
        <f>16*50*90</f>
        <v>72000</v>
      </c>
      <c r="I28" s="143" t="s">
        <v>2684</v>
      </c>
      <c r="J28" s="127">
        <f t="shared" si="7"/>
        <v>800</v>
      </c>
    </row>
    <row r="29" spans="1:15" ht="32">
      <c r="A29" s="2">
        <v>4</v>
      </c>
      <c r="B29" t="s">
        <v>72</v>
      </c>
      <c r="C29" s="2" t="s">
        <v>71</v>
      </c>
      <c r="D29" s="2" t="s">
        <v>2678</v>
      </c>
      <c r="E29" s="63">
        <f t="shared" si="4"/>
        <v>2000</v>
      </c>
      <c r="F29" s="63">
        <f t="shared" si="5"/>
        <v>5600</v>
      </c>
      <c r="G29" s="63">
        <f t="shared" si="6"/>
        <v>24000</v>
      </c>
      <c r="H29" s="63">
        <f>8*50*90</f>
        <v>36000</v>
      </c>
      <c r="I29" s="143" t="s">
        <v>2685</v>
      </c>
      <c r="J29" s="127">
        <f t="shared" si="7"/>
        <v>400</v>
      </c>
    </row>
    <row r="30" spans="1:15" ht="32">
      <c r="A30" s="2">
        <v>5</v>
      </c>
      <c r="B30" t="s">
        <v>2669</v>
      </c>
      <c r="C30" s="2" t="s">
        <v>67</v>
      </c>
      <c r="D30" s="2" t="s">
        <v>2678</v>
      </c>
      <c r="E30" s="63">
        <f t="shared" si="4"/>
        <v>80</v>
      </c>
      <c r="F30" s="63">
        <f t="shared" si="5"/>
        <v>224</v>
      </c>
      <c r="G30" s="63">
        <f t="shared" si="6"/>
        <v>960</v>
      </c>
      <c r="H30" s="63">
        <f>16*90</f>
        <v>1440</v>
      </c>
      <c r="I30" s="143" t="s">
        <v>2686</v>
      </c>
      <c r="J30" s="127">
        <f t="shared" si="7"/>
        <v>16</v>
      </c>
    </row>
    <row r="31" spans="1:15" ht="16">
      <c r="A31" s="2">
        <v>6</v>
      </c>
      <c r="B31" t="s">
        <v>78</v>
      </c>
      <c r="C31" s="2" t="s">
        <v>79</v>
      </c>
      <c r="D31" s="2" t="s">
        <v>2678</v>
      </c>
      <c r="E31" s="63">
        <f t="shared" si="4"/>
        <v>5</v>
      </c>
      <c r="F31" s="63">
        <f t="shared" si="5"/>
        <v>14</v>
      </c>
      <c r="G31" s="63">
        <f t="shared" si="6"/>
        <v>60</v>
      </c>
      <c r="H31" s="63">
        <f>1*90</f>
        <v>90</v>
      </c>
      <c r="I31" s="143" t="s">
        <v>2687</v>
      </c>
      <c r="J31" s="127">
        <f t="shared" si="7"/>
        <v>1</v>
      </c>
    </row>
    <row r="32" spans="1:15" ht="16">
      <c r="A32" s="2">
        <v>7</v>
      </c>
      <c r="B32" t="s">
        <v>80</v>
      </c>
      <c r="C32" s="2" t="s">
        <v>81</v>
      </c>
      <c r="D32" s="2" t="s">
        <v>2678</v>
      </c>
      <c r="E32" s="64">
        <f t="shared" si="4"/>
        <v>3000</v>
      </c>
      <c r="F32" s="64">
        <f t="shared" si="5"/>
        <v>8400</v>
      </c>
      <c r="G32" s="64">
        <f t="shared" si="6"/>
        <v>36000</v>
      </c>
      <c r="H32" s="64">
        <f>75*8*90</f>
        <v>54000</v>
      </c>
      <c r="I32" s="143" t="s">
        <v>2688</v>
      </c>
      <c r="J32" s="127">
        <f t="shared" si="7"/>
        <v>600</v>
      </c>
    </row>
    <row r="33" spans="1:10" ht="48">
      <c r="A33" s="2">
        <v>8</v>
      </c>
      <c r="B33" t="s">
        <v>2932</v>
      </c>
      <c r="C33" s="2" t="s">
        <v>83</v>
      </c>
      <c r="D33" s="2" t="s">
        <v>2678</v>
      </c>
      <c r="E33" s="63">
        <f t="shared" si="4"/>
        <v>87.5</v>
      </c>
      <c r="F33" s="63">
        <f t="shared" si="5"/>
        <v>245</v>
      </c>
      <c r="G33" s="63">
        <f t="shared" si="6"/>
        <v>1050</v>
      </c>
      <c r="H33" s="63">
        <f>(4+(1*128/12)+(17*2/12))*90</f>
        <v>1575</v>
      </c>
      <c r="I33" s="143" t="s">
        <v>2942</v>
      </c>
      <c r="J33" s="127">
        <f t="shared" si="7"/>
        <v>17.5</v>
      </c>
    </row>
    <row r="34" spans="1:10" ht="16">
      <c r="A34" s="2">
        <v>9</v>
      </c>
      <c r="B34" t="s">
        <v>84</v>
      </c>
      <c r="C34" s="2" t="s">
        <v>85</v>
      </c>
      <c r="D34" s="2" t="s">
        <v>2678</v>
      </c>
      <c r="E34" s="55">
        <v>0</v>
      </c>
      <c r="F34" s="55">
        <v>0</v>
      </c>
      <c r="G34" s="55">
        <v>0</v>
      </c>
      <c r="H34" s="55">
        <v>0</v>
      </c>
      <c r="I34" s="143" t="s">
        <v>2690</v>
      </c>
      <c r="J34" s="127">
        <f t="shared" si="7"/>
        <v>0</v>
      </c>
    </row>
    <row r="35" spans="1:10" ht="16">
      <c r="A35" s="2">
        <v>10</v>
      </c>
      <c r="B35" t="s">
        <v>89</v>
      </c>
      <c r="C35" s="2" t="s">
        <v>67</v>
      </c>
      <c r="D35" s="2" t="s">
        <v>2678</v>
      </c>
      <c r="E35" s="55">
        <f t="shared" si="4"/>
        <v>0</v>
      </c>
      <c r="F35" s="55">
        <f t="shared" si="5"/>
        <v>0</v>
      </c>
      <c r="G35" s="55">
        <f t="shared" si="6"/>
        <v>0</v>
      </c>
      <c r="H35" s="55">
        <v>0</v>
      </c>
      <c r="I35" s="143" t="s">
        <v>2691</v>
      </c>
      <c r="J35" s="127">
        <f t="shared" si="7"/>
        <v>0</v>
      </c>
    </row>
    <row r="36" spans="1:10" ht="16">
      <c r="A36" s="2">
        <v>11</v>
      </c>
      <c r="B36" t="s">
        <v>2935</v>
      </c>
      <c r="C36" s="2" t="s">
        <v>83</v>
      </c>
      <c r="D36" s="2" t="s">
        <v>2678</v>
      </c>
      <c r="E36" s="55">
        <v>0</v>
      </c>
      <c r="F36" s="55">
        <v>0</v>
      </c>
      <c r="G36" s="55">
        <v>0</v>
      </c>
      <c r="H36" s="55">
        <v>0</v>
      </c>
      <c r="I36" s="143" t="s">
        <v>2690</v>
      </c>
      <c r="J36" s="127">
        <f t="shared" si="7"/>
        <v>0</v>
      </c>
    </row>
    <row r="37" spans="1:10" ht="32">
      <c r="A37" s="2">
        <v>12</v>
      </c>
      <c r="B37" t="s">
        <v>93</v>
      </c>
      <c r="C37" s="2" t="s">
        <v>83</v>
      </c>
      <c r="D37" s="2" t="s">
        <v>2678</v>
      </c>
      <c r="E37" s="63">
        <f t="shared" si="4"/>
        <v>5</v>
      </c>
      <c r="F37" s="63">
        <f t="shared" si="5"/>
        <v>14</v>
      </c>
      <c r="G37" s="63">
        <f t="shared" si="6"/>
        <v>60</v>
      </c>
      <c r="H37" s="63">
        <f>1*90</f>
        <v>90</v>
      </c>
      <c r="I37" s="143" t="s">
        <v>2692</v>
      </c>
      <c r="J37" s="127">
        <f t="shared" si="7"/>
        <v>1</v>
      </c>
    </row>
    <row r="38" spans="1:10" ht="16">
      <c r="A38" s="2">
        <v>13</v>
      </c>
      <c r="B38" t="s">
        <v>75</v>
      </c>
      <c r="C38" s="2" t="s">
        <v>67</v>
      </c>
      <c r="D38" s="2" t="s">
        <v>2678</v>
      </c>
      <c r="E38" s="55">
        <f t="shared" si="4"/>
        <v>0</v>
      </c>
      <c r="F38" s="55">
        <f t="shared" si="5"/>
        <v>0</v>
      </c>
      <c r="G38" s="55">
        <f t="shared" si="6"/>
        <v>0</v>
      </c>
      <c r="H38" s="55">
        <v>0</v>
      </c>
      <c r="I38" s="143" t="s">
        <v>2691</v>
      </c>
      <c r="J38" s="127">
        <f t="shared" si="7"/>
        <v>0</v>
      </c>
    </row>
    <row r="39" spans="1:10" ht="16">
      <c r="A39" s="2">
        <v>14</v>
      </c>
      <c r="B39" t="s">
        <v>74</v>
      </c>
      <c r="C39" s="2" t="s">
        <v>67</v>
      </c>
      <c r="D39" s="2" t="s">
        <v>2678</v>
      </c>
      <c r="E39" s="55">
        <f t="shared" si="4"/>
        <v>0</v>
      </c>
      <c r="F39" s="55">
        <f t="shared" si="5"/>
        <v>0</v>
      </c>
      <c r="G39" s="55">
        <f t="shared" si="6"/>
        <v>0</v>
      </c>
      <c r="H39" s="55">
        <v>0</v>
      </c>
      <c r="I39" s="143" t="s">
        <v>2691</v>
      </c>
      <c r="J39" s="127">
        <f t="shared" si="7"/>
        <v>0</v>
      </c>
    </row>
    <row r="40" spans="1:10" ht="16">
      <c r="A40" s="2">
        <v>15</v>
      </c>
      <c r="B40" t="s">
        <v>94</v>
      </c>
      <c r="C40" s="2" t="s">
        <v>85</v>
      </c>
      <c r="D40" s="2" t="s">
        <v>2678</v>
      </c>
      <c r="E40" s="55">
        <v>0</v>
      </c>
      <c r="F40" s="55">
        <v>0</v>
      </c>
      <c r="G40" s="55">
        <v>0</v>
      </c>
      <c r="H40" s="55">
        <v>0</v>
      </c>
      <c r="I40" s="143" t="s">
        <v>2690</v>
      </c>
      <c r="J40" s="127">
        <f t="shared" si="7"/>
        <v>0</v>
      </c>
    </row>
    <row r="41" spans="1:10" ht="16">
      <c r="A41" s="2">
        <v>16</v>
      </c>
      <c r="B41" t="s">
        <v>267</v>
      </c>
      <c r="C41" s="2" t="s">
        <v>96</v>
      </c>
      <c r="D41" s="2" t="s">
        <v>2678</v>
      </c>
      <c r="E41" s="55">
        <v>0</v>
      </c>
      <c r="F41" s="55">
        <v>0</v>
      </c>
      <c r="G41" s="55">
        <v>0</v>
      </c>
      <c r="H41" s="55">
        <v>0</v>
      </c>
      <c r="I41" s="143" t="s">
        <v>2690</v>
      </c>
      <c r="J41" s="127">
        <f t="shared" si="7"/>
        <v>0</v>
      </c>
    </row>
    <row r="42" spans="1:10" ht="32">
      <c r="A42" s="2">
        <v>17</v>
      </c>
      <c r="B42" t="s">
        <v>77</v>
      </c>
      <c r="C42" s="2" t="s">
        <v>67</v>
      </c>
      <c r="D42" s="2" t="s">
        <v>2678</v>
      </c>
      <c r="E42" s="64">
        <f t="shared" si="4"/>
        <v>150</v>
      </c>
      <c r="F42" s="64">
        <f t="shared" si="5"/>
        <v>420</v>
      </c>
      <c r="G42" s="64">
        <f t="shared" si="6"/>
        <v>1800</v>
      </c>
      <c r="H42" s="64">
        <f>30*90</f>
        <v>2700</v>
      </c>
      <c r="I42" s="143" t="s">
        <v>2694</v>
      </c>
      <c r="J42" s="127">
        <f t="shared" si="7"/>
        <v>30</v>
      </c>
    </row>
    <row r="43" spans="1:10" ht="16">
      <c r="A43" s="2">
        <v>18</v>
      </c>
      <c r="B43" t="s">
        <v>76</v>
      </c>
      <c r="C43" s="2" t="s">
        <v>67</v>
      </c>
      <c r="D43" s="2" t="s">
        <v>2678</v>
      </c>
      <c r="E43" s="55">
        <f t="shared" si="4"/>
        <v>0</v>
      </c>
      <c r="F43" s="55">
        <f t="shared" si="5"/>
        <v>0</v>
      </c>
      <c r="G43" s="55">
        <f t="shared" si="6"/>
        <v>0</v>
      </c>
      <c r="H43" s="55">
        <v>0</v>
      </c>
      <c r="I43" s="143" t="s">
        <v>2680</v>
      </c>
      <c r="J43" s="127">
        <f t="shared" si="7"/>
        <v>0</v>
      </c>
    </row>
    <row r="44" spans="1:10" ht="16">
      <c r="A44" s="2">
        <v>19</v>
      </c>
      <c r="B44" t="s">
        <v>97</v>
      </c>
      <c r="C44" s="2" t="s">
        <v>98</v>
      </c>
      <c r="D44" s="2" t="s">
        <v>2678</v>
      </c>
      <c r="E44" s="55">
        <v>0</v>
      </c>
      <c r="F44" s="55">
        <v>0</v>
      </c>
      <c r="G44" s="55">
        <v>0</v>
      </c>
      <c r="H44" s="55">
        <v>0</v>
      </c>
      <c r="I44" s="143" t="s">
        <v>2690</v>
      </c>
      <c r="J44" s="127">
        <f t="shared" si="7"/>
        <v>0</v>
      </c>
    </row>
    <row r="46" spans="1:10">
      <c r="A46" s="12" t="s">
        <v>24</v>
      </c>
      <c r="B46" s="12" t="s">
        <v>2943</v>
      </c>
      <c r="G46" s="10"/>
      <c r="H46" s="10">
        <f>SUMIF('Employees Supported'!$A$2:$A$29,$A46,'Employees Supported'!$C$2:$C$29)</f>
        <v>1100</v>
      </c>
    </row>
    <row r="47" spans="1:10">
      <c r="A47" s="29" t="s">
        <v>2651</v>
      </c>
      <c r="B47" s="29" t="s">
        <v>53</v>
      </c>
      <c r="C47" s="29" t="s">
        <v>22</v>
      </c>
      <c r="D47" s="30" t="s">
        <v>2678</v>
      </c>
      <c r="E47" s="30" t="s">
        <v>2918</v>
      </c>
      <c r="F47" s="30" t="s">
        <v>2919</v>
      </c>
      <c r="G47" s="30" t="s">
        <v>2920</v>
      </c>
      <c r="H47" s="30" t="s">
        <v>2921</v>
      </c>
    </row>
    <row r="48" spans="1:10" ht="16">
      <c r="A48" s="2">
        <v>1</v>
      </c>
      <c r="B48" t="s">
        <v>66</v>
      </c>
      <c r="C48" s="2" t="s">
        <v>67</v>
      </c>
      <c r="D48" s="2" t="s">
        <v>2678</v>
      </c>
      <c r="E48" s="63">
        <f t="shared" ref="E48:E65" si="8">(5/90)*H48</f>
        <v>3000</v>
      </c>
      <c r="F48" s="63">
        <f t="shared" ref="F48:F65" si="9">(14/90)*H48</f>
        <v>8400</v>
      </c>
      <c r="G48" s="63">
        <f t="shared" ref="G48:G65" si="10">(60/90)*H48</f>
        <v>36000</v>
      </c>
      <c r="H48" s="63">
        <f>600*90</f>
        <v>54000</v>
      </c>
      <c r="I48" s="143" t="s">
        <v>2696</v>
      </c>
      <c r="J48" s="127">
        <f>SUM(H48)/90</f>
        <v>600</v>
      </c>
    </row>
    <row r="49" spans="1:10" ht="16">
      <c r="A49" s="2">
        <v>2</v>
      </c>
      <c r="B49" t="s">
        <v>68</v>
      </c>
      <c r="C49" s="2" t="s">
        <v>67</v>
      </c>
      <c r="D49" s="2" t="s">
        <v>2678</v>
      </c>
      <c r="E49" s="63">
        <f t="shared" si="8"/>
        <v>3000</v>
      </c>
      <c r="F49" s="63">
        <f t="shared" si="9"/>
        <v>8400</v>
      </c>
      <c r="G49" s="63">
        <f>(60/90)*H49</f>
        <v>36000</v>
      </c>
      <c r="H49" s="63">
        <f>600*90</f>
        <v>54000</v>
      </c>
      <c r="I49" s="143" t="s">
        <v>2696</v>
      </c>
      <c r="J49" s="127">
        <f t="shared" ref="J49:J66" si="11">SUM(H49)/90</f>
        <v>600</v>
      </c>
    </row>
    <row r="50" spans="1:10" ht="16">
      <c r="A50" s="2">
        <v>3</v>
      </c>
      <c r="B50" t="s">
        <v>70</v>
      </c>
      <c r="C50" s="2" t="s">
        <v>71</v>
      </c>
      <c r="D50" s="2" t="s">
        <v>2678</v>
      </c>
      <c r="E50" s="63">
        <f t="shared" si="8"/>
        <v>7500</v>
      </c>
      <c r="F50" s="63">
        <f t="shared" si="9"/>
        <v>21000</v>
      </c>
      <c r="G50" s="63">
        <f t="shared" si="10"/>
        <v>90000</v>
      </c>
      <c r="H50" s="63">
        <f>1500*90</f>
        <v>135000</v>
      </c>
      <c r="I50" s="143" t="s">
        <v>2944</v>
      </c>
      <c r="J50" s="127">
        <f t="shared" si="11"/>
        <v>1500</v>
      </c>
    </row>
    <row r="51" spans="1:10" ht="16">
      <c r="A51" s="2">
        <v>4</v>
      </c>
      <c r="B51" t="s">
        <v>72</v>
      </c>
      <c r="C51" s="2" t="s">
        <v>71</v>
      </c>
      <c r="D51" s="2" t="s">
        <v>2678</v>
      </c>
      <c r="E51" s="64">
        <f t="shared" si="8"/>
        <v>8560</v>
      </c>
      <c r="F51" s="64">
        <f t="shared" si="9"/>
        <v>23968</v>
      </c>
      <c r="G51" s="64">
        <f t="shared" si="10"/>
        <v>102720</v>
      </c>
      <c r="H51" s="64">
        <f>8*214*90</f>
        <v>154080</v>
      </c>
      <c r="I51" s="143" t="s">
        <v>2698</v>
      </c>
      <c r="J51" s="127">
        <f t="shared" si="11"/>
        <v>1712</v>
      </c>
    </row>
    <row r="52" spans="1:10" ht="16">
      <c r="A52" s="2">
        <v>5</v>
      </c>
      <c r="B52" t="s">
        <v>2669</v>
      </c>
      <c r="C52" s="2" t="s">
        <v>67</v>
      </c>
      <c r="D52" s="2" t="s">
        <v>2678</v>
      </c>
      <c r="E52" s="63">
        <f t="shared" si="8"/>
        <v>3000</v>
      </c>
      <c r="F52" s="63">
        <f t="shared" si="9"/>
        <v>8400</v>
      </c>
      <c r="G52" s="63">
        <f t="shared" si="10"/>
        <v>36000</v>
      </c>
      <c r="H52" s="63">
        <f>600*90</f>
        <v>54000</v>
      </c>
      <c r="I52" s="143" t="s">
        <v>2945</v>
      </c>
      <c r="J52" s="127">
        <f t="shared" si="11"/>
        <v>600</v>
      </c>
    </row>
    <row r="53" spans="1:10">
      <c r="A53" s="2">
        <v>6</v>
      </c>
      <c r="B53" t="s">
        <v>78</v>
      </c>
      <c r="C53" s="2" t="s">
        <v>79</v>
      </c>
      <c r="D53" s="2" t="s">
        <v>2678</v>
      </c>
      <c r="E53" s="3">
        <f t="shared" si="8"/>
        <v>183.33333333333331</v>
      </c>
      <c r="F53" s="3">
        <f t="shared" si="9"/>
        <v>513.33333333333337</v>
      </c>
      <c r="G53" s="3">
        <f t="shared" si="10"/>
        <v>2200</v>
      </c>
      <c r="H53" s="3">
        <f>H8*($H$46/$H$1)</f>
        <v>3300</v>
      </c>
      <c r="J53" s="127">
        <f t="shared" si="11"/>
        <v>36.666666666666664</v>
      </c>
    </row>
    <row r="54" spans="1:10">
      <c r="A54" s="2">
        <v>7</v>
      </c>
      <c r="B54" t="s">
        <v>80</v>
      </c>
      <c r="C54" s="2" t="s">
        <v>81</v>
      </c>
      <c r="D54" s="2" t="s">
        <v>2678</v>
      </c>
      <c r="E54" s="3">
        <f t="shared" si="8"/>
        <v>183.33333333333331</v>
      </c>
      <c r="F54" s="3">
        <f t="shared" si="9"/>
        <v>513.33333333333337</v>
      </c>
      <c r="G54" s="3">
        <f t="shared" si="10"/>
        <v>2200</v>
      </c>
      <c r="H54" s="3">
        <f>H9*($H$46/$H$1)</f>
        <v>3300</v>
      </c>
      <c r="J54" s="127">
        <f t="shared" si="11"/>
        <v>36.666666666666664</v>
      </c>
    </row>
    <row r="55" spans="1:10">
      <c r="A55" s="2">
        <v>8</v>
      </c>
      <c r="B55" t="s">
        <v>2932</v>
      </c>
      <c r="C55" s="2" t="s">
        <v>83</v>
      </c>
      <c r="D55" s="2" t="s">
        <v>2678</v>
      </c>
      <c r="E55" s="3">
        <f t="shared" si="8"/>
        <v>244.44444444444443</v>
      </c>
      <c r="F55" s="3">
        <f t="shared" si="9"/>
        <v>684.44444444444446</v>
      </c>
      <c r="G55" s="3">
        <f t="shared" si="10"/>
        <v>2933.333333333333</v>
      </c>
      <c r="H55" s="3">
        <f>H10*($H$46/$H$1)</f>
        <v>4400</v>
      </c>
      <c r="J55" s="127">
        <f t="shared" si="11"/>
        <v>48.888888888888886</v>
      </c>
    </row>
    <row r="56" spans="1:10">
      <c r="A56" s="2">
        <v>9</v>
      </c>
      <c r="B56" t="s">
        <v>84</v>
      </c>
      <c r="C56" s="2" t="s">
        <v>85</v>
      </c>
      <c r="D56" s="2" t="s">
        <v>2678</v>
      </c>
      <c r="E56" s="3">
        <f t="shared" si="8"/>
        <v>17.643133933841455</v>
      </c>
      <c r="F56" s="3">
        <f t="shared" si="9"/>
        <v>49.400775014756071</v>
      </c>
      <c r="G56" s="3">
        <f t="shared" si="10"/>
        <v>211.71760720609745</v>
      </c>
      <c r="H56" s="3">
        <f>H11*($H$46/$H$1)</f>
        <v>317.57641080914618</v>
      </c>
      <c r="J56" s="127">
        <f t="shared" si="11"/>
        <v>3.528626786768291</v>
      </c>
    </row>
    <row r="57" spans="1:10" ht="16">
      <c r="A57" s="2">
        <v>10</v>
      </c>
      <c r="B57" t="s">
        <v>89</v>
      </c>
      <c r="C57" s="2" t="s">
        <v>67</v>
      </c>
      <c r="D57" s="2" t="s">
        <v>2678</v>
      </c>
      <c r="E57" s="55">
        <f t="shared" si="8"/>
        <v>0</v>
      </c>
      <c r="F57" s="55">
        <f t="shared" si="9"/>
        <v>0</v>
      </c>
      <c r="G57" s="55">
        <f t="shared" si="10"/>
        <v>0</v>
      </c>
      <c r="H57" s="55">
        <v>0</v>
      </c>
      <c r="I57" s="143" t="s">
        <v>2691</v>
      </c>
      <c r="J57" s="127">
        <f t="shared" si="11"/>
        <v>0</v>
      </c>
    </row>
    <row r="58" spans="1:10">
      <c r="A58" s="2">
        <v>11</v>
      </c>
      <c r="B58" t="s">
        <v>2935</v>
      </c>
      <c r="C58" s="2" t="s">
        <v>83</v>
      </c>
      <c r="D58" s="2" t="s">
        <v>2678</v>
      </c>
      <c r="E58" s="3">
        <f t="shared" si="8"/>
        <v>366.66666666666663</v>
      </c>
      <c r="F58" s="3">
        <f t="shared" si="9"/>
        <v>1026.6666666666667</v>
      </c>
      <c r="G58" s="3">
        <f t="shared" si="10"/>
        <v>4400</v>
      </c>
      <c r="H58" s="3">
        <f>H13*($H$46/$H$1)</f>
        <v>6600</v>
      </c>
      <c r="J58" s="127">
        <f t="shared" si="11"/>
        <v>73.333333333333329</v>
      </c>
    </row>
    <row r="59" spans="1:10" ht="16">
      <c r="A59" s="2">
        <v>12</v>
      </c>
      <c r="B59" t="s">
        <v>93</v>
      </c>
      <c r="C59" s="2" t="s">
        <v>83</v>
      </c>
      <c r="D59" s="2" t="s">
        <v>2678</v>
      </c>
      <c r="E59" s="55">
        <v>0</v>
      </c>
      <c r="F59" s="55">
        <v>0</v>
      </c>
      <c r="G59" s="55">
        <v>0</v>
      </c>
      <c r="H59" s="55">
        <v>0</v>
      </c>
      <c r="I59" s="143" t="s">
        <v>2700</v>
      </c>
      <c r="J59" s="127">
        <f t="shared" si="11"/>
        <v>0</v>
      </c>
    </row>
    <row r="60" spans="1:10" ht="16">
      <c r="A60" s="2">
        <v>13</v>
      </c>
      <c r="B60" t="s">
        <v>75</v>
      </c>
      <c r="C60" s="2" t="s">
        <v>67</v>
      </c>
      <c r="D60" s="2" t="s">
        <v>2678</v>
      </c>
      <c r="E60" s="55">
        <f t="shared" si="8"/>
        <v>0</v>
      </c>
      <c r="F60" s="55">
        <f t="shared" si="9"/>
        <v>0</v>
      </c>
      <c r="G60" s="55">
        <f t="shared" si="10"/>
        <v>0</v>
      </c>
      <c r="H60" s="55">
        <v>0</v>
      </c>
      <c r="I60" s="143" t="s">
        <v>2691</v>
      </c>
      <c r="J60" s="127">
        <f t="shared" si="11"/>
        <v>0</v>
      </c>
    </row>
    <row r="61" spans="1:10" ht="16">
      <c r="A61" s="2">
        <v>14</v>
      </c>
      <c r="B61" t="s">
        <v>74</v>
      </c>
      <c r="C61" s="2" t="s">
        <v>67</v>
      </c>
      <c r="D61" s="2" t="s">
        <v>2678</v>
      </c>
      <c r="E61" s="55">
        <f t="shared" si="8"/>
        <v>0</v>
      </c>
      <c r="F61" s="55">
        <f t="shared" si="9"/>
        <v>0</v>
      </c>
      <c r="G61" s="55">
        <f t="shared" si="10"/>
        <v>0</v>
      </c>
      <c r="H61" s="55">
        <v>0</v>
      </c>
      <c r="I61" s="143" t="s">
        <v>2691</v>
      </c>
      <c r="J61" s="127">
        <f t="shared" si="11"/>
        <v>0</v>
      </c>
    </row>
    <row r="62" spans="1:10" ht="16">
      <c r="A62" s="2">
        <v>15</v>
      </c>
      <c r="B62" t="s">
        <v>94</v>
      </c>
      <c r="C62" s="2" t="s">
        <v>85</v>
      </c>
      <c r="D62" s="2" t="s">
        <v>2678</v>
      </c>
      <c r="E62" s="55">
        <v>0</v>
      </c>
      <c r="F62" s="55">
        <v>0</v>
      </c>
      <c r="G62" s="55">
        <v>0</v>
      </c>
      <c r="H62" s="55">
        <v>0</v>
      </c>
      <c r="I62" s="143" t="s">
        <v>2700</v>
      </c>
      <c r="J62" s="127">
        <f t="shared" si="11"/>
        <v>0</v>
      </c>
    </row>
    <row r="63" spans="1:10" ht="16">
      <c r="A63" s="2">
        <v>16</v>
      </c>
      <c r="B63" t="s">
        <v>267</v>
      </c>
      <c r="C63" s="2" t="s">
        <v>96</v>
      </c>
      <c r="D63" s="2" t="s">
        <v>2678</v>
      </c>
      <c r="E63" s="55">
        <v>0</v>
      </c>
      <c r="F63" s="55">
        <v>0</v>
      </c>
      <c r="G63" s="55">
        <v>0</v>
      </c>
      <c r="H63" s="55">
        <v>0</v>
      </c>
      <c r="I63" s="143" t="s">
        <v>2700</v>
      </c>
      <c r="J63" s="127">
        <f t="shared" si="11"/>
        <v>0</v>
      </c>
    </row>
    <row r="64" spans="1:10" ht="16">
      <c r="A64" s="2">
        <v>17</v>
      </c>
      <c r="B64" t="s">
        <v>77</v>
      </c>
      <c r="C64" s="2" t="s">
        <v>67</v>
      </c>
      <c r="D64" s="2" t="s">
        <v>2678</v>
      </c>
      <c r="E64" s="55">
        <f t="shared" si="8"/>
        <v>0</v>
      </c>
      <c r="F64" s="55">
        <f t="shared" si="9"/>
        <v>0</v>
      </c>
      <c r="G64" s="55">
        <f t="shared" si="10"/>
        <v>0</v>
      </c>
      <c r="H64" s="55">
        <v>0</v>
      </c>
      <c r="I64" s="143" t="s">
        <v>2680</v>
      </c>
      <c r="J64" s="127">
        <f t="shared" si="11"/>
        <v>0</v>
      </c>
    </row>
    <row r="65" spans="1:10" ht="16">
      <c r="A65" s="2">
        <v>18</v>
      </c>
      <c r="B65" t="s">
        <v>76</v>
      </c>
      <c r="C65" s="2" t="s">
        <v>67</v>
      </c>
      <c r="D65" s="2" t="s">
        <v>2678</v>
      </c>
      <c r="E65" s="55">
        <f t="shared" si="8"/>
        <v>0</v>
      </c>
      <c r="F65" s="55">
        <f t="shared" si="9"/>
        <v>0</v>
      </c>
      <c r="G65" s="55">
        <f t="shared" si="10"/>
        <v>0</v>
      </c>
      <c r="H65" s="55">
        <v>0</v>
      </c>
      <c r="I65" s="143" t="s">
        <v>2680</v>
      </c>
      <c r="J65" s="127">
        <f t="shared" si="11"/>
        <v>0</v>
      </c>
    </row>
    <row r="66" spans="1:10" ht="16">
      <c r="A66" s="2">
        <v>19</v>
      </c>
      <c r="B66" t="s">
        <v>97</v>
      </c>
      <c r="C66" s="2" t="s">
        <v>98</v>
      </c>
      <c r="D66" s="2" t="s">
        <v>2678</v>
      </c>
      <c r="E66" s="55">
        <v>0</v>
      </c>
      <c r="F66" s="55">
        <v>0</v>
      </c>
      <c r="G66" s="55">
        <v>0</v>
      </c>
      <c r="H66" s="55">
        <v>0</v>
      </c>
      <c r="I66" s="143" t="s">
        <v>2700</v>
      </c>
      <c r="J66" s="127">
        <f t="shared" si="11"/>
        <v>0</v>
      </c>
    </row>
    <row r="68" spans="1:10">
      <c r="A68" s="12" t="s">
        <v>28</v>
      </c>
      <c r="B68" s="12" t="s">
        <v>2946</v>
      </c>
      <c r="G68" s="10"/>
      <c r="H68" s="10">
        <f>SUMIF('Employees Supported'!$A$2:$A$29,$A68,'Employees Supported'!$C$2:$C$29)</f>
        <v>1100</v>
      </c>
    </row>
    <row r="69" spans="1:10">
      <c r="A69" s="29" t="s">
        <v>2651</v>
      </c>
      <c r="B69" s="29" t="s">
        <v>53</v>
      </c>
      <c r="C69" s="29" t="s">
        <v>22</v>
      </c>
      <c r="D69" s="30" t="s">
        <v>2678</v>
      </c>
      <c r="E69" s="30" t="s">
        <v>2918</v>
      </c>
      <c r="F69" s="30" t="s">
        <v>2919</v>
      </c>
      <c r="G69" s="30" t="s">
        <v>2920</v>
      </c>
      <c r="H69" s="30" t="s">
        <v>2921</v>
      </c>
    </row>
    <row r="70" spans="1:10">
      <c r="A70" s="2">
        <v>1</v>
      </c>
      <c r="B70" t="s">
        <v>66</v>
      </c>
      <c r="C70" s="2" t="s">
        <v>67</v>
      </c>
      <c r="D70" s="2" t="s">
        <v>2678</v>
      </c>
      <c r="E70" s="3">
        <f t="shared" ref="E70:E88" si="12">(5/90)*H70</f>
        <v>5500</v>
      </c>
      <c r="F70" s="3">
        <f t="shared" ref="F70:F88" si="13">(14/90)*H70</f>
        <v>15400</v>
      </c>
      <c r="G70" s="3">
        <f t="shared" ref="G70:G88" si="14">(60/90)*H70</f>
        <v>66000</v>
      </c>
      <c r="H70" s="3">
        <f>H3*($H$68/$H$1)</f>
        <v>99000</v>
      </c>
      <c r="J70" s="127">
        <f>SUM(H70)/90</f>
        <v>1100</v>
      </c>
    </row>
    <row r="71" spans="1:10">
      <c r="A71" s="2">
        <v>2</v>
      </c>
      <c r="B71" t="s">
        <v>68</v>
      </c>
      <c r="C71" s="2" t="s">
        <v>67</v>
      </c>
      <c r="D71" s="2" t="s">
        <v>2678</v>
      </c>
      <c r="E71" s="3">
        <f t="shared" si="12"/>
        <v>16500</v>
      </c>
      <c r="F71" s="3">
        <f t="shared" si="13"/>
        <v>46200</v>
      </c>
      <c r="G71" s="3">
        <f t="shared" si="14"/>
        <v>198000</v>
      </c>
      <c r="H71" s="3">
        <f>3*H68*90</f>
        <v>297000</v>
      </c>
      <c r="J71" s="127">
        <f t="shared" ref="J71:J88" si="15">SUM(H71)/90</f>
        <v>3300</v>
      </c>
    </row>
    <row r="72" spans="1:10" ht="16">
      <c r="A72" s="2">
        <v>3</v>
      </c>
      <c r="B72" t="s">
        <v>70</v>
      </c>
      <c r="C72" s="2" t="s">
        <v>71</v>
      </c>
      <c r="D72" s="2" t="s">
        <v>2678</v>
      </c>
      <c r="E72" s="55">
        <f t="shared" si="12"/>
        <v>0</v>
      </c>
      <c r="F72" s="55">
        <f t="shared" si="13"/>
        <v>0</v>
      </c>
      <c r="G72" s="55">
        <f t="shared" si="14"/>
        <v>0</v>
      </c>
      <c r="H72" s="55">
        <v>0</v>
      </c>
      <c r="I72" s="143" t="s">
        <v>2703</v>
      </c>
      <c r="J72" s="127">
        <f t="shared" si="15"/>
        <v>0</v>
      </c>
    </row>
    <row r="73" spans="1:10">
      <c r="A73" s="2">
        <v>4</v>
      </c>
      <c r="B73" t="s">
        <v>72</v>
      </c>
      <c r="C73" s="2" t="s">
        <v>71</v>
      </c>
      <c r="D73" s="2" t="s">
        <v>2678</v>
      </c>
      <c r="E73" s="3">
        <f t="shared" si="12"/>
        <v>28575.8</v>
      </c>
      <c r="F73" s="3">
        <f t="shared" si="13"/>
        <v>80012.240000000005</v>
      </c>
      <c r="G73" s="3">
        <f t="shared" si="14"/>
        <v>342909.6</v>
      </c>
      <c r="H73" s="3">
        <f>H6*($H$68/7500)</f>
        <v>514364.4</v>
      </c>
      <c r="J73" s="127">
        <f t="shared" si="15"/>
        <v>5715.16</v>
      </c>
    </row>
    <row r="74" spans="1:10">
      <c r="A74" s="2">
        <v>5</v>
      </c>
      <c r="B74" t="s">
        <v>2669</v>
      </c>
      <c r="C74" s="2" t="s">
        <v>67</v>
      </c>
      <c r="D74" s="2" t="s">
        <v>2678</v>
      </c>
      <c r="E74" s="3">
        <f t="shared" si="12"/>
        <v>733.33333333333326</v>
      </c>
      <c r="F74" s="3">
        <f t="shared" si="13"/>
        <v>2053.3333333333335</v>
      </c>
      <c r="G74" s="3">
        <f t="shared" si="14"/>
        <v>8800</v>
      </c>
      <c r="H74" s="3">
        <f>H7*($H$68/7500)</f>
        <v>13200</v>
      </c>
      <c r="J74" s="127">
        <f t="shared" si="15"/>
        <v>146.66666666666666</v>
      </c>
    </row>
    <row r="75" spans="1:10">
      <c r="A75" s="2">
        <v>6</v>
      </c>
      <c r="B75" t="s">
        <v>78</v>
      </c>
      <c r="C75" s="2" t="s">
        <v>79</v>
      </c>
      <c r="D75" s="2" t="s">
        <v>2678</v>
      </c>
      <c r="E75" s="3">
        <f t="shared" si="12"/>
        <v>317.50888888888886</v>
      </c>
      <c r="F75" s="3">
        <f t="shared" si="13"/>
        <v>889.02488888888888</v>
      </c>
      <c r="G75" s="3">
        <f t="shared" si="14"/>
        <v>3810.1066666666666</v>
      </c>
      <c r="H75" s="3">
        <f>H8*($H$68/7500)</f>
        <v>5715.16</v>
      </c>
      <c r="J75" s="127">
        <f t="shared" si="15"/>
        <v>63.501777777777775</v>
      </c>
    </row>
    <row r="76" spans="1:10" ht="16">
      <c r="A76" s="2">
        <v>7</v>
      </c>
      <c r="B76" t="s">
        <v>80</v>
      </c>
      <c r="C76" s="2" t="s">
        <v>81</v>
      </c>
      <c r="D76" s="2" t="s">
        <v>2678</v>
      </c>
      <c r="E76" s="55">
        <f t="shared" si="12"/>
        <v>0</v>
      </c>
      <c r="F76" s="55">
        <f t="shared" si="13"/>
        <v>0</v>
      </c>
      <c r="G76" s="55">
        <f t="shared" si="14"/>
        <v>0</v>
      </c>
      <c r="H76" s="55">
        <v>0</v>
      </c>
      <c r="I76" s="143" t="s">
        <v>2703</v>
      </c>
      <c r="J76" s="127">
        <f t="shared" si="15"/>
        <v>0</v>
      </c>
    </row>
    <row r="77" spans="1:10">
      <c r="A77" s="2">
        <v>8</v>
      </c>
      <c r="B77" t="s">
        <v>2932</v>
      </c>
      <c r="C77" s="2" t="s">
        <v>83</v>
      </c>
      <c r="D77" s="2" t="s">
        <v>2678</v>
      </c>
      <c r="E77" s="3">
        <f t="shared" si="12"/>
        <v>423.34518518518513</v>
      </c>
      <c r="F77" s="3">
        <f t="shared" si="13"/>
        <v>1185.3665185185184</v>
      </c>
      <c r="G77" s="3">
        <f t="shared" si="14"/>
        <v>5080.1422222222218</v>
      </c>
      <c r="H77" s="3">
        <f>H10*($H$68/7500)</f>
        <v>7620.2133333333331</v>
      </c>
      <c r="J77" s="127">
        <f t="shared" si="15"/>
        <v>84.669037037037029</v>
      </c>
    </row>
    <row r="78" spans="1:10">
      <c r="A78" s="2">
        <v>9</v>
      </c>
      <c r="B78" t="s">
        <v>84</v>
      </c>
      <c r="C78" s="2" t="s">
        <v>85</v>
      </c>
      <c r="D78" s="2" t="s">
        <v>2678</v>
      </c>
      <c r="E78" s="3">
        <f t="shared" si="12"/>
        <v>30.555555555555554</v>
      </c>
      <c r="F78" s="3">
        <f t="shared" si="13"/>
        <v>85.555555555555557</v>
      </c>
      <c r="G78" s="3">
        <f t="shared" si="14"/>
        <v>366.66666666666663</v>
      </c>
      <c r="H78" s="3">
        <f>H11*($H$68/7500)</f>
        <v>550</v>
      </c>
      <c r="J78" s="127">
        <f t="shared" si="15"/>
        <v>6.1111111111111107</v>
      </c>
    </row>
    <row r="79" spans="1:10" ht="16">
      <c r="A79" s="2">
        <v>10</v>
      </c>
      <c r="B79" t="s">
        <v>89</v>
      </c>
      <c r="C79" s="2" t="s">
        <v>67</v>
      </c>
      <c r="D79" s="2" t="s">
        <v>2678</v>
      </c>
      <c r="E79" s="55">
        <f t="shared" si="12"/>
        <v>0</v>
      </c>
      <c r="F79" s="55">
        <f t="shared" si="13"/>
        <v>0</v>
      </c>
      <c r="G79" s="55">
        <f t="shared" si="14"/>
        <v>0</v>
      </c>
      <c r="H79" s="55">
        <v>0</v>
      </c>
      <c r="I79" s="143" t="s">
        <v>2691</v>
      </c>
      <c r="J79" s="127">
        <f t="shared" si="15"/>
        <v>0</v>
      </c>
    </row>
    <row r="80" spans="1:10" ht="16">
      <c r="A80" s="2">
        <v>11</v>
      </c>
      <c r="B80" t="s">
        <v>2935</v>
      </c>
      <c r="C80" s="2" t="s">
        <v>83</v>
      </c>
      <c r="D80" s="2" t="s">
        <v>2678</v>
      </c>
      <c r="E80" s="55">
        <f t="shared" si="12"/>
        <v>0</v>
      </c>
      <c r="F80" s="55">
        <f t="shared" si="13"/>
        <v>0</v>
      </c>
      <c r="G80" s="55">
        <f t="shared" si="14"/>
        <v>0</v>
      </c>
      <c r="H80" s="55">
        <v>0</v>
      </c>
      <c r="I80" s="143" t="s">
        <v>2703</v>
      </c>
      <c r="J80" s="127">
        <f t="shared" si="15"/>
        <v>0</v>
      </c>
    </row>
    <row r="81" spans="1:10">
      <c r="A81" s="2">
        <v>12</v>
      </c>
      <c r="B81" t="s">
        <v>93</v>
      </c>
      <c r="C81" s="2" t="s">
        <v>83</v>
      </c>
      <c r="D81" s="2" t="s">
        <v>2678</v>
      </c>
      <c r="E81" s="3">
        <f t="shared" si="12"/>
        <v>423.34518518518513</v>
      </c>
      <c r="F81" s="3">
        <f t="shared" si="13"/>
        <v>1185.3665185185184</v>
      </c>
      <c r="G81" s="3">
        <f t="shared" si="14"/>
        <v>5080.1422222222218</v>
      </c>
      <c r="H81" s="3">
        <f>H14*($H$68/7500)</f>
        <v>7620.2133333333331</v>
      </c>
      <c r="J81" s="127">
        <f t="shared" si="15"/>
        <v>84.669037037037029</v>
      </c>
    </row>
    <row r="82" spans="1:10" ht="16">
      <c r="A82" s="2">
        <v>13</v>
      </c>
      <c r="B82" t="s">
        <v>75</v>
      </c>
      <c r="C82" s="2" t="s">
        <v>67</v>
      </c>
      <c r="D82" s="2" t="s">
        <v>2678</v>
      </c>
      <c r="E82" s="55">
        <f t="shared" si="12"/>
        <v>0</v>
      </c>
      <c r="F82" s="55">
        <f t="shared" si="13"/>
        <v>0</v>
      </c>
      <c r="G82" s="55">
        <f t="shared" si="14"/>
        <v>0</v>
      </c>
      <c r="H82" s="55">
        <v>0</v>
      </c>
      <c r="I82" s="143" t="s">
        <v>2691</v>
      </c>
      <c r="J82" s="127">
        <f t="shared" si="15"/>
        <v>0</v>
      </c>
    </row>
    <row r="83" spans="1:10" ht="16">
      <c r="A83" s="2">
        <v>14</v>
      </c>
      <c r="B83" t="s">
        <v>74</v>
      </c>
      <c r="C83" s="2" t="s">
        <v>67</v>
      </c>
      <c r="D83" s="2" t="s">
        <v>2678</v>
      </c>
      <c r="E83" s="55">
        <f t="shared" si="12"/>
        <v>0</v>
      </c>
      <c r="F83" s="55">
        <f t="shared" si="13"/>
        <v>0</v>
      </c>
      <c r="G83" s="55">
        <f t="shared" si="14"/>
        <v>0</v>
      </c>
      <c r="H83" s="55">
        <v>0</v>
      </c>
      <c r="I83" s="143" t="s">
        <v>2691</v>
      </c>
      <c r="J83" s="127">
        <f t="shared" si="15"/>
        <v>0</v>
      </c>
    </row>
    <row r="84" spans="1:10">
      <c r="A84" s="2">
        <v>15</v>
      </c>
      <c r="B84" t="s">
        <v>94</v>
      </c>
      <c r="C84" s="2" t="s">
        <v>85</v>
      </c>
      <c r="D84" s="2" t="s">
        <v>2678</v>
      </c>
      <c r="E84" s="3">
        <f t="shared" si="12"/>
        <v>317.50888888888886</v>
      </c>
      <c r="F84" s="3">
        <f t="shared" si="13"/>
        <v>889.02488888888888</v>
      </c>
      <c r="G84" s="3">
        <f t="shared" si="14"/>
        <v>3810.1066666666666</v>
      </c>
      <c r="H84" s="3">
        <f>H17*($H$68/7500)</f>
        <v>5715.16</v>
      </c>
      <c r="J84" s="127">
        <f t="shared" si="15"/>
        <v>63.501777777777775</v>
      </c>
    </row>
    <row r="85" spans="1:10">
      <c r="A85" s="2">
        <v>16</v>
      </c>
      <c r="B85" t="s">
        <v>267</v>
      </c>
      <c r="C85" s="2" t="s">
        <v>96</v>
      </c>
      <c r="D85" s="2" t="s">
        <v>2678</v>
      </c>
      <c r="E85" s="3">
        <f t="shared" si="12"/>
        <v>423.43481481481479</v>
      </c>
      <c r="F85" s="3">
        <f t="shared" si="13"/>
        <v>1185.6174814814815</v>
      </c>
      <c r="G85" s="3">
        <f t="shared" si="14"/>
        <v>5081.2177777777779</v>
      </c>
      <c r="H85" s="3">
        <f>H18*($H$68/7500)</f>
        <v>7621.8266666666668</v>
      </c>
      <c r="J85" s="127">
        <f t="shared" si="15"/>
        <v>84.686962962962966</v>
      </c>
    </row>
    <row r="86" spans="1:10" ht="16">
      <c r="A86" s="2">
        <v>17</v>
      </c>
      <c r="B86" t="s">
        <v>77</v>
      </c>
      <c r="C86" s="2" t="s">
        <v>67</v>
      </c>
      <c r="D86" s="2" t="s">
        <v>2678</v>
      </c>
      <c r="E86" s="55">
        <f t="shared" si="12"/>
        <v>0</v>
      </c>
      <c r="F86" s="55">
        <f t="shared" si="13"/>
        <v>0</v>
      </c>
      <c r="G86" s="55">
        <f t="shared" si="14"/>
        <v>0</v>
      </c>
      <c r="H86" s="55">
        <v>0</v>
      </c>
      <c r="I86" s="143" t="s">
        <v>2680</v>
      </c>
      <c r="J86" s="127">
        <f t="shared" si="15"/>
        <v>0</v>
      </c>
    </row>
    <row r="87" spans="1:10" ht="16">
      <c r="A87" s="2">
        <v>18</v>
      </c>
      <c r="B87" t="s">
        <v>76</v>
      </c>
      <c r="C87" s="2" t="s">
        <v>67</v>
      </c>
      <c r="D87" s="2" t="s">
        <v>2678</v>
      </c>
      <c r="E87" s="55">
        <f t="shared" si="12"/>
        <v>0</v>
      </c>
      <c r="F87" s="55">
        <f t="shared" si="13"/>
        <v>0</v>
      </c>
      <c r="G87" s="55">
        <f t="shared" si="14"/>
        <v>0</v>
      </c>
      <c r="H87" s="55">
        <v>0</v>
      </c>
      <c r="I87" s="143" t="s">
        <v>2680</v>
      </c>
      <c r="J87" s="127">
        <f t="shared" si="15"/>
        <v>0</v>
      </c>
    </row>
    <row r="88" spans="1:10">
      <c r="A88" s="2">
        <v>19</v>
      </c>
      <c r="B88" t="s">
        <v>97</v>
      </c>
      <c r="C88" s="2" t="s">
        <v>98</v>
      </c>
      <c r="D88" s="2" t="s">
        <v>2678</v>
      </c>
      <c r="E88" s="3">
        <f t="shared" si="12"/>
        <v>635.01777777777772</v>
      </c>
      <c r="F88" s="3">
        <f t="shared" si="13"/>
        <v>1778.0497777777778</v>
      </c>
      <c r="G88" s="3">
        <f t="shared" si="14"/>
        <v>7620.2133333333331</v>
      </c>
      <c r="H88" s="3">
        <f>H21*($H$68/7500)</f>
        <v>11430.32</v>
      </c>
      <c r="J88" s="127">
        <f t="shared" si="15"/>
        <v>127.00355555555555</v>
      </c>
    </row>
    <row r="90" spans="1:10">
      <c r="A90" s="12" t="s">
        <v>33</v>
      </c>
      <c r="B90" s="12" t="s">
        <v>2947</v>
      </c>
      <c r="G90" s="10"/>
      <c r="H90" s="10">
        <f>SUMIF('Employees Supported'!$A$2:$A$29,$A90,'Employees Supported'!$C$2:$C$29)</f>
        <v>400</v>
      </c>
    </row>
    <row r="91" spans="1:10">
      <c r="A91" s="29" t="s">
        <v>2651</v>
      </c>
      <c r="B91" s="29" t="s">
        <v>53</v>
      </c>
      <c r="C91" s="29" t="s">
        <v>22</v>
      </c>
      <c r="D91" s="30" t="s">
        <v>2678</v>
      </c>
      <c r="E91" s="30" t="s">
        <v>2918</v>
      </c>
      <c r="F91" s="30" t="s">
        <v>2919</v>
      </c>
      <c r="G91" s="30" t="s">
        <v>2920</v>
      </c>
      <c r="H91" s="30" t="s">
        <v>2921</v>
      </c>
    </row>
    <row r="92" spans="1:10">
      <c r="A92" s="2">
        <v>1</v>
      </c>
      <c r="B92" t="s">
        <v>66</v>
      </c>
      <c r="C92" s="2" t="s">
        <v>67</v>
      </c>
      <c r="D92" s="2" t="s">
        <v>2678</v>
      </c>
      <c r="E92" s="3">
        <f t="shared" ref="E92:E110" si="16">(5/90)*H92</f>
        <v>3463.7333333333336</v>
      </c>
      <c r="F92" s="3">
        <f t="shared" ref="F92:F110" si="17">(14/90)*H92</f>
        <v>9698.4533333333347</v>
      </c>
      <c r="G92" s="3">
        <f t="shared" ref="G92:G110" si="18">(60/90)*H92</f>
        <v>41564.800000000003</v>
      </c>
      <c r="H92" s="3">
        <f>H3*($H$90/7500)</f>
        <v>62347.200000000004</v>
      </c>
      <c r="J92" s="127">
        <f>SUM(H92)/90</f>
        <v>692.74666666666667</v>
      </c>
    </row>
    <row r="93" spans="1:10">
      <c r="A93" s="2">
        <v>2</v>
      </c>
      <c r="B93" t="s">
        <v>68</v>
      </c>
      <c r="C93" s="2" t="s">
        <v>67</v>
      </c>
      <c r="D93" s="2" t="s">
        <v>2678</v>
      </c>
      <c r="E93" s="3">
        <f t="shared" si="16"/>
        <v>6000</v>
      </c>
      <c r="F93" s="3">
        <f t="shared" si="17"/>
        <v>16800</v>
      </c>
      <c r="G93" s="3">
        <f t="shared" si="18"/>
        <v>72000</v>
      </c>
      <c r="H93" s="3">
        <f>3*H90*90</f>
        <v>108000</v>
      </c>
      <c r="J93" s="127">
        <f t="shared" ref="J93:J110" si="19">SUM(H93)/90</f>
        <v>1200</v>
      </c>
    </row>
    <row r="94" spans="1:10" ht="16">
      <c r="A94" s="2">
        <v>3</v>
      </c>
      <c r="B94" t="s">
        <v>70</v>
      </c>
      <c r="C94" s="2" t="s">
        <v>71</v>
      </c>
      <c r="D94" s="2" t="s">
        <v>2678</v>
      </c>
      <c r="E94" s="55">
        <f t="shared" si="16"/>
        <v>0</v>
      </c>
      <c r="F94" s="55">
        <f t="shared" si="17"/>
        <v>0</v>
      </c>
      <c r="G94" s="55">
        <f t="shared" si="18"/>
        <v>0</v>
      </c>
      <c r="H94" s="55">
        <v>0</v>
      </c>
      <c r="I94" s="143" t="s">
        <v>2703</v>
      </c>
      <c r="J94" s="127">
        <f t="shared" si="19"/>
        <v>0</v>
      </c>
    </row>
    <row r="95" spans="1:10">
      <c r="A95" s="2">
        <v>4</v>
      </c>
      <c r="B95" t="s">
        <v>72</v>
      </c>
      <c r="C95" s="2" t="s">
        <v>71</v>
      </c>
      <c r="D95" s="2" t="s">
        <v>2678</v>
      </c>
      <c r="E95" s="3">
        <f t="shared" si="16"/>
        <v>10391.199999999999</v>
      </c>
      <c r="F95" s="3">
        <f t="shared" si="17"/>
        <v>29095.360000000001</v>
      </c>
      <c r="G95" s="3">
        <f t="shared" si="18"/>
        <v>124694.39999999999</v>
      </c>
      <c r="H95" s="3">
        <f>H6*($H$90/7500)</f>
        <v>187041.6</v>
      </c>
      <c r="J95" s="127">
        <f t="shared" si="19"/>
        <v>2078.2400000000002</v>
      </c>
    </row>
    <row r="96" spans="1:10">
      <c r="A96" s="2">
        <v>5</v>
      </c>
      <c r="B96" t="s">
        <v>2669</v>
      </c>
      <c r="C96" s="2" t="s">
        <v>67</v>
      </c>
      <c r="D96" s="2" t="s">
        <v>2678</v>
      </c>
      <c r="E96" s="3">
        <f t="shared" si="16"/>
        <v>266.66666666666663</v>
      </c>
      <c r="F96" s="3">
        <f t="shared" si="17"/>
        <v>746.66666666666663</v>
      </c>
      <c r="G96" s="3">
        <f t="shared" si="18"/>
        <v>3200</v>
      </c>
      <c r="H96" s="3">
        <f>H7*($H$90/7500)</f>
        <v>4800</v>
      </c>
      <c r="J96" s="127">
        <f t="shared" si="19"/>
        <v>53.333333333333336</v>
      </c>
    </row>
    <row r="97" spans="1:10">
      <c r="A97" s="2">
        <v>6</v>
      </c>
      <c r="B97" t="s">
        <v>78</v>
      </c>
      <c r="C97" s="2" t="s">
        <v>79</v>
      </c>
      <c r="D97" s="2" t="s">
        <v>2678</v>
      </c>
      <c r="E97" s="3">
        <f t="shared" si="16"/>
        <v>115.45777777777778</v>
      </c>
      <c r="F97" s="3">
        <f t="shared" si="17"/>
        <v>323.28177777777785</v>
      </c>
      <c r="G97" s="3">
        <f t="shared" si="18"/>
        <v>1385.4933333333333</v>
      </c>
      <c r="H97" s="3">
        <f>H8*($H$90/7500)</f>
        <v>2078.2400000000002</v>
      </c>
      <c r="J97" s="127">
        <f t="shared" si="19"/>
        <v>23.091555555555558</v>
      </c>
    </row>
    <row r="98" spans="1:10" ht="16">
      <c r="A98" s="2">
        <v>7</v>
      </c>
      <c r="B98" t="s">
        <v>80</v>
      </c>
      <c r="C98" s="2" t="s">
        <v>81</v>
      </c>
      <c r="D98" s="2" t="s">
        <v>2678</v>
      </c>
      <c r="E98" s="55">
        <f t="shared" si="16"/>
        <v>0</v>
      </c>
      <c r="F98" s="55">
        <f t="shared" si="17"/>
        <v>0</v>
      </c>
      <c r="G98" s="55">
        <f t="shared" si="18"/>
        <v>0</v>
      </c>
      <c r="H98" s="55">
        <v>0</v>
      </c>
      <c r="I98" s="143" t="s">
        <v>2703</v>
      </c>
      <c r="J98" s="127">
        <f t="shared" si="19"/>
        <v>0</v>
      </c>
    </row>
    <row r="99" spans="1:10">
      <c r="A99" s="2">
        <v>8</v>
      </c>
      <c r="B99" t="s">
        <v>2932</v>
      </c>
      <c r="C99" s="2" t="s">
        <v>83</v>
      </c>
      <c r="D99" s="2" t="s">
        <v>2678</v>
      </c>
      <c r="E99" s="3">
        <f t="shared" si="16"/>
        <v>153.9437037037037</v>
      </c>
      <c r="F99" s="3">
        <f t="shared" si="17"/>
        <v>431.04237037037041</v>
      </c>
      <c r="G99" s="3">
        <f t="shared" si="18"/>
        <v>1847.3244444444445</v>
      </c>
      <c r="H99" s="3">
        <f>H10*($H$90/7500)</f>
        <v>2770.9866666666667</v>
      </c>
      <c r="J99" s="127">
        <f t="shared" si="19"/>
        <v>30.788740740740742</v>
      </c>
    </row>
    <row r="100" spans="1:10">
      <c r="A100" s="2">
        <v>9</v>
      </c>
      <c r="B100" t="s">
        <v>84</v>
      </c>
      <c r="C100" s="2" t="s">
        <v>85</v>
      </c>
      <c r="D100" s="2" t="s">
        <v>2678</v>
      </c>
      <c r="E100" s="3">
        <f t="shared" si="16"/>
        <v>11.111111111111111</v>
      </c>
      <c r="F100" s="3">
        <f t="shared" si="17"/>
        <v>31.111111111111111</v>
      </c>
      <c r="G100" s="3">
        <f t="shared" si="18"/>
        <v>133.33333333333331</v>
      </c>
      <c r="H100" s="3">
        <f>H11*($H$90/7500)</f>
        <v>200</v>
      </c>
      <c r="J100" s="127">
        <f t="shared" si="19"/>
        <v>2.2222222222222223</v>
      </c>
    </row>
    <row r="101" spans="1:10" ht="16">
      <c r="A101" s="2">
        <v>10</v>
      </c>
      <c r="B101" t="s">
        <v>89</v>
      </c>
      <c r="C101" s="2" t="s">
        <v>67</v>
      </c>
      <c r="D101" s="2" t="s">
        <v>2678</v>
      </c>
      <c r="E101" s="55">
        <f t="shared" si="16"/>
        <v>0</v>
      </c>
      <c r="F101" s="55">
        <f t="shared" si="17"/>
        <v>0</v>
      </c>
      <c r="G101" s="55">
        <f t="shared" si="18"/>
        <v>0</v>
      </c>
      <c r="H101" s="55">
        <v>0</v>
      </c>
      <c r="I101" s="143" t="s">
        <v>2691</v>
      </c>
      <c r="J101" s="127">
        <f t="shared" si="19"/>
        <v>0</v>
      </c>
    </row>
    <row r="102" spans="1:10" ht="16">
      <c r="A102" s="2">
        <v>11</v>
      </c>
      <c r="B102" t="s">
        <v>2935</v>
      </c>
      <c r="C102" s="2" t="s">
        <v>83</v>
      </c>
      <c r="D102" s="2" t="s">
        <v>2678</v>
      </c>
      <c r="E102" s="55">
        <f t="shared" si="16"/>
        <v>0</v>
      </c>
      <c r="F102" s="55">
        <f t="shared" si="17"/>
        <v>0</v>
      </c>
      <c r="G102" s="55">
        <f t="shared" si="18"/>
        <v>0</v>
      </c>
      <c r="H102" s="55">
        <v>0</v>
      </c>
      <c r="I102" s="143" t="s">
        <v>2703</v>
      </c>
      <c r="J102" s="127">
        <f t="shared" si="19"/>
        <v>0</v>
      </c>
    </row>
    <row r="103" spans="1:10">
      <c r="A103" s="2">
        <v>12</v>
      </c>
      <c r="B103" t="s">
        <v>93</v>
      </c>
      <c r="C103" s="2" t="s">
        <v>83</v>
      </c>
      <c r="D103" s="2" t="s">
        <v>2678</v>
      </c>
      <c r="E103" s="3">
        <f t="shared" si="16"/>
        <v>153.9437037037037</v>
      </c>
      <c r="F103" s="3">
        <f t="shared" si="17"/>
        <v>431.04237037037041</v>
      </c>
      <c r="G103" s="3">
        <f t="shared" si="18"/>
        <v>1847.3244444444445</v>
      </c>
      <c r="H103" s="3">
        <f>H14*($H$90/7500)</f>
        <v>2770.9866666666667</v>
      </c>
      <c r="J103" s="127">
        <f t="shared" si="19"/>
        <v>30.788740740740742</v>
      </c>
    </row>
    <row r="104" spans="1:10" ht="16">
      <c r="A104" s="2">
        <v>13</v>
      </c>
      <c r="B104" t="s">
        <v>75</v>
      </c>
      <c r="C104" s="2" t="s">
        <v>67</v>
      </c>
      <c r="D104" s="2" t="s">
        <v>2678</v>
      </c>
      <c r="E104" s="55">
        <f t="shared" si="16"/>
        <v>0</v>
      </c>
      <c r="F104" s="55">
        <f t="shared" si="17"/>
        <v>0</v>
      </c>
      <c r="G104" s="55">
        <f t="shared" si="18"/>
        <v>0</v>
      </c>
      <c r="H104" s="55">
        <v>0</v>
      </c>
      <c r="I104" s="143" t="s">
        <v>2691</v>
      </c>
      <c r="J104" s="127">
        <f t="shared" si="19"/>
        <v>0</v>
      </c>
    </row>
    <row r="105" spans="1:10" ht="16">
      <c r="A105" s="2">
        <v>14</v>
      </c>
      <c r="B105" t="s">
        <v>74</v>
      </c>
      <c r="C105" s="2" t="s">
        <v>67</v>
      </c>
      <c r="D105" s="2" t="s">
        <v>2678</v>
      </c>
      <c r="E105" s="55">
        <f t="shared" si="16"/>
        <v>0</v>
      </c>
      <c r="F105" s="55">
        <f t="shared" si="17"/>
        <v>0</v>
      </c>
      <c r="G105" s="55">
        <f t="shared" si="18"/>
        <v>0</v>
      </c>
      <c r="H105" s="55">
        <v>0</v>
      </c>
      <c r="I105" s="143" t="s">
        <v>2691</v>
      </c>
      <c r="J105" s="127">
        <f t="shared" si="19"/>
        <v>0</v>
      </c>
    </row>
    <row r="106" spans="1:10">
      <c r="A106" s="2">
        <v>15</v>
      </c>
      <c r="B106" t="s">
        <v>94</v>
      </c>
      <c r="C106" s="2" t="s">
        <v>85</v>
      </c>
      <c r="D106" s="2" t="s">
        <v>2678</v>
      </c>
      <c r="E106" s="3">
        <f t="shared" si="16"/>
        <v>115.45777777777778</v>
      </c>
      <c r="F106" s="3">
        <f t="shared" si="17"/>
        <v>323.28177777777785</v>
      </c>
      <c r="G106" s="3">
        <f t="shared" si="18"/>
        <v>1385.4933333333333</v>
      </c>
      <c r="H106" s="3">
        <f>H17*($H$90/7500)</f>
        <v>2078.2400000000002</v>
      </c>
      <c r="J106" s="127">
        <f t="shared" si="19"/>
        <v>23.091555555555558</v>
      </c>
    </row>
    <row r="107" spans="1:10">
      <c r="A107" s="2">
        <v>16</v>
      </c>
      <c r="B107" t="s">
        <v>267</v>
      </c>
      <c r="C107" s="2" t="s">
        <v>96</v>
      </c>
      <c r="D107" s="2" t="s">
        <v>2678</v>
      </c>
      <c r="E107" s="3">
        <f t="shared" si="16"/>
        <v>153.97629629629631</v>
      </c>
      <c r="F107" s="3">
        <f t="shared" si="17"/>
        <v>431.1336296296297</v>
      </c>
      <c r="G107" s="3">
        <f t="shared" si="18"/>
        <v>1847.7155555555557</v>
      </c>
      <c r="H107" s="3">
        <f>H18*($H$90/7500)</f>
        <v>2771.5733333333337</v>
      </c>
      <c r="J107" s="127">
        <f t="shared" si="19"/>
        <v>30.795259259259264</v>
      </c>
    </row>
    <row r="108" spans="1:10" ht="16">
      <c r="A108" s="2">
        <v>17</v>
      </c>
      <c r="B108" t="s">
        <v>77</v>
      </c>
      <c r="C108" s="2" t="s">
        <v>67</v>
      </c>
      <c r="D108" s="2" t="s">
        <v>2678</v>
      </c>
      <c r="E108" s="55">
        <f t="shared" si="16"/>
        <v>0</v>
      </c>
      <c r="F108" s="55">
        <f t="shared" si="17"/>
        <v>0</v>
      </c>
      <c r="G108" s="55">
        <f t="shared" si="18"/>
        <v>0</v>
      </c>
      <c r="H108" s="55">
        <v>0</v>
      </c>
      <c r="I108" s="143" t="s">
        <v>2680</v>
      </c>
      <c r="J108" s="127">
        <f t="shared" si="19"/>
        <v>0</v>
      </c>
    </row>
    <row r="109" spans="1:10" ht="16">
      <c r="A109" s="2">
        <v>18</v>
      </c>
      <c r="B109" t="s">
        <v>76</v>
      </c>
      <c r="C109" s="2" t="s">
        <v>67</v>
      </c>
      <c r="D109" s="2" t="s">
        <v>2678</v>
      </c>
      <c r="E109" s="55">
        <f t="shared" si="16"/>
        <v>0</v>
      </c>
      <c r="F109" s="55">
        <f t="shared" si="17"/>
        <v>0</v>
      </c>
      <c r="G109" s="55">
        <f t="shared" si="18"/>
        <v>0</v>
      </c>
      <c r="H109" s="55">
        <v>0</v>
      </c>
      <c r="I109" s="143" t="s">
        <v>2680</v>
      </c>
      <c r="J109" s="127">
        <f t="shared" si="19"/>
        <v>0</v>
      </c>
    </row>
    <row r="110" spans="1:10">
      <c r="A110" s="2">
        <v>19</v>
      </c>
      <c r="B110" t="s">
        <v>97</v>
      </c>
      <c r="C110" s="2" t="s">
        <v>98</v>
      </c>
      <c r="D110" s="2" t="s">
        <v>2678</v>
      </c>
      <c r="E110" s="3">
        <f t="shared" si="16"/>
        <v>230.91555555555556</v>
      </c>
      <c r="F110" s="3">
        <f t="shared" si="17"/>
        <v>646.56355555555569</v>
      </c>
      <c r="G110" s="3">
        <f t="shared" si="18"/>
        <v>2770.9866666666667</v>
      </c>
      <c r="H110" s="3">
        <f>H21*($H$90/7500)</f>
        <v>4156.4800000000005</v>
      </c>
      <c r="J110" s="127">
        <f t="shared" si="19"/>
        <v>46.183111111111117</v>
      </c>
    </row>
    <row r="112" spans="1:10">
      <c r="A112" s="12" t="s">
        <v>31</v>
      </c>
      <c r="B112" s="12" t="s">
        <v>2948</v>
      </c>
      <c r="G112" s="10"/>
      <c r="H112" s="10">
        <f>SUMIF('Employees Supported'!$A$2:$A$29,$A112,'Employees Supported'!$C$2:$C$29)</f>
        <v>700</v>
      </c>
    </row>
    <row r="113" spans="1:10">
      <c r="A113" s="29" t="s">
        <v>2651</v>
      </c>
      <c r="B113" s="29" t="s">
        <v>53</v>
      </c>
      <c r="C113" s="29" t="s">
        <v>22</v>
      </c>
      <c r="D113" s="30" t="s">
        <v>2678</v>
      </c>
      <c r="E113" s="30" t="s">
        <v>2918</v>
      </c>
      <c r="F113" s="30" t="s">
        <v>2919</v>
      </c>
      <c r="G113" s="30" t="s">
        <v>2920</v>
      </c>
      <c r="H113" s="30" t="s">
        <v>2921</v>
      </c>
    </row>
    <row r="114" spans="1:10">
      <c r="A114" s="2">
        <v>1</v>
      </c>
      <c r="B114" t="s">
        <v>66</v>
      </c>
      <c r="C114" s="2" t="s">
        <v>67</v>
      </c>
      <c r="D114" s="2" t="s">
        <v>2678</v>
      </c>
      <c r="E114" s="3">
        <f t="shared" ref="E114:E132" si="20">(5/90)*H114</f>
        <v>6061.5333333333338</v>
      </c>
      <c r="F114" s="3">
        <f t="shared" ref="F114:F132" si="21">(14/90)*H114</f>
        <v>16972.293333333335</v>
      </c>
      <c r="G114" s="3">
        <f t="shared" ref="G114:G132" si="22">(60/90)*H114</f>
        <v>72738.399999999994</v>
      </c>
      <c r="H114" s="3">
        <f>H3*($H$112/7500)</f>
        <v>109107.6</v>
      </c>
      <c r="J114" s="127">
        <f>SUM(H114)/90</f>
        <v>1212.3066666666668</v>
      </c>
    </row>
    <row r="115" spans="1:10">
      <c r="A115" s="2">
        <v>2</v>
      </c>
      <c r="B115" t="s">
        <v>68</v>
      </c>
      <c r="C115" s="2" t="s">
        <v>67</v>
      </c>
      <c r="D115" s="2" t="s">
        <v>2678</v>
      </c>
      <c r="E115" s="3">
        <f t="shared" si="20"/>
        <v>10500</v>
      </c>
      <c r="F115" s="3">
        <f t="shared" si="21"/>
        <v>29400</v>
      </c>
      <c r="G115" s="3">
        <f t="shared" si="22"/>
        <v>126000</v>
      </c>
      <c r="H115" s="3">
        <f>3*H112*90</f>
        <v>189000</v>
      </c>
      <c r="J115" s="127">
        <f t="shared" ref="J115:J132" si="23">SUM(H115)/90</f>
        <v>2100</v>
      </c>
    </row>
    <row r="116" spans="1:10" ht="16">
      <c r="A116" s="2">
        <v>3</v>
      </c>
      <c r="B116" t="s">
        <v>70</v>
      </c>
      <c r="C116" s="2" t="s">
        <v>71</v>
      </c>
      <c r="D116" s="2" t="s">
        <v>2678</v>
      </c>
      <c r="E116" s="55">
        <f t="shared" si="20"/>
        <v>0</v>
      </c>
      <c r="F116" s="55">
        <f t="shared" si="21"/>
        <v>0</v>
      </c>
      <c r="G116" s="55">
        <f t="shared" si="22"/>
        <v>0</v>
      </c>
      <c r="H116" s="55">
        <v>0</v>
      </c>
      <c r="I116" s="143" t="s">
        <v>2703</v>
      </c>
      <c r="J116" s="127">
        <f t="shared" si="23"/>
        <v>0</v>
      </c>
    </row>
    <row r="117" spans="1:10">
      <c r="A117" s="2">
        <v>4</v>
      </c>
      <c r="B117" t="s">
        <v>72</v>
      </c>
      <c r="C117" s="2" t="s">
        <v>71</v>
      </c>
      <c r="D117" s="2" t="s">
        <v>2678</v>
      </c>
      <c r="E117" s="3">
        <f t="shared" si="20"/>
        <v>18184.599999999999</v>
      </c>
      <c r="F117" s="3">
        <f t="shared" si="21"/>
        <v>50916.88</v>
      </c>
      <c r="G117" s="3">
        <f t="shared" si="22"/>
        <v>218215.19999999998</v>
      </c>
      <c r="H117" s="3">
        <f>H6*($H$112/7500)</f>
        <v>327322.8</v>
      </c>
      <c r="J117" s="127">
        <f t="shared" si="23"/>
        <v>3636.92</v>
      </c>
    </row>
    <row r="118" spans="1:10">
      <c r="A118" s="2">
        <v>5</v>
      </c>
      <c r="B118" t="s">
        <v>2669</v>
      </c>
      <c r="C118" s="2" t="s">
        <v>67</v>
      </c>
      <c r="D118" s="2" t="s">
        <v>2678</v>
      </c>
      <c r="E118" s="3">
        <f t="shared" si="20"/>
        <v>466.66666666666663</v>
      </c>
      <c r="F118" s="3">
        <f t="shared" si="21"/>
        <v>1306.6666666666667</v>
      </c>
      <c r="G118" s="3">
        <f t="shared" si="22"/>
        <v>5600</v>
      </c>
      <c r="H118" s="3">
        <f>H7*($H$112/7500)</f>
        <v>8400</v>
      </c>
      <c r="J118" s="127">
        <f t="shared" si="23"/>
        <v>93.333333333333329</v>
      </c>
    </row>
    <row r="119" spans="1:10">
      <c r="A119" s="2">
        <v>6</v>
      </c>
      <c r="B119" t="s">
        <v>78</v>
      </c>
      <c r="C119" s="2" t="s">
        <v>79</v>
      </c>
      <c r="D119" s="2" t="s">
        <v>2678</v>
      </c>
      <c r="E119" s="3">
        <f t="shared" si="20"/>
        <v>202.05111111111111</v>
      </c>
      <c r="F119" s="3">
        <f t="shared" si="21"/>
        <v>565.74311111111115</v>
      </c>
      <c r="G119" s="3">
        <f t="shared" si="22"/>
        <v>2424.6133333333332</v>
      </c>
      <c r="H119" s="3">
        <f>H8*($H$112/7500)</f>
        <v>3636.92</v>
      </c>
      <c r="J119" s="127">
        <f t="shared" si="23"/>
        <v>40.410222222222224</v>
      </c>
    </row>
    <row r="120" spans="1:10" ht="16">
      <c r="A120" s="2">
        <v>7</v>
      </c>
      <c r="B120" t="s">
        <v>80</v>
      </c>
      <c r="C120" s="2" t="s">
        <v>81</v>
      </c>
      <c r="D120" s="2" t="s">
        <v>2678</v>
      </c>
      <c r="E120" s="55">
        <f t="shared" si="20"/>
        <v>0</v>
      </c>
      <c r="F120" s="55">
        <f t="shared" si="21"/>
        <v>0</v>
      </c>
      <c r="G120" s="55">
        <f t="shared" si="22"/>
        <v>0</v>
      </c>
      <c r="H120" s="55">
        <v>0</v>
      </c>
      <c r="I120" s="143" t="s">
        <v>2703</v>
      </c>
      <c r="J120" s="127">
        <f t="shared" si="23"/>
        <v>0</v>
      </c>
    </row>
    <row r="121" spans="1:10">
      <c r="A121" s="2">
        <v>8</v>
      </c>
      <c r="B121" t="s">
        <v>2932</v>
      </c>
      <c r="C121" s="2" t="s">
        <v>83</v>
      </c>
      <c r="D121" s="2" t="s">
        <v>2678</v>
      </c>
      <c r="E121" s="3">
        <f t="shared" si="20"/>
        <v>269.40148148148148</v>
      </c>
      <c r="F121" s="3">
        <f t="shared" si="21"/>
        <v>754.32414814814808</v>
      </c>
      <c r="G121" s="3">
        <f t="shared" si="22"/>
        <v>3232.8177777777773</v>
      </c>
      <c r="H121" s="3">
        <f>H10*($H$112/7500)</f>
        <v>4849.2266666666665</v>
      </c>
      <c r="J121" s="127">
        <f t="shared" si="23"/>
        <v>53.880296296296294</v>
      </c>
    </row>
    <row r="122" spans="1:10">
      <c r="A122" s="2">
        <v>9</v>
      </c>
      <c r="B122" t="s">
        <v>84</v>
      </c>
      <c r="C122" s="2" t="s">
        <v>85</v>
      </c>
      <c r="D122" s="2" t="s">
        <v>2678</v>
      </c>
      <c r="E122" s="3">
        <f t="shared" si="20"/>
        <v>19.444444444444443</v>
      </c>
      <c r="F122" s="3">
        <f t="shared" si="21"/>
        <v>54.444444444444443</v>
      </c>
      <c r="G122" s="3">
        <f t="shared" si="22"/>
        <v>233.33333333333331</v>
      </c>
      <c r="H122" s="3">
        <f>H11*($H$112/7500)</f>
        <v>350</v>
      </c>
      <c r="J122" s="127">
        <f t="shared" si="23"/>
        <v>3.8888888888888888</v>
      </c>
    </row>
    <row r="123" spans="1:10" ht="16">
      <c r="A123" s="2">
        <v>10</v>
      </c>
      <c r="B123" t="s">
        <v>89</v>
      </c>
      <c r="C123" s="2" t="s">
        <v>67</v>
      </c>
      <c r="D123" s="2" t="s">
        <v>2678</v>
      </c>
      <c r="E123" s="55">
        <f t="shared" si="20"/>
        <v>0</v>
      </c>
      <c r="F123" s="55">
        <f t="shared" si="21"/>
        <v>0</v>
      </c>
      <c r="G123" s="55">
        <f t="shared" si="22"/>
        <v>0</v>
      </c>
      <c r="H123" s="55">
        <v>0</v>
      </c>
      <c r="I123" s="143" t="s">
        <v>2691</v>
      </c>
      <c r="J123" s="127">
        <f t="shared" si="23"/>
        <v>0</v>
      </c>
    </row>
    <row r="124" spans="1:10" ht="16">
      <c r="A124" s="2">
        <v>11</v>
      </c>
      <c r="B124" t="s">
        <v>2935</v>
      </c>
      <c r="C124" s="2" t="s">
        <v>83</v>
      </c>
      <c r="D124" s="2" t="s">
        <v>2678</v>
      </c>
      <c r="E124" s="55">
        <f t="shared" si="20"/>
        <v>0</v>
      </c>
      <c r="F124" s="55">
        <f t="shared" si="21"/>
        <v>0</v>
      </c>
      <c r="G124" s="55">
        <f t="shared" si="22"/>
        <v>0</v>
      </c>
      <c r="H124" s="55">
        <v>0</v>
      </c>
      <c r="I124" s="143" t="s">
        <v>2703</v>
      </c>
      <c r="J124" s="127">
        <f t="shared" si="23"/>
        <v>0</v>
      </c>
    </row>
    <row r="125" spans="1:10">
      <c r="A125" s="2">
        <v>12</v>
      </c>
      <c r="B125" t="s">
        <v>93</v>
      </c>
      <c r="C125" s="2" t="s">
        <v>83</v>
      </c>
      <c r="D125" s="2" t="s">
        <v>2678</v>
      </c>
      <c r="E125" s="3">
        <f t="shared" si="20"/>
        <v>269.40148148148148</v>
      </c>
      <c r="F125" s="3">
        <f t="shared" si="21"/>
        <v>754.32414814814808</v>
      </c>
      <c r="G125" s="3">
        <f t="shared" si="22"/>
        <v>3232.8177777777773</v>
      </c>
      <c r="H125" s="3">
        <f>H14*($H$112/7500)</f>
        <v>4849.2266666666665</v>
      </c>
      <c r="J125" s="127">
        <f t="shared" si="23"/>
        <v>53.880296296296294</v>
      </c>
    </row>
    <row r="126" spans="1:10" ht="16">
      <c r="A126" s="2">
        <v>13</v>
      </c>
      <c r="B126" t="s">
        <v>75</v>
      </c>
      <c r="C126" s="2" t="s">
        <v>67</v>
      </c>
      <c r="D126" s="2" t="s">
        <v>2678</v>
      </c>
      <c r="E126" s="55">
        <f t="shared" si="20"/>
        <v>0</v>
      </c>
      <c r="F126" s="55">
        <f t="shared" si="21"/>
        <v>0</v>
      </c>
      <c r="G126" s="55">
        <f t="shared" si="22"/>
        <v>0</v>
      </c>
      <c r="H126" s="55">
        <v>0</v>
      </c>
      <c r="I126" s="143" t="s">
        <v>2691</v>
      </c>
      <c r="J126" s="127">
        <f t="shared" si="23"/>
        <v>0</v>
      </c>
    </row>
    <row r="127" spans="1:10" ht="16">
      <c r="A127" s="2">
        <v>14</v>
      </c>
      <c r="B127" t="s">
        <v>74</v>
      </c>
      <c r="C127" s="2" t="s">
        <v>67</v>
      </c>
      <c r="D127" s="2" t="s">
        <v>2678</v>
      </c>
      <c r="E127" s="55">
        <f t="shared" si="20"/>
        <v>0</v>
      </c>
      <c r="F127" s="55">
        <f t="shared" si="21"/>
        <v>0</v>
      </c>
      <c r="G127" s="55">
        <f t="shared" si="22"/>
        <v>0</v>
      </c>
      <c r="H127" s="55">
        <v>0</v>
      </c>
      <c r="I127" s="143" t="s">
        <v>2691</v>
      </c>
      <c r="J127" s="127">
        <f t="shared" si="23"/>
        <v>0</v>
      </c>
    </row>
    <row r="128" spans="1:10">
      <c r="A128" s="2">
        <v>15</v>
      </c>
      <c r="B128" t="s">
        <v>94</v>
      </c>
      <c r="C128" s="2" t="s">
        <v>85</v>
      </c>
      <c r="D128" s="2" t="s">
        <v>2678</v>
      </c>
      <c r="E128" s="3">
        <f t="shared" si="20"/>
        <v>202.05111111111111</v>
      </c>
      <c r="F128" s="3">
        <f t="shared" si="21"/>
        <v>565.74311111111115</v>
      </c>
      <c r="G128" s="3">
        <f t="shared" si="22"/>
        <v>2424.6133333333332</v>
      </c>
      <c r="H128" s="3">
        <f>H17*($H$112/7500)</f>
        <v>3636.92</v>
      </c>
      <c r="J128" s="127">
        <f t="shared" si="23"/>
        <v>40.410222222222224</v>
      </c>
    </row>
    <row r="129" spans="1:10">
      <c r="A129" s="2">
        <v>16</v>
      </c>
      <c r="B129" t="s">
        <v>267</v>
      </c>
      <c r="C129" s="2" t="s">
        <v>96</v>
      </c>
      <c r="D129" s="2" t="s">
        <v>2678</v>
      </c>
      <c r="E129" s="3">
        <f t="shared" si="20"/>
        <v>269.45851851851847</v>
      </c>
      <c r="F129" s="3">
        <f t="shared" si="21"/>
        <v>754.4838518518518</v>
      </c>
      <c r="G129" s="3">
        <f t="shared" si="22"/>
        <v>3233.5022222222219</v>
      </c>
      <c r="H129" s="3">
        <f>H18*($H$112/7500)</f>
        <v>4850.2533333333331</v>
      </c>
      <c r="J129" s="127">
        <f t="shared" si="23"/>
        <v>53.891703703703698</v>
      </c>
    </row>
    <row r="130" spans="1:10" ht="16">
      <c r="A130" s="2">
        <v>17</v>
      </c>
      <c r="B130" t="s">
        <v>77</v>
      </c>
      <c r="C130" s="2" t="s">
        <v>67</v>
      </c>
      <c r="D130" s="2" t="s">
        <v>2678</v>
      </c>
      <c r="E130" s="55">
        <f t="shared" si="20"/>
        <v>0</v>
      </c>
      <c r="F130" s="55">
        <f t="shared" si="21"/>
        <v>0</v>
      </c>
      <c r="G130" s="55">
        <f t="shared" si="22"/>
        <v>0</v>
      </c>
      <c r="H130" s="55">
        <v>0</v>
      </c>
      <c r="I130" s="143" t="s">
        <v>2680</v>
      </c>
      <c r="J130" s="127">
        <f t="shared" si="23"/>
        <v>0</v>
      </c>
    </row>
    <row r="131" spans="1:10" ht="16">
      <c r="A131" s="2">
        <v>18</v>
      </c>
      <c r="B131" t="s">
        <v>76</v>
      </c>
      <c r="C131" s="2" t="s">
        <v>67</v>
      </c>
      <c r="D131" s="2" t="s">
        <v>2678</v>
      </c>
      <c r="E131" s="55">
        <f t="shared" si="20"/>
        <v>0</v>
      </c>
      <c r="F131" s="55">
        <f t="shared" si="21"/>
        <v>0</v>
      </c>
      <c r="G131" s="55">
        <f t="shared" si="22"/>
        <v>0</v>
      </c>
      <c r="H131" s="55">
        <v>0</v>
      </c>
      <c r="I131" s="143" t="s">
        <v>2680</v>
      </c>
      <c r="J131" s="127">
        <f t="shared" si="23"/>
        <v>0</v>
      </c>
    </row>
    <row r="132" spans="1:10">
      <c r="A132" s="2">
        <v>19</v>
      </c>
      <c r="B132" t="s">
        <v>97</v>
      </c>
      <c r="C132" s="2" t="s">
        <v>98</v>
      </c>
      <c r="D132" s="2" t="s">
        <v>2678</v>
      </c>
      <c r="E132" s="3">
        <f t="shared" si="20"/>
        <v>404.10222222222222</v>
      </c>
      <c r="F132" s="3">
        <f t="shared" si="21"/>
        <v>1131.4862222222223</v>
      </c>
      <c r="G132" s="3">
        <f t="shared" si="22"/>
        <v>4849.2266666666665</v>
      </c>
      <c r="H132" s="3">
        <f>H21*($H$112/7500)</f>
        <v>7273.84</v>
      </c>
      <c r="J132" s="127">
        <f t="shared" si="23"/>
        <v>80.820444444444448</v>
      </c>
    </row>
    <row r="134" spans="1:10">
      <c r="A134" s="12" t="s">
        <v>29</v>
      </c>
      <c r="B134" s="12" t="s">
        <v>2949</v>
      </c>
      <c r="G134" s="10"/>
      <c r="H134" s="10">
        <f>SUMIF('Employees Supported'!$A$2:$A$29,$A134,'Employees Supported'!$C$2:$C$29)</f>
        <v>550</v>
      </c>
    </row>
    <row r="135" spans="1:10">
      <c r="A135" s="29" t="s">
        <v>2651</v>
      </c>
      <c r="B135" s="29" t="s">
        <v>53</v>
      </c>
      <c r="C135" s="29" t="s">
        <v>22</v>
      </c>
      <c r="D135" s="30" t="s">
        <v>2678</v>
      </c>
      <c r="E135" s="30" t="s">
        <v>2918</v>
      </c>
      <c r="F135" s="30" t="s">
        <v>2919</v>
      </c>
      <c r="G135" s="30" t="s">
        <v>2920</v>
      </c>
      <c r="H135" s="30" t="s">
        <v>2921</v>
      </c>
    </row>
    <row r="136" spans="1:10">
      <c r="A136" s="2">
        <v>1</v>
      </c>
      <c r="B136" t="s">
        <v>66</v>
      </c>
      <c r="C136" s="2" t="s">
        <v>67</v>
      </c>
      <c r="D136" s="2" t="s">
        <v>2678</v>
      </c>
      <c r="E136" s="3">
        <f t="shared" ref="E136:E154" si="24">(5/90)*H136</f>
        <v>4762.6333333333323</v>
      </c>
      <c r="F136" s="3">
        <f t="shared" ref="F136:F154" si="25">(14/90)*H136</f>
        <v>13335.373333333333</v>
      </c>
      <c r="G136" s="3">
        <f t="shared" ref="G136:G154" si="26">(60/90)*H136</f>
        <v>57151.599999999991</v>
      </c>
      <c r="H136" s="3">
        <f>H3*($H$134/7500)</f>
        <v>85727.4</v>
      </c>
      <c r="J136" s="127">
        <f>SUM(H136)/90</f>
        <v>952.52666666666664</v>
      </c>
    </row>
    <row r="137" spans="1:10">
      <c r="A137" s="2">
        <v>2</v>
      </c>
      <c r="B137" t="s">
        <v>68</v>
      </c>
      <c r="C137" s="2" t="s">
        <v>67</v>
      </c>
      <c r="D137" s="2" t="s">
        <v>2678</v>
      </c>
      <c r="E137" s="3">
        <f t="shared" si="24"/>
        <v>8250</v>
      </c>
      <c r="F137" s="3">
        <f t="shared" si="25"/>
        <v>23100</v>
      </c>
      <c r="G137" s="3">
        <f t="shared" si="26"/>
        <v>99000</v>
      </c>
      <c r="H137" s="3">
        <f>3*H134*90</f>
        <v>148500</v>
      </c>
      <c r="J137" s="127">
        <f t="shared" ref="J137:J154" si="27">SUM(H137)/90</f>
        <v>1650</v>
      </c>
    </row>
    <row r="138" spans="1:10" ht="16">
      <c r="A138" s="2">
        <v>3</v>
      </c>
      <c r="B138" t="s">
        <v>70</v>
      </c>
      <c r="C138" s="2" t="s">
        <v>71</v>
      </c>
      <c r="D138" s="2" t="s">
        <v>2678</v>
      </c>
      <c r="E138" s="55">
        <f t="shared" si="24"/>
        <v>0</v>
      </c>
      <c r="F138" s="55">
        <f t="shared" si="25"/>
        <v>0</v>
      </c>
      <c r="G138" s="55">
        <f t="shared" si="26"/>
        <v>0</v>
      </c>
      <c r="H138" s="55">
        <v>0</v>
      </c>
      <c r="I138" s="143" t="s">
        <v>2703</v>
      </c>
      <c r="J138" s="127">
        <f t="shared" si="27"/>
        <v>0</v>
      </c>
    </row>
    <row r="139" spans="1:10">
      <c r="A139" s="2">
        <v>4</v>
      </c>
      <c r="B139" t="s">
        <v>72</v>
      </c>
      <c r="C139" s="2" t="s">
        <v>71</v>
      </c>
      <c r="D139" s="2" t="s">
        <v>2678</v>
      </c>
      <c r="E139" s="3">
        <f t="shared" si="24"/>
        <v>14287.9</v>
      </c>
      <c r="F139" s="3">
        <f t="shared" si="25"/>
        <v>40006.120000000003</v>
      </c>
      <c r="G139" s="3">
        <f t="shared" si="26"/>
        <v>171454.8</v>
      </c>
      <c r="H139" s="3">
        <f>H6*($H$134/7500)</f>
        <v>257182.2</v>
      </c>
      <c r="J139" s="127">
        <f t="shared" si="27"/>
        <v>2857.58</v>
      </c>
    </row>
    <row r="140" spans="1:10">
      <c r="A140" s="2">
        <v>5</v>
      </c>
      <c r="B140" t="s">
        <v>2669</v>
      </c>
      <c r="C140" s="2" t="s">
        <v>67</v>
      </c>
      <c r="D140" s="2" t="s">
        <v>2678</v>
      </c>
      <c r="E140" s="3">
        <f t="shared" si="24"/>
        <v>366.66666666666663</v>
      </c>
      <c r="F140" s="3">
        <f t="shared" si="25"/>
        <v>1026.6666666666667</v>
      </c>
      <c r="G140" s="3">
        <f t="shared" si="26"/>
        <v>4400</v>
      </c>
      <c r="H140" s="3">
        <f>H7*($H$134/7500)</f>
        <v>6600</v>
      </c>
      <c r="J140" s="127">
        <f t="shared" si="27"/>
        <v>73.333333333333329</v>
      </c>
    </row>
    <row r="141" spans="1:10">
      <c r="A141" s="2">
        <v>6</v>
      </c>
      <c r="B141" t="s">
        <v>78</v>
      </c>
      <c r="C141" s="2" t="s">
        <v>79</v>
      </c>
      <c r="D141" s="2" t="s">
        <v>2678</v>
      </c>
      <c r="E141" s="3">
        <f t="shared" si="24"/>
        <v>158.75444444444443</v>
      </c>
      <c r="F141" s="3">
        <f t="shared" si="25"/>
        <v>444.51244444444444</v>
      </c>
      <c r="G141" s="3">
        <f t="shared" si="26"/>
        <v>1905.0533333333333</v>
      </c>
      <c r="H141" s="3">
        <f>H8*($H$134/7500)</f>
        <v>2857.58</v>
      </c>
      <c r="J141" s="127">
        <f t="shared" si="27"/>
        <v>31.750888888888888</v>
      </c>
    </row>
    <row r="142" spans="1:10" ht="16">
      <c r="A142" s="2">
        <v>7</v>
      </c>
      <c r="B142" t="s">
        <v>80</v>
      </c>
      <c r="C142" s="2" t="s">
        <v>81</v>
      </c>
      <c r="D142" s="2" t="s">
        <v>2678</v>
      </c>
      <c r="E142" s="55">
        <f t="shared" si="24"/>
        <v>0</v>
      </c>
      <c r="F142" s="55">
        <f t="shared" si="25"/>
        <v>0</v>
      </c>
      <c r="G142" s="55">
        <f t="shared" si="26"/>
        <v>0</v>
      </c>
      <c r="H142" s="55">
        <v>0</v>
      </c>
      <c r="I142" s="143" t="s">
        <v>2703</v>
      </c>
      <c r="J142" s="127">
        <f t="shared" si="27"/>
        <v>0</v>
      </c>
    </row>
    <row r="143" spans="1:10">
      <c r="A143" s="2">
        <v>8</v>
      </c>
      <c r="B143" t="s">
        <v>2932</v>
      </c>
      <c r="C143" s="2" t="s">
        <v>83</v>
      </c>
      <c r="D143" s="2" t="s">
        <v>2678</v>
      </c>
      <c r="E143" s="3">
        <f t="shared" si="24"/>
        <v>211.67259259259257</v>
      </c>
      <c r="F143" s="3">
        <f t="shared" si="25"/>
        <v>592.68325925925922</v>
      </c>
      <c r="G143" s="3">
        <f t="shared" si="26"/>
        <v>2540.0711111111109</v>
      </c>
      <c r="H143" s="3">
        <f>H10*($H$134/7500)</f>
        <v>3810.1066666666666</v>
      </c>
      <c r="J143" s="127">
        <f t="shared" si="27"/>
        <v>42.334518518518514</v>
      </c>
    </row>
    <row r="144" spans="1:10">
      <c r="A144" s="2">
        <v>9</v>
      </c>
      <c r="B144" t="s">
        <v>84</v>
      </c>
      <c r="C144" s="2" t="s">
        <v>85</v>
      </c>
      <c r="D144" s="2" t="s">
        <v>2678</v>
      </c>
      <c r="E144" s="3">
        <f t="shared" si="24"/>
        <v>15.277777777777777</v>
      </c>
      <c r="F144" s="3">
        <f t="shared" si="25"/>
        <v>42.777777777777779</v>
      </c>
      <c r="G144" s="3">
        <f t="shared" si="26"/>
        <v>183.33333333333331</v>
      </c>
      <c r="H144" s="3">
        <f>H11*($H$134/7500)</f>
        <v>275</v>
      </c>
      <c r="J144" s="127">
        <f t="shared" si="27"/>
        <v>3.0555555555555554</v>
      </c>
    </row>
    <row r="145" spans="1:10" ht="16">
      <c r="A145" s="2">
        <v>10</v>
      </c>
      <c r="B145" t="s">
        <v>89</v>
      </c>
      <c r="C145" s="2" t="s">
        <v>67</v>
      </c>
      <c r="D145" s="2" t="s">
        <v>2678</v>
      </c>
      <c r="E145" s="55">
        <f t="shared" si="24"/>
        <v>0</v>
      </c>
      <c r="F145" s="55">
        <f t="shared" si="25"/>
        <v>0</v>
      </c>
      <c r="G145" s="55">
        <f t="shared" si="26"/>
        <v>0</v>
      </c>
      <c r="H145" s="55">
        <v>0</v>
      </c>
      <c r="I145" s="143" t="s">
        <v>2691</v>
      </c>
      <c r="J145" s="127">
        <f t="shared" si="27"/>
        <v>0</v>
      </c>
    </row>
    <row r="146" spans="1:10" ht="16">
      <c r="A146" s="2">
        <v>11</v>
      </c>
      <c r="B146" t="s">
        <v>2935</v>
      </c>
      <c r="C146" s="2" t="s">
        <v>83</v>
      </c>
      <c r="D146" s="2" t="s">
        <v>2678</v>
      </c>
      <c r="E146" s="55">
        <f t="shared" si="24"/>
        <v>0</v>
      </c>
      <c r="F146" s="55">
        <f t="shared" si="25"/>
        <v>0</v>
      </c>
      <c r="G146" s="55">
        <f t="shared" si="26"/>
        <v>0</v>
      </c>
      <c r="H146" s="55">
        <v>0</v>
      </c>
      <c r="I146" s="143" t="s">
        <v>2703</v>
      </c>
      <c r="J146" s="127">
        <f t="shared" si="27"/>
        <v>0</v>
      </c>
    </row>
    <row r="147" spans="1:10">
      <c r="A147" s="2">
        <v>12</v>
      </c>
      <c r="B147" t="s">
        <v>93</v>
      </c>
      <c r="C147" s="2" t="s">
        <v>83</v>
      </c>
      <c r="D147" s="2" t="s">
        <v>2678</v>
      </c>
      <c r="E147" s="3">
        <f t="shared" si="24"/>
        <v>211.67259259259257</v>
      </c>
      <c r="F147" s="3">
        <f t="shared" si="25"/>
        <v>592.68325925925922</v>
      </c>
      <c r="G147" s="3">
        <f t="shared" si="26"/>
        <v>2540.0711111111109</v>
      </c>
      <c r="H147" s="3">
        <f>H14*($H$134/7500)</f>
        <v>3810.1066666666666</v>
      </c>
      <c r="J147" s="127">
        <f t="shared" si="27"/>
        <v>42.334518518518514</v>
      </c>
    </row>
    <row r="148" spans="1:10" ht="16">
      <c r="A148" s="2">
        <v>13</v>
      </c>
      <c r="B148" t="s">
        <v>75</v>
      </c>
      <c r="C148" s="2" t="s">
        <v>67</v>
      </c>
      <c r="D148" s="2" t="s">
        <v>2678</v>
      </c>
      <c r="E148" s="55">
        <f t="shared" si="24"/>
        <v>0</v>
      </c>
      <c r="F148" s="55">
        <f t="shared" si="25"/>
        <v>0</v>
      </c>
      <c r="G148" s="55">
        <f t="shared" si="26"/>
        <v>0</v>
      </c>
      <c r="H148" s="55">
        <v>0</v>
      </c>
      <c r="I148" s="143" t="s">
        <v>2691</v>
      </c>
      <c r="J148" s="127">
        <f t="shared" si="27"/>
        <v>0</v>
      </c>
    </row>
    <row r="149" spans="1:10" ht="16">
      <c r="A149" s="2">
        <v>14</v>
      </c>
      <c r="B149" t="s">
        <v>74</v>
      </c>
      <c r="C149" s="2" t="s">
        <v>67</v>
      </c>
      <c r="D149" s="2" t="s">
        <v>2678</v>
      </c>
      <c r="E149" s="55">
        <f t="shared" si="24"/>
        <v>0</v>
      </c>
      <c r="F149" s="55">
        <f t="shared" si="25"/>
        <v>0</v>
      </c>
      <c r="G149" s="55">
        <f t="shared" si="26"/>
        <v>0</v>
      </c>
      <c r="H149" s="55">
        <v>0</v>
      </c>
      <c r="I149" s="143" t="s">
        <v>2691</v>
      </c>
      <c r="J149" s="127">
        <f t="shared" si="27"/>
        <v>0</v>
      </c>
    </row>
    <row r="150" spans="1:10">
      <c r="A150" s="2">
        <v>15</v>
      </c>
      <c r="B150" t="s">
        <v>94</v>
      </c>
      <c r="C150" s="2" t="s">
        <v>85</v>
      </c>
      <c r="D150" s="2" t="s">
        <v>2678</v>
      </c>
      <c r="E150" s="3">
        <f t="shared" si="24"/>
        <v>158.75444444444443</v>
      </c>
      <c r="F150" s="3">
        <f t="shared" si="25"/>
        <v>444.51244444444444</v>
      </c>
      <c r="G150" s="3">
        <f t="shared" si="26"/>
        <v>1905.0533333333333</v>
      </c>
      <c r="H150" s="3">
        <f>H17*($H$134/7500)</f>
        <v>2857.58</v>
      </c>
      <c r="J150" s="127">
        <f t="shared" si="27"/>
        <v>31.750888888888888</v>
      </c>
    </row>
    <row r="151" spans="1:10">
      <c r="A151" s="2">
        <v>16</v>
      </c>
      <c r="B151" t="s">
        <v>267</v>
      </c>
      <c r="C151" s="2" t="s">
        <v>96</v>
      </c>
      <c r="D151" s="2" t="s">
        <v>2678</v>
      </c>
      <c r="E151" s="3">
        <f t="shared" si="24"/>
        <v>211.71740740740739</v>
      </c>
      <c r="F151" s="3">
        <f t="shared" si="25"/>
        <v>592.80874074074075</v>
      </c>
      <c r="G151" s="3">
        <f t="shared" si="26"/>
        <v>2540.6088888888889</v>
      </c>
      <c r="H151" s="3">
        <f>H18*($H$134/7500)</f>
        <v>3810.9133333333334</v>
      </c>
      <c r="J151" s="127">
        <f t="shared" si="27"/>
        <v>42.343481481481483</v>
      </c>
    </row>
    <row r="152" spans="1:10" ht="16">
      <c r="A152" s="2">
        <v>17</v>
      </c>
      <c r="B152" t="s">
        <v>77</v>
      </c>
      <c r="C152" s="2" t="s">
        <v>67</v>
      </c>
      <c r="D152" s="2" t="s">
        <v>2678</v>
      </c>
      <c r="E152" s="55">
        <f t="shared" si="24"/>
        <v>0</v>
      </c>
      <c r="F152" s="55">
        <f t="shared" si="25"/>
        <v>0</v>
      </c>
      <c r="G152" s="55">
        <f t="shared" si="26"/>
        <v>0</v>
      </c>
      <c r="H152" s="55">
        <v>0</v>
      </c>
      <c r="I152" s="143" t="s">
        <v>2680</v>
      </c>
      <c r="J152" s="127">
        <f t="shared" si="27"/>
        <v>0</v>
      </c>
    </row>
    <row r="153" spans="1:10" ht="16">
      <c r="A153" s="2">
        <v>18</v>
      </c>
      <c r="B153" t="s">
        <v>76</v>
      </c>
      <c r="C153" s="2" t="s">
        <v>67</v>
      </c>
      <c r="D153" s="2" t="s">
        <v>2678</v>
      </c>
      <c r="E153" s="55">
        <f t="shared" si="24"/>
        <v>0</v>
      </c>
      <c r="F153" s="55">
        <f t="shared" si="25"/>
        <v>0</v>
      </c>
      <c r="G153" s="55">
        <f t="shared" si="26"/>
        <v>0</v>
      </c>
      <c r="H153" s="55">
        <v>0</v>
      </c>
      <c r="I153" s="143" t="s">
        <v>2680</v>
      </c>
      <c r="J153" s="127">
        <f t="shared" si="27"/>
        <v>0</v>
      </c>
    </row>
    <row r="154" spans="1:10">
      <c r="A154" s="2">
        <v>19</v>
      </c>
      <c r="B154" t="s">
        <v>97</v>
      </c>
      <c r="C154" s="2" t="s">
        <v>98</v>
      </c>
      <c r="D154" s="2" t="s">
        <v>2678</v>
      </c>
      <c r="E154" s="3">
        <f t="shared" si="24"/>
        <v>317.50888888888886</v>
      </c>
      <c r="F154" s="3">
        <f t="shared" si="25"/>
        <v>889.02488888888888</v>
      </c>
      <c r="G154" s="3">
        <f t="shared" si="26"/>
        <v>3810.1066666666666</v>
      </c>
      <c r="H154" s="3">
        <f>H21*($H$134/7500)</f>
        <v>5715.16</v>
      </c>
      <c r="J154" s="127">
        <f t="shared" si="27"/>
        <v>63.501777777777775</v>
      </c>
    </row>
    <row r="156" spans="1:10">
      <c r="A156" s="12" t="s">
        <v>27</v>
      </c>
      <c r="B156" s="12" t="s">
        <v>2950</v>
      </c>
      <c r="G156" s="10"/>
      <c r="H156" s="10">
        <f>SUMIF('Employees Supported'!$A$2:$A$29,$A156,'Employees Supported'!$C$2:$C$29)</f>
        <v>400</v>
      </c>
    </row>
    <row r="157" spans="1:10">
      <c r="A157" s="29" t="s">
        <v>2651</v>
      </c>
      <c r="B157" s="29" t="s">
        <v>53</v>
      </c>
      <c r="C157" s="29" t="s">
        <v>22</v>
      </c>
      <c r="D157" s="30" t="s">
        <v>2678</v>
      </c>
      <c r="E157" s="30" t="s">
        <v>2918</v>
      </c>
      <c r="F157" s="30" t="s">
        <v>2919</v>
      </c>
      <c r="G157" s="30" t="s">
        <v>2920</v>
      </c>
      <c r="H157" s="30" t="s">
        <v>2921</v>
      </c>
    </row>
    <row r="158" spans="1:10">
      <c r="A158" s="2">
        <v>1</v>
      </c>
      <c r="B158" t="s">
        <v>66</v>
      </c>
      <c r="C158" s="2" t="s">
        <v>67</v>
      </c>
      <c r="D158" s="2" t="s">
        <v>2678</v>
      </c>
      <c r="E158" s="3">
        <f t="shared" ref="E158:E176" si="28">(5/90)*H158</f>
        <v>3463.7333333333336</v>
      </c>
      <c r="F158" s="3">
        <f t="shared" ref="F158:F176" si="29">(14/90)*H158</f>
        <v>9698.4533333333347</v>
      </c>
      <c r="G158" s="3">
        <f t="shared" ref="G158:G176" si="30">(60/90)*H158</f>
        <v>41564.800000000003</v>
      </c>
      <c r="H158" s="3">
        <f>H3*($H$156/7500)</f>
        <v>62347.200000000004</v>
      </c>
      <c r="J158" s="127">
        <f>SUM(H158)/90</f>
        <v>692.74666666666667</v>
      </c>
    </row>
    <row r="159" spans="1:10">
      <c r="A159" s="2">
        <v>2</v>
      </c>
      <c r="B159" t="s">
        <v>68</v>
      </c>
      <c r="C159" s="2" t="s">
        <v>67</v>
      </c>
      <c r="D159" s="2" t="s">
        <v>2678</v>
      </c>
      <c r="E159" s="3">
        <f t="shared" si="28"/>
        <v>6000</v>
      </c>
      <c r="F159" s="3">
        <f t="shared" si="29"/>
        <v>16800</v>
      </c>
      <c r="G159" s="3">
        <f t="shared" si="30"/>
        <v>72000</v>
      </c>
      <c r="H159" s="3">
        <f>3*H156*90</f>
        <v>108000</v>
      </c>
      <c r="J159" s="127">
        <f t="shared" ref="J159:J176" si="31">SUM(H159)/90</f>
        <v>1200</v>
      </c>
    </row>
    <row r="160" spans="1:10" ht="16">
      <c r="A160" s="2">
        <v>3</v>
      </c>
      <c r="B160" t="s">
        <v>70</v>
      </c>
      <c r="C160" s="2" t="s">
        <v>71</v>
      </c>
      <c r="D160" s="2" t="s">
        <v>2678</v>
      </c>
      <c r="E160" s="55">
        <f t="shared" si="28"/>
        <v>0</v>
      </c>
      <c r="F160" s="55">
        <f t="shared" si="29"/>
        <v>0</v>
      </c>
      <c r="G160" s="55">
        <f t="shared" si="30"/>
        <v>0</v>
      </c>
      <c r="H160" s="55">
        <v>0</v>
      </c>
      <c r="I160" s="143" t="s">
        <v>2703</v>
      </c>
      <c r="J160" s="127">
        <f t="shared" si="31"/>
        <v>0</v>
      </c>
    </row>
    <row r="161" spans="1:10">
      <c r="A161" s="2">
        <v>4</v>
      </c>
      <c r="B161" t="s">
        <v>72</v>
      </c>
      <c r="C161" s="2" t="s">
        <v>71</v>
      </c>
      <c r="D161" s="2" t="s">
        <v>2678</v>
      </c>
      <c r="E161" s="3">
        <f t="shared" si="28"/>
        <v>10391.199999999999</v>
      </c>
      <c r="F161" s="3">
        <f t="shared" si="29"/>
        <v>29095.360000000001</v>
      </c>
      <c r="G161" s="3">
        <f t="shared" si="30"/>
        <v>124694.39999999999</v>
      </c>
      <c r="H161" s="3">
        <f>H6*($H$156/7500)</f>
        <v>187041.6</v>
      </c>
      <c r="J161" s="127">
        <f t="shared" si="31"/>
        <v>2078.2400000000002</v>
      </c>
    </row>
    <row r="162" spans="1:10">
      <c r="A162" s="2">
        <v>5</v>
      </c>
      <c r="B162" t="s">
        <v>2669</v>
      </c>
      <c r="C162" s="2" t="s">
        <v>67</v>
      </c>
      <c r="D162" s="2" t="s">
        <v>2678</v>
      </c>
      <c r="E162" s="3">
        <f t="shared" si="28"/>
        <v>266.66666666666663</v>
      </c>
      <c r="F162" s="3">
        <f t="shared" si="29"/>
        <v>746.66666666666663</v>
      </c>
      <c r="G162" s="3">
        <f t="shared" si="30"/>
        <v>3200</v>
      </c>
      <c r="H162" s="3">
        <f>H7*($H$156/7500)</f>
        <v>4800</v>
      </c>
      <c r="J162" s="127">
        <f t="shared" si="31"/>
        <v>53.333333333333336</v>
      </c>
    </row>
    <row r="163" spans="1:10">
      <c r="A163" s="2">
        <v>6</v>
      </c>
      <c r="B163" t="s">
        <v>78</v>
      </c>
      <c r="C163" s="2" t="s">
        <v>79</v>
      </c>
      <c r="D163" s="2" t="s">
        <v>2678</v>
      </c>
      <c r="E163" s="3">
        <f t="shared" si="28"/>
        <v>115.45777777777778</v>
      </c>
      <c r="F163" s="3">
        <f t="shared" si="29"/>
        <v>323.28177777777785</v>
      </c>
      <c r="G163" s="3">
        <f t="shared" si="30"/>
        <v>1385.4933333333333</v>
      </c>
      <c r="H163" s="3">
        <f>H8*($H$156/7500)</f>
        <v>2078.2400000000002</v>
      </c>
      <c r="J163" s="127">
        <f t="shared" si="31"/>
        <v>23.091555555555558</v>
      </c>
    </row>
    <row r="164" spans="1:10" ht="16">
      <c r="A164" s="2">
        <v>7</v>
      </c>
      <c r="B164" t="s">
        <v>80</v>
      </c>
      <c r="C164" s="2" t="s">
        <v>81</v>
      </c>
      <c r="D164" s="2" t="s">
        <v>2678</v>
      </c>
      <c r="E164" s="55">
        <f t="shared" si="28"/>
        <v>0</v>
      </c>
      <c r="F164" s="55">
        <f t="shared" si="29"/>
        <v>0</v>
      </c>
      <c r="G164" s="55">
        <f t="shared" si="30"/>
        <v>0</v>
      </c>
      <c r="H164" s="55">
        <v>0</v>
      </c>
      <c r="I164" s="143" t="s">
        <v>2703</v>
      </c>
      <c r="J164" s="127">
        <f t="shared" si="31"/>
        <v>0</v>
      </c>
    </row>
    <row r="165" spans="1:10">
      <c r="A165" s="2">
        <v>8</v>
      </c>
      <c r="B165" t="s">
        <v>2932</v>
      </c>
      <c r="C165" s="2" t="s">
        <v>83</v>
      </c>
      <c r="D165" s="2" t="s">
        <v>2678</v>
      </c>
      <c r="E165" s="3">
        <f t="shared" si="28"/>
        <v>153.9437037037037</v>
      </c>
      <c r="F165" s="3">
        <f t="shared" si="29"/>
        <v>431.04237037037041</v>
      </c>
      <c r="G165" s="3">
        <f t="shared" si="30"/>
        <v>1847.3244444444445</v>
      </c>
      <c r="H165" s="3">
        <f>H10*($H$156/7500)</f>
        <v>2770.9866666666667</v>
      </c>
      <c r="J165" s="127">
        <f t="shared" si="31"/>
        <v>30.788740740740742</v>
      </c>
    </row>
    <row r="166" spans="1:10">
      <c r="A166" s="2">
        <v>9</v>
      </c>
      <c r="B166" t="s">
        <v>84</v>
      </c>
      <c r="C166" s="2" t="s">
        <v>85</v>
      </c>
      <c r="D166" s="2" t="s">
        <v>2678</v>
      </c>
      <c r="E166" s="3">
        <f t="shared" si="28"/>
        <v>11.111111111111111</v>
      </c>
      <c r="F166" s="3">
        <f t="shared" si="29"/>
        <v>31.111111111111111</v>
      </c>
      <c r="G166" s="3">
        <f t="shared" si="30"/>
        <v>133.33333333333331</v>
      </c>
      <c r="H166" s="3">
        <f>H11*($H$156/7500)</f>
        <v>200</v>
      </c>
      <c r="J166" s="127">
        <f t="shared" si="31"/>
        <v>2.2222222222222223</v>
      </c>
    </row>
    <row r="167" spans="1:10" ht="16">
      <c r="A167" s="2">
        <v>10</v>
      </c>
      <c r="B167" t="s">
        <v>89</v>
      </c>
      <c r="C167" s="2" t="s">
        <v>67</v>
      </c>
      <c r="D167" s="2" t="s">
        <v>2678</v>
      </c>
      <c r="E167" s="55">
        <f t="shared" si="28"/>
        <v>0</v>
      </c>
      <c r="F167" s="55">
        <f t="shared" si="29"/>
        <v>0</v>
      </c>
      <c r="G167" s="55">
        <f t="shared" si="30"/>
        <v>0</v>
      </c>
      <c r="H167" s="55">
        <v>0</v>
      </c>
      <c r="I167" s="143" t="s">
        <v>2691</v>
      </c>
      <c r="J167" s="127">
        <f t="shared" si="31"/>
        <v>0</v>
      </c>
    </row>
    <row r="168" spans="1:10" ht="16">
      <c r="A168" s="2">
        <v>11</v>
      </c>
      <c r="B168" t="s">
        <v>2935</v>
      </c>
      <c r="C168" s="2" t="s">
        <v>83</v>
      </c>
      <c r="D168" s="2" t="s">
        <v>2678</v>
      </c>
      <c r="E168" s="55">
        <f t="shared" si="28"/>
        <v>0</v>
      </c>
      <c r="F168" s="55">
        <f t="shared" si="29"/>
        <v>0</v>
      </c>
      <c r="G168" s="55">
        <f t="shared" si="30"/>
        <v>0</v>
      </c>
      <c r="H168" s="55">
        <v>0</v>
      </c>
      <c r="I168" s="143" t="s">
        <v>2703</v>
      </c>
      <c r="J168" s="127">
        <f t="shared" si="31"/>
        <v>0</v>
      </c>
    </row>
    <row r="169" spans="1:10">
      <c r="A169" s="2">
        <v>12</v>
      </c>
      <c r="B169" t="s">
        <v>93</v>
      </c>
      <c r="C169" s="2" t="s">
        <v>83</v>
      </c>
      <c r="D169" s="2" t="s">
        <v>2678</v>
      </c>
      <c r="E169" s="3">
        <f t="shared" si="28"/>
        <v>153.9437037037037</v>
      </c>
      <c r="F169" s="3">
        <f t="shared" si="29"/>
        <v>431.04237037037041</v>
      </c>
      <c r="G169" s="3">
        <f t="shared" si="30"/>
        <v>1847.3244444444445</v>
      </c>
      <c r="H169" s="3">
        <f>H14*($H$156/7500)</f>
        <v>2770.9866666666667</v>
      </c>
      <c r="J169" s="127">
        <f t="shared" si="31"/>
        <v>30.788740740740742</v>
      </c>
    </row>
    <row r="170" spans="1:10" ht="16">
      <c r="A170" s="2">
        <v>13</v>
      </c>
      <c r="B170" t="s">
        <v>75</v>
      </c>
      <c r="C170" s="2" t="s">
        <v>67</v>
      </c>
      <c r="D170" s="2" t="s">
        <v>2678</v>
      </c>
      <c r="E170" s="55">
        <f t="shared" si="28"/>
        <v>0</v>
      </c>
      <c r="F170" s="55">
        <f t="shared" si="29"/>
        <v>0</v>
      </c>
      <c r="G170" s="55">
        <f t="shared" si="30"/>
        <v>0</v>
      </c>
      <c r="H170" s="55">
        <v>0</v>
      </c>
      <c r="I170" s="143" t="s">
        <v>2691</v>
      </c>
      <c r="J170" s="127">
        <f t="shared" si="31"/>
        <v>0</v>
      </c>
    </row>
    <row r="171" spans="1:10" ht="16">
      <c r="A171" s="2">
        <v>14</v>
      </c>
      <c r="B171" t="s">
        <v>74</v>
      </c>
      <c r="C171" s="2" t="s">
        <v>67</v>
      </c>
      <c r="D171" s="2" t="s">
        <v>2678</v>
      </c>
      <c r="E171" s="55">
        <f t="shared" si="28"/>
        <v>0</v>
      </c>
      <c r="F171" s="55">
        <f t="shared" si="29"/>
        <v>0</v>
      </c>
      <c r="G171" s="55">
        <f t="shared" si="30"/>
        <v>0</v>
      </c>
      <c r="H171" s="55">
        <v>0</v>
      </c>
      <c r="I171" s="143" t="s">
        <v>2691</v>
      </c>
      <c r="J171" s="127">
        <f t="shared" si="31"/>
        <v>0</v>
      </c>
    </row>
    <row r="172" spans="1:10">
      <c r="A172" s="2">
        <v>15</v>
      </c>
      <c r="B172" t="s">
        <v>94</v>
      </c>
      <c r="C172" s="2" t="s">
        <v>85</v>
      </c>
      <c r="D172" s="2" t="s">
        <v>2678</v>
      </c>
      <c r="E172" s="3">
        <f t="shared" si="28"/>
        <v>115.45777777777778</v>
      </c>
      <c r="F172" s="3">
        <f t="shared" si="29"/>
        <v>323.28177777777785</v>
      </c>
      <c r="G172" s="3">
        <f t="shared" si="30"/>
        <v>1385.4933333333333</v>
      </c>
      <c r="H172" s="3">
        <f>H17*($H$156/7500)</f>
        <v>2078.2400000000002</v>
      </c>
      <c r="J172" s="127">
        <f t="shared" si="31"/>
        <v>23.091555555555558</v>
      </c>
    </row>
    <row r="173" spans="1:10">
      <c r="A173" s="2">
        <v>16</v>
      </c>
      <c r="B173" t="s">
        <v>267</v>
      </c>
      <c r="C173" s="2" t="s">
        <v>96</v>
      </c>
      <c r="D173" s="2" t="s">
        <v>2678</v>
      </c>
      <c r="E173" s="3">
        <f t="shared" si="28"/>
        <v>153.97629629629631</v>
      </c>
      <c r="F173" s="3">
        <f t="shared" si="29"/>
        <v>431.1336296296297</v>
      </c>
      <c r="G173" s="3">
        <f t="shared" si="30"/>
        <v>1847.7155555555557</v>
      </c>
      <c r="H173" s="3">
        <f>H18*($H$156/7500)</f>
        <v>2771.5733333333337</v>
      </c>
      <c r="J173" s="127">
        <f t="shared" si="31"/>
        <v>30.795259259259264</v>
      </c>
    </row>
    <row r="174" spans="1:10" ht="16">
      <c r="A174" s="2">
        <v>17</v>
      </c>
      <c r="B174" t="s">
        <v>77</v>
      </c>
      <c r="C174" s="2" t="s">
        <v>67</v>
      </c>
      <c r="D174" s="2" t="s">
        <v>2678</v>
      </c>
      <c r="E174" s="55">
        <f t="shared" si="28"/>
        <v>0</v>
      </c>
      <c r="F174" s="55">
        <f t="shared" si="29"/>
        <v>0</v>
      </c>
      <c r="G174" s="55">
        <f t="shared" si="30"/>
        <v>0</v>
      </c>
      <c r="H174" s="55">
        <v>0</v>
      </c>
      <c r="I174" s="143" t="s">
        <v>2680</v>
      </c>
      <c r="J174" s="127">
        <f t="shared" si="31"/>
        <v>0</v>
      </c>
    </row>
    <row r="175" spans="1:10" ht="16">
      <c r="A175" s="2">
        <v>18</v>
      </c>
      <c r="B175" t="s">
        <v>76</v>
      </c>
      <c r="C175" s="2" t="s">
        <v>67</v>
      </c>
      <c r="D175" s="2" t="s">
        <v>2678</v>
      </c>
      <c r="E175" s="55">
        <f t="shared" si="28"/>
        <v>0</v>
      </c>
      <c r="F175" s="55">
        <f t="shared" si="29"/>
        <v>0</v>
      </c>
      <c r="G175" s="55">
        <f t="shared" si="30"/>
        <v>0</v>
      </c>
      <c r="H175" s="55">
        <v>0</v>
      </c>
      <c r="I175" s="143" t="s">
        <v>2680</v>
      </c>
      <c r="J175" s="127">
        <f t="shared" si="31"/>
        <v>0</v>
      </c>
    </row>
    <row r="176" spans="1:10">
      <c r="A176" s="2">
        <v>19</v>
      </c>
      <c r="B176" t="s">
        <v>97</v>
      </c>
      <c r="C176" s="2" t="s">
        <v>98</v>
      </c>
      <c r="D176" s="2" t="s">
        <v>2678</v>
      </c>
      <c r="E176" s="3">
        <f t="shared" si="28"/>
        <v>230.91555555555556</v>
      </c>
      <c r="F176" s="3">
        <f t="shared" si="29"/>
        <v>646.56355555555569</v>
      </c>
      <c r="G176" s="3">
        <f t="shared" si="30"/>
        <v>2770.9866666666667</v>
      </c>
      <c r="H176" s="3">
        <f>H21*($H$156/7500)</f>
        <v>4156.4800000000005</v>
      </c>
      <c r="J176" s="127">
        <f t="shared" si="31"/>
        <v>46.183111111111117</v>
      </c>
    </row>
    <row r="178" spans="1:12">
      <c r="A178" s="12" t="s">
        <v>30</v>
      </c>
      <c r="B178" s="12" t="s">
        <v>2951</v>
      </c>
      <c r="G178" s="10"/>
      <c r="H178" s="10">
        <f>SUMIF('Employees Supported'!$A$2:$A$29,$A178,'Employees Supported'!$C$2:$C$29)</f>
        <v>300</v>
      </c>
    </row>
    <row r="179" spans="1:12">
      <c r="A179" s="29" t="s">
        <v>2651</v>
      </c>
      <c r="B179" s="29" t="s">
        <v>53</v>
      </c>
      <c r="C179" s="29" t="s">
        <v>22</v>
      </c>
      <c r="D179" s="30" t="s">
        <v>2678</v>
      </c>
      <c r="E179" s="30" t="s">
        <v>2918</v>
      </c>
      <c r="F179" s="30" t="s">
        <v>2919</v>
      </c>
      <c r="G179" s="30" t="s">
        <v>2920</v>
      </c>
      <c r="H179" s="30" t="s">
        <v>2921</v>
      </c>
    </row>
    <row r="180" spans="1:12">
      <c r="A180" s="2">
        <v>1</v>
      </c>
      <c r="B180" t="s">
        <v>66</v>
      </c>
      <c r="C180" s="2" t="s">
        <v>67</v>
      </c>
      <c r="D180" s="2" t="s">
        <v>2678</v>
      </c>
      <c r="E180" s="3">
        <f t="shared" ref="E180:E198" si="32">(5/90)*H180</f>
        <v>2597.7999999999997</v>
      </c>
      <c r="F180" s="3">
        <f t="shared" ref="F180:F198" si="33">(14/90)*H180</f>
        <v>7273.84</v>
      </c>
      <c r="G180" s="3">
        <f t="shared" ref="G180:G198" si="34">(60/90)*H180</f>
        <v>31173.599999999999</v>
      </c>
      <c r="H180" s="3">
        <f>H3*($H$178/7500)</f>
        <v>46760.4</v>
      </c>
      <c r="J180" s="127">
        <f>SUM(H180)/90</f>
        <v>519.56000000000006</v>
      </c>
      <c r="K180" s="32"/>
      <c r="L180" s="32"/>
    </row>
    <row r="181" spans="1:12">
      <c r="A181" s="2">
        <v>2</v>
      </c>
      <c r="B181" t="s">
        <v>68</v>
      </c>
      <c r="C181" s="2" t="s">
        <v>67</v>
      </c>
      <c r="D181" s="2" t="s">
        <v>2678</v>
      </c>
      <c r="E181" s="3">
        <f t="shared" si="32"/>
        <v>4500</v>
      </c>
      <c r="F181" s="3">
        <f t="shared" si="33"/>
        <v>12600</v>
      </c>
      <c r="G181" s="3">
        <f t="shared" si="34"/>
        <v>54000</v>
      </c>
      <c r="H181" s="3">
        <f>3*H178*90</f>
        <v>81000</v>
      </c>
      <c r="J181" s="127">
        <f t="shared" ref="J181:J198" si="35">SUM(H181)/90</f>
        <v>900</v>
      </c>
      <c r="K181" s="32"/>
      <c r="L181" s="32"/>
    </row>
    <row r="182" spans="1:12" ht="16">
      <c r="A182" s="2">
        <v>3</v>
      </c>
      <c r="B182" t="s">
        <v>70</v>
      </c>
      <c r="C182" s="2" t="s">
        <v>71</v>
      </c>
      <c r="D182" s="2" t="s">
        <v>2678</v>
      </c>
      <c r="E182" s="55">
        <f t="shared" si="32"/>
        <v>0</v>
      </c>
      <c r="F182" s="55">
        <f t="shared" si="33"/>
        <v>0</v>
      </c>
      <c r="G182" s="55">
        <f t="shared" si="34"/>
        <v>0</v>
      </c>
      <c r="H182" s="55">
        <v>0</v>
      </c>
      <c r="I182" s="143" t="s">
        <v>2703</v>
      </c>
      <c r="J182" s="127">
        <f t="shared" si="35"/>
        <v>0</v>
      </c>
      <c r="K182" s="32"/>
      <c r="L182" s="32"/>
    </row>
    <row r="183" spans="1:12">
      <c r="A183" s="2">
        <v>4</v>
      </c>
      <c r="B183" t="s">
        <v>72</v>
      </c>
      <c r="C183" s="2" t="s">
        <v>71</v>
      </c>
      <c r="D183" s="2" t="s">
        <v>2678</v>
      </c>
      <c r="E183" s="3">
        <f t="shared" si="32"/>
        <v>7793.4000000000005</v>
      </c>
      <c r="F183" s="3">
        <f t="shared" si="33"/>
        <v>21821.52</v>
      </c>
      <c r="G183" s="3">
        <f t="shared" si="34"/>
        <v>93520.8</v>
      </c>
      <c r="H183" s="3">
        <f>H6*($H$178/7500)</f>
        <v>140281.20000000001</v>
      </c>
      <c r="J183" s="127">
        <f t="shared" si="35"/>
        <v>1558.68</v>
      </c>
      <c r="K183" s="32"/>
      <c r="L183" s="32"/>
    </row>
    <row r="184" spans="1:12">
      <c r="A184" s="2">
        <v>5</v>
      </c>
      <c r="B184" t="s">
        <v>2669</v>
      </c>
      <c r="C184" s="2" t="s">
        <v>67</v>
      </c>
      <c r="D184" s="2" t="s">
        <v>2678</v>
      </c>
      <c r="E184" s="3">
        <f t="shared" si="32"/>
        <v>200</v>
      </c>
      <c r="F184" s="3">
        <f t="shared" si="33"/>
        <v>560</v>
      </c>
      <c r="G184" s="3">
        <f t="shared" si="34"/>
        <v>2400</v>
      </c>
      <c r="H184" s="3">
        <f>H7*($H$178/7500)</f>
        <v>3600</v>
      </c>
      <c r="J184" s="127">
        <f t="shared" si="35"/>
        <v>40</v>
      </c>
      <c r="K184" s="32"/>
      <c r="L184" s="32"/>
    </row>
    <row r="185" spans="1:12">
      <c r="A185" s="2">
        <v>6</v>
      </c>
      <c r="B185" t="s">
        <v>78</v>
      </c>
      <c r="C185" s="2" t="s">
        <v>79</v>
      </c>
      <c r="D185" s="2" t="s">
        <v>2678</v>
      </c>
      <c r="E185" s="3">
        <f t="shared" si="32"/>
        <v>86.593333333333334</v>
      </c>
      <c r="F185" s="3">
        <f t="shared" si="33"/>
        <v>242.46133333333336</v>
      </c>
      <c r="G185" s="3">
        <f t="shared" si="34"/>
        <v>1039.1199999999999</v>
      </c>
      <c r="H185" s="3">
        <f>H8*($H$178/7500)</f>
        <v>1558.68</v>
      </c>
      <c r="J185" s="127">
        <f t="shared" si="35"/>
        <v>17.318666666666669</v>
      </c>
      <c r="K185" s="32"/>
      <c r="L185" s="32"/>
    </row>
    <row r="186" spans="1:12" ht="16">
      <c r="A186" s="2">
        <v>7</v>
      </c>
      <c r="B186" t="s">
        <v>80</v>
      </c>
      <c r="C186" s="2" t="s">
        <v>81</v>
      </c>
      <c r="D186" s="2" t="s">
        <v>2678</v>
      </c>
      <c r="E186" s="55">
        <f t="shared" si="32"/>
        <v>0</v>
      </c>
      <c r="F186" s="55">
        <f t="shared" si="33"/>
        <v>0</v>
      </c>
      <c r="G186" s="55">
        <f t="shared" si="34"/>
        <v>0</v>
      </c>
      <c r="H186" s="55">
        <v>0</v>
      </c>
      <c r="I186" s="143" t="s">
        <v>2703</v>
      </c>
      <c r="J186" s="127">
        <f t="shared" si="35"/>
        <v>0</v>
      </c>
      <c r="K186" s="32"/>
      <c r="L186" s="32"/>
    </row>
    <row r="187" spans="1:12">
      <c r="A187" s="2">
        <v>8</v>
      </c>
      <c r="B187" t="s">
        <v>2932</v>
      </c>
      <c r="C187" s="2" t="s">
        <v>83</v>
      </c>
      <c r="D187" s="2" t="s">
        <v>2678</v>
      </c>
      <c r="E187" s="3">
        <f t="shared" si="32"/>
        <v>115.45777777777778</v>
      </c>
      <c r="F187" s="3">
        <f t="shared" si="33"/>
        <v>323.28177777777785</v>
      </c>
      <c r="G187" s="3">
        <f t="shared" si="34"/>
        <v>1385.4933333333333</v>
      </c>
      <c r="H187" s="3">
        <f>H10*($H$178/7500)</f>
        <v>2078.2400000000002</v>
      </c>
      <c r="J187" s="127">
        <f t="shared" si="35"/>
        <v>23.091555555555558</v>
      </c>
      <c r="K187" s="32"/>
      <c r="L187" s="32"/>
    </row>
    <row r="188" spans="1:12">
      <c r="A188" s="2">
        <v>9</v>
      </c>
      <c r="B188" t="s">
        <v>84</v>
      </c>
      <c r="C188" s="2" t="s">
        <v>85</v>
      </c>
      <c r="D188" s="2" t="s">
        <v>2678</v>
      </c>
      <c r="E188" s="3">
        <f t="shared" si="32"/>
        <v>8.3333333333333321</v>
      </c>
      <c r="F188" s="3">
        <f t="shared" si="33"/>
        <v>23.333333333333332</v>
      </c>
      <c r="G188" s="3">
        <f t="shared" si="34"/>
        <v>100</v>
      </c>
      <c r="H188" s="3">
        <f>H11*($H$178/7500)</f>
        <v>150</v>
      </c>
      <c r="J188" s="127">
        <f t="shared" si="35"/>
        <v>1.6666666666666667</v>
      </c>
      <c r="K188" s="32"/>
      <c r="L188" s="32"/>
    </row>
    <row r="189" spans="1:12" ht="16">
      <c r="A189" s="2">
        <v>10</v>
      </c>
      <c r="B189" t="s">
        <v>89</v>
      </c>
      <c r="C189" s="2" t="s">
        <v>67</v>
      </c>
      <c r="D189" s="2" t="s">
        <v>2678</v>
      </c>
      <c r="E189" s="55">
        <f t="shared" si="32"/>
        <v>0</v>
      </c>
      <c r="F189" s="55">
        <f t="shared" si="33"/>
        <v>0</v>
      </c>
      <c r="G189" s="55">
        <f t="shared" si="34"/>
        <v>0</v>
      </c>
      <c r="H189" s="55">
        <v>0</v>
      </c>
      <c r="I189" s="143" t="s">
        <v>2691</v>
      </c>
      <c r="J189" s="127">
        <f t="shared" si="35"/>
        <v>0</v>
      </c>
      <c r="K189" s="32"/>
      <c r="L189" s="32"/>
    </row>
    <row r="190" spans="1:12" ht="16">
      <c r="A190" s="2">
        <v>11</v>
      </c>
      <c r="B190" t="s">
        <v>2935</v>
      </c>
      <c r="C190" s="2" t="s">
        <v>83</v>
      </c>
      <c r="D190" s="2" t="s">
        <v>2678</v>
      </c>
      <c r="E190" s="55">
        <f t="shared" si="32"/>
        <v>0</v>
      </c>
      <c r="F190" s="55">
        <f t="shared" si="33"/>
        <v>0</v>
      </c>
      <c r="G190" s="55">
        <f t="shared" si="34"/>
        <v>0</v>
      </c>
      <c r="H190" s="55">
        <v>0</v>
      </c>
      <c r="I190" s="143" t="s">
        <v>2703</v>
      </c>
      <c r="J190" s="127">
        <f t="shared" si="35"/>
        <v>0</v>
      </c>
      <c r="K190" s="32"/>
      <c r="L190" s="32"/>
    </row>
    <row r="191" spans="1:12">
      <c r="A191" s="2">
        <v>12</v>
      </c>
      <c r="B191" t="s">
        <v>93</v>
      </c>
      <c r="C191" s="2" t="s">
        <v>83</v>
      </c>
      <c r="D191" s="2" t="s">
        <v>2678</v>
      </c>
      <c r="E191" s="3">
        <f t="shared" si="32"/>
        <v>115.45777777777778</v>
      </c>
      <c r="F191" s="3">
        <f t="shared" si="33"/>
        <v>323.28177777777785</v>
      </c>
      <c r="G191" s="3">
        <f t="shared" si="34"/>
        <v>1385.4933333333333</v>
      </c>
      <c r="H191" s="3">
        <f>H14*($H$178/7500)</f>
        <v>2078.2400000000002</v>
      </c>
      <c r="J191" s="127">
        <f t="shared" si="35"/>
        <v>23.091555555555558</v>
      </c>
      <c r="K191" s="32"/>
      <c r="L191" s="32"/>
    </row>
    <row r="192" spans="1:12" ht="16">
      <c r="A192" s="2">
        <v>13</v>
      </c>
      <c r="B192" t="s">
        <v>75</v>
      </c>
      <c r="C192" s="2" t="s">
        <v>67</v>
      </c>
      <c r="D192" s="2" t="s">
        <v>2678</v>
      </c>
      <c r="E192" s="55">
        <f t="shared" si="32"/>
        <v>0</v>
      </c>
      <c r="F192" s="55">
        <f t="shared" si="33"/>
        <v>0</v>
      </c>
      <c r="G192" s="55">
        <f t="shared" si="34"/>
        <v>0</v>
      </c>
      <c r="H192" s="55">
        <v>0</v>
      </c>
      <c r="I192" s="143" t="s">
        <v>2691</v>
      </c>
      <c r="J192" s="127">
        <f t="shared" si="35"/>
        <v>0</v>
      </c>
      <c r="K192" s="32"/>
      <c r="L192" s="32"/>
    </row>
    <row r="193" spans="1:12" ht="16">
      <c r="A193" s="2">
        <v>14</v>
      </c>
      <c r="B193" t="s">
        <v>74</v>
      </c>
      <c r="C193" s="2" t="s">
        <v>67</v>
      </c>
      <c r="D193" s="2" t="s">
        <v>2678</v>
      </c>
      <c r="E193" s="55">
        <f t="shared" si="32"/>
        <v>0</v>
      </c>
      <c r="F193" s="55">
        <f t="shared" si="33"/>
        <v>0</v>
      </c>
      <c r="G193" s="55">
        <f t="shared" si="34"/>
        <v>0</v>
      </c>
      <c r="H193" s="55">
        <v>0</v>
      </c>
      <c r="I193" s="143" t="s">
        <v>2691</v>
      </c>
      <c r="J193" s="127">
        <f t="shared" si="35"/>
        <v>0</v>
      </c>
      <c r="K193" s="32"/>
      <c r="L193" s="32"/>
    </row>
    <row r="194" spans="1:12">
      <c r="A194" s="2">
        <v>15</v>
      </c>
      <c r="B194" t="s">
        <v>94</v>
      </c>
      <c r="C194" s="2" t="s">
        <v>85</v>
      </c>
      <c r="D194" s="2" t="s">
        <v>2678</v>
      </c>
      <c r="E194" s="3">
        <f t="shared" si="32"/>
        <v>86.593333333333334</v>
      </c>
      <c r="F194" s="3">
        <f t="shared" si="33"/>
        <v>242.46133333333336</v>
      </c>
      <c r="G194" s="3">
        <f t="shared" si="34"/>
        <v>1039.1199999999999</v>
      </c>
      <c r="H194" s="3">
        <f>H17*($H$178/7500)</f>
        <v>1558.68</v>
      </c>
      <c r="J194" s="127">
        <f t="shared" si="35"/>
        <v>17.318666666666669</v>
      </c>
      <c r="K194" s="32"/>
      <c r="L194" s="32"/>
    </row>
    <row r="195" spans="1:12">
      <c r="A195" s="2">
        <v>16</v>
      </c>
      <c r="B195" t="s">
        <v>267</v>
      </c>
      <c r="C195" s="2" t="s">
        <v>96</v>
      </c>
      <c r="D195" s="2" t="s">
        <v>2678</v>
      </c>
      <c r="E195" s="3">
        <f t="shared" si="32"/>
        <v>115.48222222222221</v>
      </c>
      <c r="F195" s="3">
        <f t="shared" si="33"/>
        <v>323.35022222222221</v>
      </c>
      <c r="G195" s="3">
        <f t="shared" si="34"/>
        <v>1385.7866666666664</v>
      </c>
      <c r="H195" s="3">
        <f>H18*($H$178/7500)</f>
        <v>2078.6799999999998</v>
      </c>
      <c r="J195" s="127">
        <f t="shared" si="35"/>
        <v>23.096444444444444</v>
      </c>
      <c r="K195" s="32"/>
      <c r="L195" s="32"/>
    </row>
    <row r="196" spans="1:12" ht="16">
      <c r="A196" s="2">
        <v>17</v>
      </c>
      <c r="B196" t="s">
        <v>77</v>
      </c>
      <c r="C196" s="2" t="s">
        <v>67</v>
      </c>
      <c r="D196" s="2" t="s">
        <v>2678</v>
      </c>
      <c r="E196" s="55">
        <f t="shared" si="32"/>
        <v>0</v>
      </c>
      <c r="F196" s="55">
        <f t="shared" si="33"/>
        <v>0</v>
      </c>
      <c r="G196" s="55">
        <f t="shared" si="34"/>
        <v>0</v>
      </c>
      <c r="H196" s="55">
        <v>0</v>
      </c>
      <c r="I196" s="143" t="s">
        <v>2680</v>
      </c>
      <c r="J196" s="127">
        <f t="shared" si="35"/>
        <v>0</v>
      </c>
      <c r="K196" s="32"/>
      <c r="L196" s="32"/>
    </row>
    <row r="197" spans="1:12" ht="16">
      <c r="A197" s="2">
        <v>18</v>
      </c>
      <c r="B197" t="s">
        <v>76</v>
      </c>
      <c r="C197" s="2" t="s">
        <v>67</v>
      </c>
      <c r="D197" s="2" t="s">
        <v>2678</v>
      </c>
      <c r="E197" s="55">
        <f t="shared" si="32"/>
        <v>0</v>
      </c>
      <c r="F197" s="55">
        <f t="shared" si="33"/>
        <v>0</v>
      </c>
      <c r="G197" s="55">
        <f t="shared" si="34"/>
        <v>0</v>
      </c>
      <c r="H197" s="55">
        <v>0</v>
      </c>
      <c r="I197" s="143" t="s">
        <v>2680</v>
      </c>
      <c r="J197" s="127">
        <f t="shared" si="35"/>
        <v>0</v>
      </c>
      <c r="K197" s="32"/>
      <c r="L197" s="32"/>
    </row>
    <row r="198" spans="1:12">
      <c r="A198" s="2">
        <v>19</v>
      </c>
      <c r="B198" t="s">
        <v>97</v>
      </c>
      <c r="C198" s="2" t="s">
        <v>98</v>
      </c>
      <c r="D198" s="2" t="s">
        <v>2678</v>
      </c>
      <c r="E198" s="3">
        <f t="shared" si="32"/>
        <v>173.18666666666667</v>
      </c>
      <c r="F198" s="3">
        <f t="shared" si="33"/>
        <v>484.92266666666671</v>
      </c>
      <c r="G198" s="3">
        <f t="shared" si="34"/>
        <v>2078.2399999999998</v>
      </c>
      <c r="H198" s="3">
        <f>H21*($H$178/7500)</f>
        <v>3117.36</v>
      </c>
      <c r="J198" s="127">
        <f t="shared" si="35"/>
        <v>34.637333333333338</v>
      </c>
      <c r="K198" s="32"/>
      <c r="L198" s="32"/>
    </row>
    <row r="200" spans="1:12">
      <c r="A200" s="12" t="s">
        <v>26</v>
      </c>
      <c r="B200" s="12" t="s">
        <v>2950</v>
      </c>
      <c r="G200" s="10"/>
      <c r="H200" s="10">
        <f>SUMIF('Employees Supported'!$A$2:$A$29,$A200,'Employees Supported'!$C$2:$C$29)</f>
        <v>400</v>
      </c>
    </row>
    <row r="201" spans="1:12">
      <c r="A201" s="29" t="s">
        <v>2651</v>
      </c>
      <c r="B201" s="29" t="s">
        <v>53</v>
      </c>
      <c r="C201" s="29" t="s">
        <v>22</v>
      </c>
      <c r="D201" s="30" t="s">
        <v>2678</v>
      </c>
      <c r="E201" s="30" t="s">
        <v>2918</v>
      </c>
      <c r="F201" s="30" t="s">
        <v>2919</v>
      </c>
      <c r="G201" s="30" t="s">
        <v>2920</v>
      </c>
      <c r="H201" s="30" t="s">
        <v>2921</v>
      </c>
    </row>
    <row r="202" spans="1:12">
      <c r="A202" s="2">
        <v>1</v>
      </c>
      <c r="B202" t="s">
        <v>66</v>
      </c>
      <c r="C202" s="2" t="s">
        <v>67</v>
      </c>
      <c r="D202" s="2" t="s">
        <v>2678</v>
      </c>
      <c r="E202" s="3">
        <f t="shared" ref="E202:E220" si="36">(5/90)*H202</f>
        <v>0</v>
      </c>
      <c r="F202" s="3">
        <f t="shared" ref="F202:F220" si="37">(14/90)*H202</f>
        <v>0</v>
      </c>
      <c r="G202" s="3">
        <f t="shared" ref="G202:G220" si="38">(60/90)*H202</f>
        <v>0</v>
      </c>
      <c r="H202" s="3">
        <v>0</v>
      </c>
      <c r="J202" s="127">
        <f>SUM(H202)/90</f>
        <v>0</v>
      </c>
    </row>
    <row r="203" spans="1:12">
      <c r="A203" s="2">
        <v>2</v>
      </c>
      <c r="B203" t="s">
        <v>68</v>
      </c>
      <c r="C203" s="2" t="s">
        <v>67</v>
      </c>
      <c r="D203" s="2" t="s">
        <v>2678</v>
      </c>
      <c r="E203" s="3">
        <f t="shared" si="36"/>
        <v>6000</v>
      </c>
      <c r="F203" s="3">
        <f t="shared" si="37"/>
        <v>16800</v>
      </c>
      <c r="G203" s="3">
        <f t="shared" si="38"/>
        <v>72000</v>
      </c>
      <c r="H203" s="3">
        <f>3*H200*90</f>
        <v>108000</v>
      </c>
      <c r="J203" s="127">
        <f t="shared" ref="J203:J220" si="39">SUM(H203)/90</f>
        <v>1200</v>
      </c>
    </row>
    <row r="204" spans="1:12" ht="16">
      <c r="A204" s="2">
        <v>3</v>
      </c>
      <c r="B204" t="s">
        <v>70</v>
      </c>
      <c r="C204" s="2" t="s">
        <v>71</v>
      </c>
      <c r="D204" s="2" t="s">
        <v>2678</v>
      </c>
      <c r="E204" s="55">
        <f t="shared" si="36"/>
        <v>0</v>
      </c>
      <c r="F204" s="55">
        <f t="shared" si="37"/>
        <v>0</v>
      </c>
      <c r="G204" s="55">
        <f t="shared" si="38"/>
        <v>0</v>
      </c>
      <c r="H204" s="55">
        <v>0</v>
      </c>
      <c r="I204" s="143" t="s">
        <v>2703</v>
      </c>
      <c r="J204" s="127">
        <f t="shared" si="39"/>
        <v>0</v>
      </c>
    </row>
    <row r="205" spans="1:12">
      <c r="A205" s="2">
        <v>4</v>
      </c>
      <c r="B205" t="s">
        <v>72</v>
      </c>
      <c r="C205" s="2" t="s">
        <v>71</v>
      </c>
      <c r="D205" s="2" t="s">
        <v>2678</v>
      </c>
      <c r="E205" s="3">
        <f t="shared" si="36"/>
        <v>400</v>
      </c>
      <c r="F205" s="3">
        <f t="shared" si="37"/>
        <v>1120.0000000000002</v>
      </c>
      <c r="G205" s="3">
        <f t="shared" si="38"/>
        <v>4800</v>
      </c>
      <c r="H205" s="3">
        <f>H50*($H$156/7500)</f>
        <v>7200.0000000000009</v>
      </c>
      <c r="J205" s="127">
        <f t="shared" si="39"/>
        <v>80.000000000000014</v>
      </c>
    </row>
    <row r="206" spans="1:12">
      <c r="A206" s="2">
        <v>5</v>
      </c>
      <c r="B206" t="s">
        <v>2669</v>
      </c>
      <c r="C206" s="2" t="s">
        <v>67</v>
      </c>
      <c r="D206" s="2" t="s">
        <v>2678</v>
      </c>
      <c r="E206" s="3">
        <f t="shared" si="36"/>
        <v>456.5333333333333</v>
      </c>
      <c r="F206" s="3">
        <f t="shared" si="37"/>
        <v>1278.2933333333335</v>
      </c>
      <c r="G206" s="3">
        <f t="shared" si="38"/>
        <v>5478.4</v>
      </c>
      <c r="H206" s="3">
        <f>H51*($H$156/7500)</f>
        <v>8217.6</v>
      </c>
      <c r="J206" s="127">
        <f t="shared" si="39"/>
        <v>91.306666666666672</v>
      </c>
    </row>
    <row r="207" spans="1:12">
      <c r="A207" s="2">
        <v>6</v>
      </c>
      <c r="B207" t="s">
        <v>78</v>
      </c>
      <c r="C207" s="2" t="s">
        <v>79</v>
      </c>
      <c r="D207" s="2" t="s">
        <v>2678</v>
      </c>
      <c r="E207" s="3">
        <f t="shared" si="36"/>
        <v>160</v>
      </c>
      <c r="F207" s="3">
        <f t="shared" si="37"/>
        <v>448</v>
      </c>
      <c r="G207" s="3">
        <f t="shared" si="38"/>
        <v>1920</v>
      </c>
      <c r="H207" s="3">
        <f>H52*($H$156/7500)</f>
        <v>2880</v>
      </c>
      <c r="J207" s="127">
        <f t="shared" si="39"/>
        <v>32</v>
      </c>
    </row>
    <row r="208" spans="1:12" ht="16">
      <c r="A208" s="2">
        <v>7</v>
      </c>
      <c r="B208" t="s">
        <v>80</v>
      </c>
      <c r="C208" s="2" t="s">
        <v>81</v>
      </c>
      <c r="D208" s="2" t="s">
        <v>2678</v>
      </c>
      <c r="E208" s="55">
        <f t="shared" si="36"/>
        <v>0</v>
      </c>
      <c r="F208" s="55">
        <f t="shared" si="37"/>
        <v>0</v>
      </c>
      <c r="G208" s="55">
        <f t="shared" si="38"/>
        <v>0</v>
      </c>
      <c r="H208" s="55">
        <v>0</v>
      </c>
      <c r="I208" s="143" t="s">
        <v>2703</v>
      </c>
      <c r="J208" s="127">
        <f t="shared" si="39"/>
        <v>0</v>
      </c>
    </row>
    <row r="209" spans="1:10">
      <c r="A209" s="2">
        <v>8</v>
      </c>
      <c r="B209" t="s">
        <v>2932</v>
      </c>
      <c r="C209" s="2" t="s">
        <v>83</v>
      </c>
      <c r="D209" s="2" t="s">
        <v>2678</v>
      </c>
      <c r="E209" s="3">
        <f t="shared" si="36"/>
        <v>9.7777777777777768</v>
      </c>
      <c r="F209" s="3">
        <f t="shared" si="37"/>
        <v>27.37777777777778</v>
      </c>
      <c r="G209" s="3">
        <f t="shared" si="38"/>
        <v>117.33333333333333</v>
      </c>
      <c r="H209" s="3">
        <f>H54*($H$156/7500)</f>
        <v>176</v>
      </c>
      <c r="J209" s="127">
        <f t="shared" si="39"/>
        <v>1.9555555555555555</v>
      </c>
    </row>
    <row r="210" spans="1:10">
      <c r="A210" s="2">
        <v>9</v>
      </c>
      <c r="B210" t="s">
        <v>84</v>
      </c>
      <c r="C210" s="2" t="s">
        <v>85</v>
      </c>
      <c r="D210" s="2" t="s">
        <v>2678</v>
      </c>
      <c r="E210" s="3">
        <f t="shared" si="36"/>
        <v>13.037037037037038</v>
      </c>
      <c r="F210" s="3">
        <f t="shared" si="37"/>
        <v>36.503703703703707</v>
      </c>
      <c r="G210" s="3">
        <f t="shared" si="38"/>
        <v>156.44444444444446</v>
      </c>
      <c r="H210" s="3">
        <f>H55*($H$156/7500)</f>
        <v>234.66666666666669</v>
      </c>
      <c r="J210" s="127">
        <f t="shared" si="39"/>
        <v>2.6074074074074076</v>
      </c>
    </row>
    <row r="211" spans="1:10" ht="16">
      <c r="A211" s="2">
        <v>10</v>
      </c>
      <c r="B211" t="s">
        <v>89</v>
      </c>
      <c r="C211" s="2" t="s">
        <v>67</v>
      </c>
      <c r="D211" s="2" t="s">
        <v>2678</v>
      </c>
      <c r="E211" s="55">
        <f t="shared" si="36"/>
        <v>0</v>
      </c>
      <c r="F211" s="55">
        <f t="shared" si="37"/>
        <v>0</v>
      </c>
      <c r="G211" s="55">
        <f t="shared" si="38"/>
        <v>0</v>
      </c>
      <c r="H211" s="55">
        <v>0</v>
      </c>
      <c r="I211" s="143" t="s">
        <v>2691</v>
      </c>
      <c r="J211" s="127">
        <f t="shared" si="39"/>
        <v>0</v>
      </c>
    </row>
    <row r="212" spans="1:10" ht="16">
      <c r="A212" s="2">
        <v>11</v>
      </c>
      <c r="B212" t="s">
        <v>2935</v>
      </c>
      <c r="C212" s="2" t="s">
        <v>83</v>
      </c>
      <c r="D212" s="2" t="s">
        <v>2678</v>
      </c>
      <c r="E212" s="55">
        <f t="shared" si="36"/>
        <v>0</v>
      </c>
      <c r="F212" s="55">
        <f t="shared" si="37"/>
        <v>0</v>
      </c>
      <c r="G212" s="55">
        <f t="shared" si="38"/>
        <v>0</v>
      </c>
      <c r="H212" s="55">
        <v>0</v>
      </c>
      <c r="I212" s="143" t="s">
        <v>2703</v>
      </c>
      <c r="J212" s="127">
        <f t="shared" si="39"/>
        <v>0</v>
      </c>
    </row>
    <row r="213" spans="1:10">
      <c r="A213" s="2">
        <v>12</v>
      </c>
      <c r="B213" t="s">
        <v>93</v>
      </c>
      <c r="C213" s="2" t="s">
        <v>83</v>
      </c>
      <c r="D213" s="2" t="s">
        <v>2678</v>
      </c>
      <c r="E213" s="3">
        <f t="shared" si="36"/>
        <v>19.555555555555554</v>
      </c>
      <c r="F213" s="3">
        <f t="shared" si="37"/>
        <v>54.75555555555556</v>
      </c>
      <c r="G213" s="3">
        <f t="shared" si="38"/>
        <v>234.66666666666666</v>
      </c>
      <c r="H213" s="3">
        <f>H58*($H$156/7500)</f>
        <v>352</v>
      </c>
      <c r="J213" s="127">
        <f t="shared" si="39"/>
        <v>3.911111111111111</v>
      </c>
    </row>
    <row r="214" spans="1:10" ht="16">
      <c r="A214" s="2">
        <v>13</v>
      </c>
      <c r="B214" t="s">
        <v>75</v>
      </c>
      <c r="C214" s="2" t="s">
        <v>67</v>
      </c>
      <c r="D214" s="2" t="s">
        <v>2678</v>
      </c>
      <c r="E214" s="55">
        <f t="shared" si="36"/>
        <v>0</v>
      </c>
      <c r="F214" s="55">
        <f t="shared" si="37"/>
        <v>0</v>
      </c>
      <c r="G214" s="55">
        <f t="shared" si="38"/>
        <v>0</v>
      </c>
      <c r="H214" s="55">
        <v>0</v>
      </c>
      <c r="I214" s="143" t="s">
        <v>2691</v>
      </c>
      <c r="J214" s="127">
        <f t="shared" si="39"/>
        <v>0</v>
      </c>
    </row>
    <row r="215" spans="1:10" ht="16">
      <c r="A215" s="2">
        <v>14</v>
      </c>
      <c r="B215" t="s">
        <v>74</v>
      </c>
      <c r="C215" s="2" t="s">
        <v>67</v>
      </c>
      <c r="D215" s="2" t="s">
        <v>2678</v>
      </c>
      <c r="E215" s="55">
        <f t="shared" si="36"/>
        <v>0</v>
      </c>
      <c r="F215" s="55">
        <f t="shared" si="37"/>
        <v>0</v>
      </c>
      <c r="G215" s="55">
        <f t="shared" si="38"/>
        <v>0</v>
      </c>
      <c r="H215" s="55">
        <v>0</v>
      </c>
      <c r="I215" s="143" t="s">
        <v>2691</v>
      </c>
      <c r="J215" s="127">
        <f t="shared" si="39"/>
        <v>0</v>
      </c>
    </row>
    <row r="216" spans="1:10">
      <c r="A216" s="2">
        <v>15</v>
      </c>
      <c r="B216" t="s">
        <v>94</v>
      </c>
      <c r="C216" s="2" t="s">
        <v>85</v>
      </c>
      <c r="D216" s="2" t="s">
        <v>2678</v>
      </c>
      <c r="E216" s="3">
        <f t="shared" si="36"/>
        <v>0</v>
      </c>
      <c r="F216" s="3">
        <f t="shared" si="37"/>
        <v>0</v>
      </c>
      <c r="G216" s="3">
        <f t="shared" si="38"/>
        <v>0</v>
      </c>
      <c r="H216" s="3">
        <f>H61*($H$156/7500)</f>
        <v>0</v>
      </c>
      <c r="J216" s="127">
        <f t="shared" si="39"/>
        <v>0</v>
      </c>
    </row>
    <row r="217" spans="1:10">
      <c r="A217" s="2">
        <v>16</v>
      </c>
      <c r="B217" t="s">
        <v>267</v>
      </c>
      <c r="C217" s="2" t="s">
        <v>96</v>
      </c>
      <c r="D217" s="2" t="s">
        <v>2678</v>
      </c>
      <c r="E217" s="3">
        <f t="shared" si="36"/>
        <v>0</v>
      </c>
      <c r="F217" s="3">
        <f t="shared" si="37"/>
        <v>0</v>
      </c>
      <c r="G217" s="3">
        <f t="shared" si="38"/>
        <v>0</v>
      </c>
      <c r="H217" s="3">
        <f>H62*($H$156/7500)</f>
        <v>0</v>
      </c>
      <c r="J217" s="127">
        <f t="shared" si="39"/>
        <v>0</v>
      </c>
    </row>
    <row r="218" spans="1:10" ht="16">
      <c r="A218" s="2">
        <v>17</v>
      </c>
      <c r="B218" t="s">
        <v>77</v>
      </c>
      <c r="C218" s="2" t="s">
        <v>67</v>
      </c>
      <c r="D218" s="2" t="s">
        <v>2678</v>
      </c>
      <c r="E218" s="55">
        <f t="shared" si="36"/>
        <v>0</v>
      </c>
      <c r="F218" s="55">
        <f t="shared" si="37"/>
        <v>0</v>
      </c>
      <c r="G218" s="55">
        <f t="shared" si="38"/>
        <v>0</v>
      </c>
      <c r="H218" s="55">
        <v>0</v>
      </c>
      <c r="I218" s="143" t="s">
        <v>2680</v>
      </c>
      <c r="J218" s="127">
        <f t="shared" si="39"/>
        <v>0</v>
      </c>
    </row>
    <row r="219" spans="1:10" ht="16">
      <c r="A219" s="2">
        <v>18</v>
      </c>
      <c r="B219" t="s">
        <v>76</v>
      </c>
      <c r="C219" s="2" t="s">
        <v>67</v>
      </c>
      <c r="D219" s="2" t="s">
        <v>2678</v>
      </c>
      <c r="E219" s="55">
        <f t="shared" si="36"/>
        <v>0</v>
      </c>
      <c r="F219" s="55">
        <f t="shared" si="37"/>
        <v>0</v>
      </c>
      <c r="G219" s="55">
        <f t="shared" si="38"/>
        <v>0</v>
      </c>
      <c r="H219" s="55">
        <v>0</v>
      </c>
      <c r="I219" s="143" t="s">
        <v>2680</v>
      </c>
      <c r="J219" s="127">
        <f t="shared" si="39"/>
        <v>0</v>
      </c>
    </row>
    <row r="220" spans="1:10">
      <c r="A220" s="2">
        <v>19</v>
      </c>
      <c r="B220" t="s">
        <v>97</v>
      </c>
      <c r="C220" s="2" t="s">
        <v>98</v>
      </c>
      <c r="D220" s="2" t="s">
        <v>2678</v>
      </c>
      <c r="E220" s="3">
        <f t="shared" si="36"/>
        <v>0</v>
      </c>
      <c r="F220" s="3">
        <f t="shared" si="37"/>
        <v>0</v>
      </c>
      <c r="G220" s="3">
        <f t="shared" si="38"/>
        <v>0</v>
      </c>
      <c r="H220" s="3">
        <f>H65*($H$156/7500)</f>
        <v>0</v>
      </c>
      <c r="J220" s="127">
        <f t="shared" si="39"/>
        <v>0</v>
      </c>
    </row>
    <row r="222" spans="1:10">
      <c r="A222" s="12" t="s">
        <v>32</v>
      </c>
      <c r="B222" s="12" t="s">
        <v>2950</v>
      </c>
      <c r="G222" s="10"/>
      <c r="H222" s="10">
        <f>SUMIF('Employees Supported'!$A$2:$A$29,$A222,'Employees Supported'!$C$2:$C$29)</f>
        <v>400</v>
      </c>
    </row>
    <row r="223" spans="1:10">
      <c r="A223" s="29" t="s">
        <v>2651</v>
      </c>
      <c r="B223" s="29" t="s">
        <v>53</v>
      </c>
      <c r="C223" s="29" t="s">
        <v>22</v>
      </c>
      <c r="D223" s="30" t="s">
        <v>2678</v>
      </c>
      <c r="E223" s="30" t="s">
        <v>2918</v>
      </c>
      <c r="F223" s="30" t="s">
        <v>2919</v>
      </c>
      <c r="G223" s="30" t="s">
        <v>2920</v>
      </c>
      <c r="H223" s="30" t="s">
        <v>2921</v>
      </c>
    </row>
    <row r="224" spans="1:10">
      <c r="A224" s="2">
        <v>1</v>
      </c>
      <c r="B224" t="s">
        <v>66</v>
      </c>
      <c r="C224" s="2" t="s">
        <v>67</v>
      </c>
      <c r="D224" s="2" t="s">
        <v>2678</v>
      </c>
      <c r="E224" s="3">
        <f t="shared" ref="E224:E242" si="40">(5/90)*H224</f>
        <v>0</v>
      </c>
      <c r="F224" s="3">
        <f t="shared" ref="F224:F242" si="41">(14/90)*H224</f>
        <v>0</v>
      </c>
      <c r="G224" s="3">
        <f t="shared" ref="G224:G242" si="42">(60/90)*H224</f>
        <v>0</v>
      </c>
      <c r="H224" s="3">
        <v>0</v>
      </c>
      <c r="J224" s="127">
        <f>SUM(H224)/90</f>
        <v>0</v>
      </c>
    </row>
    <row r="225" spans="1:10">
      <c r="A225" s="2">
        <v>2</v>
      </c>
      <c r="B225" t="s">
        <v>68</v>
      </c>
      <c r="C225" s="2" t="s">
        <v>67</v>
      </c>
      <c r="D225" s="2" t="s">
        <v>2678</v>
      </c>
      <c r="E225" s="3">
        <f t="shared" si="40"/>
        <v>6000</v>
      </c>
      <c r="F225" s="3">
        <f t="shared" si="41"/>
        <v>16800</v>
      </c>
      <c r="G225" s="3">
        <f t="shared" si="42"/>
        <v>72000</v>
      </c>
      <c r="H225" s="3">
        <f>3*H222*90</f>
        <v>108000</v>
      </c>
      <c r="J225" s="127">
        <f t="shared" ref="J225:J242" si="43">SUM(H225)/90</f>
        <v>1200</v>
      </c>
    </row>
    <row r="226" spans="1:10" ht="16">
      <c r="A226" s="2">
        <v>3</v>
      </c>
      <c r="B226" t="s">
        <v>70</v>
      </c>
      <c r="C226" s="2" t="s">
        <v>71</v>
      </c>
      <c r="D226" s="2" t="s">
        <v>2678</v>
      </c>
      <c r="E226" s="55">
        <f t="shared" si="40"/>
        <v>0</v>
      </c>
      <c r="F226" s="55">
        <f t="shared" si="41"/>
        <v>0</v>
      </c>
      <c r="G226" s="55">
        <f t="shared" si="42"/>
        <v>0</v>
      </c>
      <c r="H226" s="55">
        <v>0</v>
      </c>
      <c r="I226" s="143" t="s">
        <v>2703</v>
      </c>
      <c r="J226" s="127">
        <f t="shared" si="43"/>
        <v>0</v>
      </c>
    </row>
    <row r="227" spans="1:10">
      <c r="A227" s="2">
        <v>4</v>
      </c>
      <c r="B227" t="s">
        <v>72</v>
      </c>
      <c r="C227" s="2" t="s">
        <v>71</v>
      </c>
      <c r="D227" s="2" t="s">
        <v>2678</v>
      </c>
      <c r="E227" s="3">
        <f t="shared" si="40"/>
        <v>0</v>
      </c>
      <c r="F227" s="3">
        <f t="shared" si="41"/>
        <v>0</v>
      </c>
      <c r="G227" s="3">
        <f t="shared" si="42"/>
        <v>0</v>
      </c>
      <c r="H227" s="3">
        <f>H72*($H$156/7500)</f>
        <v>0</v>
      </c>
      <c r="J227" s="127">
        <f t="shared" si="43"/>
        <v>0</v>
      </c>
    </row>
    <row r="228" spans="1:10">
      <c r="A228" s="2">
        <v>5</v>
      </c>
      <c r="B228" t="s">
        <v>2669</v>
      </c>
      <c r="C228" s="2" t="s">
        <v>67</v>
      </c>
      <c r="D228" s="2" t="s">
        <v>2678</v>
      </c>
      <c r="E228" s="3">
        <f t="shared" si="40"/>
        <v>1524.0426666666667</v>
      </c>
      <c r="F228" s="3">
        <f t="shared" si="41"/>
        <v>4267.3194666666677</v>
      </c>
      <c r="G228" s="3">
        <f t="shared" si="42"/>
        <v>18288.512000000002</v>
      </c>
      <c r="H228" s="3">
        <f>H73*($H$156/7500)</f>
        <v>27432.768000000004</v>
      </c>
      <c r="J228" s="127">
        <f t="shared" si="43"/>
        <v>304.8085333333334</v>
      </c>
    </row>
    <row r="229" spans="1:10">
      <c r="A229" s="2">
        <v>6</v>
      </c>
      <c r="B229" t="s">
        <v>78</v>
      </c>
      <c r="C229" s="2" t="s">
        <v>79</v>
      </c>
      <c r="D229" s="2" t="s">
        <v>2678</v>
      </c>
      <c r="E229" s="3">
        <f t="shared" si="40"/>
        <v>39.111111111111107</v>
      </c>
      <c r="F229" s="3">
        <f t="shared" si="41"/>
        <v>109.51111111111112</v>
      </c>
      <c r="G229" s="3">
        <f t="shared" si="42"/>
        <v>469.33333333333331</v>
      </c>
      <c r="H229" s="3">
        <f>H74*($H$156/7500)</f>
        <v>704</v>
      </c>
      <c r="J229" s="127">
        <f t="shared" si="43"/>
        <v>7.822222222222222</v>
      </c>
    </row>
    <row r="230" spans="1:10" ht="16">
      <c r="A230" s="2">
        <v>7</v>
      </c>
      <c r="B230" t="s">
        <v>80</v>
      </c>
      <c r="C230" s="2" t="s">
        <v>81</v>
      </c>
      <c r="D230" s="2" t="s">
        <v>2678</v>
      </c>
      <c r="E230" s="55">
        <f t="shared" si="40"/>
        <v>0</v>
      </c>
      <c r="F230" s="55">
        <f t="shared" si="41"/>
        <v>0</v>
      </c>
      <c r="G230" s="55">
        <f t="shared" si="42"/>
        <v>0</v>
      </c>
      <c r="H230" s="55">
        <v>0</v>
      </c>
      <c r="I230" s="143" t="s">
        <v>2703</v>
      </c>
      <c r="J230" s="127">
        <f t="shared" si="43"/>
        <v>0</v>
      </c>
    </row>
    <row r="231" spans="1:10">
      <c r="A231" s="2">
        <v>8</v>
      </c>
      <c r="B231" t="s">
        <v>2932</v>
      </c>
      <c r="C231" s="2" t="s">
        <v>83</v>
      </c>
      <c r="D231" s="2" t="s">
        <v>2678</v>
      </c>
      <c r="E231" s="3">
        <f t="shared" si="40"/>
        <v>0</v>
      </c>
      <c r="F231" s="3">
        <f t="shared" si="41"/>
        <v>0</v>
      </c>
      <c r="G231" s="3">
        <f t="shared" si="42"/>
        <v>0</v>
      </c>
      <c r="H231" s="3">
        <f>H76*($H$156/7500)</f>
        <v>0</v>
      </c>
      <c r="J231" s="127">
        <f t="shared" si="43"/>
        <v>0</v>
      </c>
    </row>
    <row r="232" spans="1:10">
      <c r="A232" s="2">
        <v>9</v>
      </c>
      <c r="B232" t="s">
        <v>84</v>
      </c>
      <c r="C232" s="2" t="s">
        <v>85</v>
      </c>
      <c r="D232" s="2" t="s">
        <v>2678</v>
      </c>
      <c r="E232" s="3">
        <f t="shared" si="40"/>
        <v>22.578409876543208</v>
      </c>
      <c r="F232" s="3">
        <f t="shared" si="41"/>
        <v>63.219547654320991</v>
      </c>
      <c r="G232" s="3">
        <f t="shared" si="42"/>
        <v>270.94091851851852</v>
      </c>
      <c r="H232" s="3">
        <f>H77*($H$156/7500)</f>
        <v>406.41137777777777</v>
      </c>
      <c r="J232" s="127">
        <f t="shared" si="43"/>
        <v>4.5156819753086417</v>
      </c>
    </row>
    <row r="233" spans="1:10" ht="16">
      <c r="A233" s="2">
        <v>10</v>
      </c>
      <c r="B233" t="s">
        <v>89</v>
      </c>
      <c r="C233" s="2" t="s">
        <v>67</v>
      </c>
      <c r="D233" s="2" t="s">
        <v>2678</v>
      </c>
      <c r="E233" s="55">
        <f t="shared" si="40"/>
        <v>0</v>
      </c>
      <c r="F233" s="55">
        <f t="shared" si="41"/>
        <v>0</v>
      </c>
      <c r="G233" s="55">
        <f t="shared" si="42"/>
        <v>0</v>
      </c>
      <c r="H233" s="55">
        <v>0</v>
      </c>
      <c r="I233" s="143" t="s">
        <v>2691</v>
      </c>
      <c r="J233" s="127">
        <f t="shared" si="43"/>
        <v>0</v>
      </c>
    </row>
    <row r="234" spans="1:10" ht="16">
      <c r="A234" s="2">
        <v>11</v>
      </c>
      <c r="B234" t="s">
        <v>2935</v>
      </c>
      <c r="C234" s="2" t="s">
        <v>83</v>
      </c>
      <c r="D234" s="2" t="s">
        <v>2678</v>
      </c>
      <c r="E234" s="55">
        <f t="shared" si="40"/>
        <v>0</v>
      </c>
      <c r="F234" s="55">
        <f t="shared" si="41"/>
        <v>0</v>
      </c>
      <c r="G234" s="55">
        <f t="shared" si="42"/>
        <v>0</v>
      </c>
      <c r="H234" s="55">
        <v>0</v>
      </c>
      <c r="I234" s="143" t="s">
        <v>2703</v>
      </c>
      <c r="J234" s="127">
        <f t="shared" si="43"/>
        <v>0</v>
      </c>
    </row>
    <row r="235" spans="1:10">
      <c r="A235" s="2">
        <v>12</v>
      </c>
      <c r="B235" t="s">
        <v>93</v>
      </c>
      <c r="C235" s="2" t="s">
        <v>83</v>
      </c>
      <c r="D235" s="2" t="s">
        <v>2678</v>
      </c>
      <c r="E235" s="3">
        <f t="shared" si="40"/>
        <v>0</v>
      </c>
      <c r="F235" s="3">
        <f t="shared" si="41"/>
        <v>0</v>
      </c>
      <c r="G235" s="3">
        <f t="shared" si="42"/>
        <v>0</v>
      </c>
      <c r="H235" s="3">
        <f>H80*($H$156/7500)</f>
        <v>0</v>
      </c>
      <c r="J235" s="127">
        <f t="shared" si="43"/>
        <v>0</v>
      </c>
    </row>
    <row r="236" spans="1:10" ht="16">
      <c r="A236" s="2">
        <v>13</v>
      </c>
      <c r="B236" t="s">
        <v>75</v>
      </c>
      <c r="C236" s="2" t="s">
        <v>67</v>
      </c>
      <c r="D236" s="2" t="s">
        <v>2678</v>
      </c>
      <c r="E236" s="55">
        <f t="shared" si="40"/>
        <v>0</v>
      </c>
      <c r="F236" s="55">
        <f t="shared" si="41"/>
        <v>0</v>
      </c>
      <c r="G236" s="55">
        <f t="shared" si="42"/>
        <v>0</v>
      </c>
      <c r="H236" s="55">
        <v>0</v>
      </c>
      <c r="I236" s="143" t="s">
        <v>2691</v>
      </c>
      <c r="J236" s="127">
        <f t="shared" si="43"/>
        <v>0</v>
      </c>
    </row>
    <row r="237" spans="1:10" ht="16">
      <c r="A237" s="2">
        <v>14</v>
      </c>
      <c r="B237" t="s">
        <v>74</v>
      </c>
      <c r="C237" s="2" t="s">
        <v>67</v>
      </c>
      <c r="D237" s="2" t="s">
        <v>2678</v>
      </c>
      <c r="E237" s="55">
        <f t="shared" si="40"/>
        <v>0</v>
      </c>
      <c r="F237" s="55">
        <f t="shared" si="41"/>
        <v>0</v>
      </c>
      <c r="G237" s="55">
        <f t="shared" si="42"/>
        <v>0</v>
      </c>
      <c r="H237" s="55">
        <v>0</v>
      </c>
      <c r="I237" s="143" t="s">
        <v>2691</v>
      </c>
      <c r="J237" s="127">
        <f t="shared" si="43"/>
        <v>0</v>
      </c>
    </row>
    <row r="238" spans="1:10">
      <c r="A238" s="2">
        <v>15</v>
      </c>
      <c r="B238" t="s">
        <v>94</v>
      </c>
      <c r="C238" s="2" t="s">
        <v>85</v>
      </c>
      <c r="D238" s="2" t="s">
        <v>2678</v>
      </c>
      <c r="E238" s="3">
        <f t="shared" si="40"/>
        <v>0</v>
      </c>
      <c r="F238" s="3">
        <f t="shared" si="41"/>
        <v>0</v>
      </c>
      <c r="G238" s="3">
        <f t="shared" si="42"/>
        <v>0</v>
      </c>
      <c r="H238" s="3">
        <f>H83*($H$156/7500)</f>
        <v>0</v>
      </c>
      <c r="J238" s="127">
        <f t="shared" si="43"/>
        <v>0</v>
      </c>
    </row>
    <row r="239" spans="1:10">
      <c r="A239" s="2">
        <v>16</v>
      </c>
      <c r="B239" t="s">
        <v>267</v>
      </c>
      <c r="C239" s="2" t="s">
        <v>96</v>
      </c>
      <c r="D239" s="2" t="s">
        <v>2678</v>
      </c>
      <c r="E239" s="3">
        <f t="shared" si="40"/>
        <v>16.933807407407407</v>
      </c>
      <c r="F239" s="3">
        <f t="shared" si="41"/>
        <v>47.414660740740743</v>
      </c>
      <c r="G239" s="3">
        <f t="shared" si="42"/>
        <v>203.20568888888889</v>
      </c>
      <c r="H239" s="3">
        <f>H84*($H$156/7500)</f>
        <v>304.80853333333334</v>
      </c>
      <c r="J239" s="127">
        <f t="shared" si="43"/>
        <v>3.3867614814814817</v>
      </c>
    </row>
    <row r="240" spans="1:10" ht="16">
      <c r="A240" s="2">
        <v>17</v>
      </c>
      <c r="B240" t="s">
        <v>77</v>
      </c>
      <c r="C240" s="2" t="s">
        <v>67</v>
      </c>
      <c r="D240" s="2" t="s">
        <v>2678</v>
      </c>
      <c r="E240" s="55">
        <f t="shared" si="40"/>
        <v>0</v>
      </c>
      <c r="F240" s="55">
        <f t="shared" si="41"/>
        <v>0</v>
      </c>
      <c r="G240" s="55">
        <f t="shared" si="42"/>
        <v>0</v>
      </c>
      <c r="H240" s="55">
        <v>0</v>
      </c>
      <c r="I240" s="143" t="s">
        <v>2680</v>
      </c>
      <c r="J240" s="127">
        <f t="shared" si="43"/>
        <v>0</v>
      </c>
    </row>
    <row r="241" spans="1:10" ht="16">
      <c r="A241" s="2">
        <v>18</v>
      </c>
      <c r="B241" t="s">
        <v>76</v>
      </c>
      <c r="C241" s="2" t="s">
        <v>67</v>
      </c>
      <c r="D241" s="2" t="s">
        <v>2678</v>
      </c>
      <c r="E241" s="55">
        <f t="shared" si="40"/>
        <v>0</v>
      </c>
      <c r="F241" s="55">
        <f t="shared" si="41"/>
        <v>0</v>
      </c>
      <c r="G241" s="55">
        <f t="shared" si="42"/>
        <v>0</v>
      </c>
      <c r="H241" s="55">
        <v>0</v>
      </c>
      <c r="I241" s="143" t="s">
        <v>2680</v>
      </c>
      <c r="J241" s="127">
        <f t="shared" si="43"/>
        <v>0</v>
      </c>
    </row>
    <row r="242" spans="1:10">
      <c r="A242" s="2">
        <v>19</v>
      </c>
      <c r="B242" t="s">
        <v>97</v>
      </c>
      <c r="C242" s="2" t="s">
        <v>98</v>
      </c>
      <c r="D242" s="2" t="s">
        <v>2678</v>
      </c>
      <c r="E242" s="3">
        <f t="shared" si="40"/>
        <v>0</v>
      </c>
      <c r="F242" s="3">
        <f t="shared" si="41"/>
        <v>0</v>
      </c>
      <c r="G242" s="3">
        <f t="shared" si="42"/>
        <v>0</v>
      </c>
      <c r="H242" s="3">
        <f>H87*($H$156/7500)</f>
        <v>0</v>
      </c>
      <c r="J242" s="127">
        <f t="shared" si="43"/>
        <v>0</v>
      </c>
    </row>
  </sheetData>
  <printOptions gridLines="1"/>
  <pageMargins left="0.25" right="0.25"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J Q F A A B Q S w M E F A A C A A g A N k 0 N U R Z U 0 P + m A A A A + A A A A B I A H A B D b 2 5 m a W c v U G F j a 2 F n Z S 5 4 b W w g o h g A K K A U A A A A A A A A A A A A A A A A A A A A A A A A A A A A h Y 8 x D o I w G E a v Q r r T l i p J Q 3 7 K 4 C q J C d G 4 N q V C I x R D i 3 A 3 B 4 / k F S R R 1 M 3 x e 3 n D + x 6 3 O 2 R T 2 w R X 3 T v T 2 R R F m K J A W 9 W V x l Y p G v w p 5 C g T s J P q L C s d z L J 1 y e T K F N X e X x J C x n H E 4 w p 3 f U U Y p R E 5 5 t t C 1 b q V 6 C O b / 3 J o r P P S K o 0 E H F 4 x g m H O c M x j j t k 6 A r J g y I 3 9 K m w u x h T I D 4 T N 0 P i h 1 0 L b c F 8 A W S a Q 9 w v x B F B L A w Q U A A I A C A A 2 T Q 1 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k 0 N U b I Y b f G M A g A A b j I A A B M A H A B G b 3 J t d W x h c y 9 T Z W N 0 a W 9 u M S 5 t I K I Y A C i g F A A A A A A A A A A A A A A A A A A A A A A A A A A A A O 3 a T 2 / a M B Q A 8 D s S 3 8 F K N Q 2 k Q A p b t 7 U T B x R W r V J X t q Z s h 7 K D C Q / w 6 t i Z / d I V V f 3 u c 5 a g d l K 6 c J m q i s c l w f + e 7 b y f c o g t x C i 0 Y l F x 7 b 1 v N p o N u + I G 5 m z P Q z 6 T 0 I G b V B t k r V d t j w 2 Y B G w 2 m P t F O j M x u J L Q X n d H O s 4 S U N g 6 F h K 6 o V b o / t i W F x 5 N J x a M n Z 5 z X F 3 B p 2 k o c M 3 0 w g X k i B K m I 2 F c a G 1 e W j Z e L I Q b s M P O w R Z j n 8 P P D C y y C 8 P j K 6 G W 0 4 c T 6 s b 2 2 m v 7 l y O Q I h E I Z u D 5 n s 9 C L b N E 2 U F v 3 2 c f V K z n r t + g 1 z / o + + x L p h E i X E s Y 3 N 9 2 z 7 S C 7 2 2 / W N S e 9 9 n o x N X N 2 U f g c z f z f M 0 X e d h u W V O W t 4 r 1 + + y y L B 9 K G c V c c m M H a L K H Q 4 Y r r p Z u x I t 1 C v f D u U U p u 9 A m K W a c V 9 p W R X z / 9 t Z j x R a A Y W d Z M n M X 5 l a K r g d D u M E 7 n + V N T r n b q k k 6 5 3 n v I d 6 3 y U t Q J F C 2 i 7 L Z D 7 f n l W M M r R V L 5 f p P l K h u E S H H z D 5 W Z W p i b 5 7 o v + Z w 4 k I L L t 3 T Q 7 O u b H G s p d S / O p O 0 s r a M 4 S Y S 8 p T P h M x T 7 u + G d + 1 m Q 6 j K 5 / O 4 g C 2 y / x v M H i T / C j G 1 R 0 F g i 1 x f 6 u v u n 4 F T L Z R L X 5 0 E 1 u W t D R b c B h s H V g f H w 2 g 0 D q M g H H 8 9 G X V 6 h 8 G H c f i i v 3 + q l 8 K i i G 2 w 8 e E K y 7 W 6 u 4 2 R g I y Q k S c z w l q v t 3 l L k B N y s u N O D s g J O S E n t U 7 e k B N y Q k 5 q n b w l J + S E n N Q 6 e U d O y A k 5 q X V y S E 7 I C T m p d d L b J y g E h a D U Q + k R F I J C U G q h 9 J / X d / b e r g k o d 8 u t l w 2 X o O L q 7 C E n / / 2 F Q l A I C k H Z A s o z O 7 l F U A j K 0 0 D Z 6 v A K Q S E o u w 5 l q 9 M r B I W g 7 D q U r Y 6 v E B S C s g t Q f g N Q S w E C L Q A U A A I A C A A 2 T Q 1 R F l T Q / 6 Y A A A D 4 A A A A E g A A A A A A A A A A A A A A A A A A A A A A Q 2 9 u Z m l n L 1 B h Y 2 t h Z 2 U u e G 1 s U E s B A i 0 A F A A C A A g A N k 0 N U Q / K 6 a u k A A A A 6 Q A A A B M A A A A A A A A A A A A A A A A A 8 g A A A F t D b 2 5 0 Z W 5 0 X 1 R 5 c G V z X S 5 4 b W x Q S w E C L Q A U A A I A C A A 2 T Q 1 R s h h t 8 Y w C A A B u M g A A E w A A A A A A A A A A A A A A A A D j A Q A A R m 9 y b X V s Y X M v U 2 V j d G l v b j E u b V B L B Q Y A A A A A A w A D A M I A A A C 8 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K 3 Q A A A A A A A C j 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Y W J s Z S 1 l e H B v c n 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Z p b G x F c n J v c k N v Z G U i I F Z h b H V l P S J z V W 5 r b m 9 3 b i I g L z 4 8 R W 5 0 c n k g V H l w Z T 0 i R m l s b E V y c m 9 y Q 2 9 1 b n Q i I F Z h b H V l P S J s M C I g L z 4 8 R W 5 0 c n k g V H l w Z T 0 i R m l s b E x h c 3 R V c G R h d G V k I i B W Y W x 1 Z T 0 i Z D I w M j A t M D U t M D d U M D c 6 N T A 6 N T I u N j g 0 M D Y 0 M V o i I C 8 + P E V u d H J 5 I F R 5 c G U 9 I k Z p b G x D b 2 x 1 b W 5 U e X B l c y I g V m F s d W U 9 I n N C Z 2 N H Q m d Z S E J n W U d C Z z 0 9 I i A v P j x F b n R y e S B U e X B l P S J G a W x s Q 2 9 s d W 1 u T m F t Z X M i I F Z h b H V l P S J z W y Z x d W 9 0 O y A g V H J h Y 2 t l c i B O d W 1 i Z X I g I C Z x d W 9 0 O y w m c X V v d D s g I E x h c 3 Q g V X B k Y X R l Z C B B d C A g J n F 1 b 3 Q 7 L C Z x d W 9 0 O y A g U 3 V i a m V j d C A g J n F 1 b 3 Q 7 L C Z x d W 9 0 O y A g Q X N z a W d u Z W Q g V W 5 p d C A g J n F 1 b 3 Q 7 L C Z x d W 9 0 O y A g U 3 R h d H V z I C A m c X V v d D s s J n F 1 b 3 Q 7 I C B T d G F y d G V k I E F 0 I C A m c X V v d D s s J n F 1 b 3 Q 7 I C B S Z X F 1 Z X N 0 I F N 1 Y m p l Y 3 Q g I C Z x d W 9 0 O y w m c X V v d D s g I E l u a X R p Y W w g R W 5 0 c n k g I C Z x d W 9 0 O y w m c X V v d D s g I E Z v b G x v d y 1 V c C A g J n F 1 b 3 Q 7 L C Z x d W 9 0 O y A g U m V x d W V z d G V k I E N h c G F i a W x p d H k g I C Z x d W 9 0 O 1 0 i I C 8 + P E V u d H J 5 I F R 5 c G U 9 I l F 1 Z X J 5 S U Q i I F Z h b H V l P S J z Y j J i M j M x M T A t Y z U 3 Y y 0 0 M D l i L T k 4 O G E t Z G U 3 O W Z m O D R j M j c x I i A v P j x F b n R y e S B U e X B l P S J G a W x s U 3 R h d H V z I i B W Y W x 1 Z T 0 i c 1 d h a X R p b m d G b 3 J F e G N l b F J l Z n J l c 2 g i I C 8 + P E V u d H J 5 I F R 5 c G U 9 I k Z p b G x D b 3 V u d C I g V m F s d W U 9 I m w w I i A v P j x F b n R y e S B U e X B l P S J S Z W x h d G l v b n N o a X B J b m Z v Q 2 9 u d G F p b m V y I i B W Y W x 1 Z T 0 i c 3 s m c X V v d D t j b 2 x 1 b W 5 D b 3 V u d C Z x d W 9 0 O z o x M C w m c X V v d D t r Z X l D b 2 x 1 b W 5 O Y W 1 l c y Z x d W 9 0 O z p b X S w m c X V v d D t x d W V y e V J l b G F 0 a W 9 u c 2 h p c H M m c X V v d D s 6 W 1 0 s J n F 1 b 3 Q 7 Y 2 9 s d W 1 u S W R l b n R p d G l l c y Z x d W 9 0 O z p b J n F 1 b 3 Q 7 U 2 V j d G l v b j E v d G F i b G U t Z X h w b 3 J 0 I C g z K S 9 D a G F u Z 2 V k I F R 5 c G U u e y A g V H J h Y 2 t l c i B O d W 1 i Z X I g I C w w f S Z x d W 9 0 O y w m c X V v d D t T Z W N 0 a W 9 u M S 9 0 Y W J s Z S 1 l e H B v c n Q g K D M p L 0 N o Y W 5 n Z W Q g V H l w Z S 5 7 I C B M Y X N 0 I F V w Z G F 0 Z W Q g Q X Q g I C w x f S Z x d W 9 0 O y w m c X V v d D t T Z W N 0 a W 9 u M S 9 0 Y W J s Z S 1 l e H B v c n Q g K D M p L 0 N o Y W 5 n Z W Q g V H l w Z S 5 7 I C B T d W J q Z W N 0 I C A s M n 0 m c X V v d D s s J n F 1 b 3 Q 7 U 2 V j d G l v b j E v d G F i b G U t Z X h w b 3 J 0 I C g z K S 9 D a G F u Z 2 V k I F R 5 c G U u e y A g Q X N z a W d u Z W Q g V W 5 p d C A g L D N 9 J n F 1 b 3 Q 7 L C Z x d W 9 0 O 1 N l Y 3 R p b 2 4 x L 3 R h Y m x l L W V 4 c G 9 y d C A o M y k v Q 2 h h b m d l Z C B U e X B l L n s g I F N 0 Y X R 1 c y A g L D R 9 J n F 1 b 3 Q 7 L C Z x d W 9 0 O 1 N l Y 3 R p b 2 4 x L 3 R h Y m x l L W V 4 c G 9 y d C A o M y k v Q 2 h h b m d l Z C B U e X B l L n s g I F N 0 Y X J 0 Z W Q g Q X Q g I C w 1 f S Z x d W 9 0 O y w m c X V v d D t T Z W N 0 a W 9 u M S 9 0 Y W J s Z S 1 l e H B v c n Q g K D M p L 0 N o Y W 5 n Z W Q g V H l w Z S 5 7 I C B S Z X F 1 Z X N 0 I F N 1 Y m p l Y 3 Q g I C w 2 f S Z x d W 9 0 O y w m c X V v d D t T Z W N 0 a W 9 u M S 9 0 Y W J s Z S 1 l e H B v c n Q g K D M p L 0 N o Y W 5 n Z W Q g V H l w Z S 5 7 I C B J b m l 0 a W F s I E V u d H J 5 I C A s N 3 0 m c X V v d D s s J n F 1 b 3 Q 7 U 2 V j d G l v b j E v d G F i b G U t Z X h w b 3 J 0 I C g z K S 9 D a G F u Z 2 V k I F R 5 c G U u e y A g R m 9 s b G 9 3 L V V w I C A s O H 0 m c X V v d D s s J n F 1 b 3 Q 7 U 2 V j d G l v b j E v d G F i b G U t Z X h w b 3 J 0 I C g z K S 9 D a G F u Z 2 V k I F R 5 c G U u e y A g U m V x d W V z d G V k I E N h c G F i a W x p d H k g I C w 5 f S Z x d W 9 0 O 1 0 s J n F 1 b 3 Q 7 Q 2 9 s d W 1 u Q 2 9 1 b n Q m c X V v d D s 6 M T A s J n F 1 b 3 Q 7 S 2 V 5 Q 2 9 s d W 1 u T m F t Z X M m c X V v d D s 6 W 1 0 s J n F 1 b 3 Q 7 Q 2 9 s d W 1 u S W R l b n R p d G l l c y Z x d W 9 0 O z p b J n F 1 b 3 Q 7 U 2 V j d G l v b j E v d G F i b G U t Z X h w b 3 J 0 I C g z K S 9 D a G F u Z 2 V k I F R 5 c G U u e y A g V H J h Y 2 t l c i B O d W 1 i Z X I g I C w w f S Z x d W 9 0 O y w m c X V v d D t T Z W N 0 a W 9 u M S 9 0 Y W J s Z S 1 l e H B v c n Q g K D M p L 0 N o Y W 5 n Z W Q g V H l w Z S 5 7 I C B M Y X N 0 I F V w Z G F 0 Z W Q g Q X Q g I C w x f S Z x d W 9 0 O y w m c X V v d D t T Z W N 0 a W 9 u M S 9 0 Y W J s Z S 1 l e H B v c n Q g K D M p L 0 N o Y W 5 n Z W Q g V H l w Z S 5 7 I C B T d W J q Z W N 0 I C A s M n 0 m c X V v d D s s J n F 1 b 3 Q 7 U 2 V j d G l v b j E v d G F i b G U t Z X h w b 3 J 0 I C g z K S 9 D a G F u Z 2 V k I F R 5 c G U u e y A g Q X N z a W d u Z W Q g V W 5 p d C A g L D N 9 J n F 1 b 3 Q 7 L C Z x d W 9 0 O 1 N l Y 3 R p b 2 4 x L 3 R h Y m x l L W V 4 c G 9 y d C A o M y k v Q 2 h h b m d l Z C B U e X B l L n s g I F N 0 Y X R 1 c y A g L D R 9 J n F 1 b 3 Q 7 L C Z x d W 9 0 O 1 N l Y 3 R p b 2 4 x L 3 R h Y m x l L W V 4 c G 9 y d C A o M y k v Q 2 h h b m d l Z C B U e X B l L n s g I F N 0 Y X J 0 Z W Q g Q X Q g I C w 1 f S Z x d W 9 0 O y w m c X V v d D t T Z W N 0 a W 9 u M S 9 0 Y W J s Z S 1 l e H B v c n Q g K D M p L 0 N o Y W 5 n Z W Q g V H l w Z S 5 7 I C B S Z X F 1 Z X N 0 I F N 1 Y m p l Y 3 Q g I C w 2 f S Z x d W 9 0 O y w m c X V v d D t T Z W N 0 a W 9 u M S 9 0 Y W J s Z S 1 l e H B v c n Q g K D M p L 0 N o Y W 5 n Z W Q g V H l w Z S 5 7 I C B J b m l 0 a W F s I E V u d H J 5 I C A s N 3 0 m c X V v d D s s J n F 1 b 3 Q 7 U 2 V j d G l v b j E v d G F i b G U t Z X h w b 3 J 0 I C g z K S 9 D a G F u Z 2 V k I F R 5 c G U u e y A g R m 9 s b G 9 3 L V V w I C A s O H 0 m c X V v d D s s J n F 1 b 3 Q 7 U 2 V j d G l v b j E v d G F i b G U t Z X h w b 3 J 0 I C g z K S 9 D a G F u Z 2 V k I F R 5 c G U u e y A g U m V x d W V z d G V k I E N h c G F i a W x p d H k g I C w 5 f S Z x d W 9 0 O 1 0 s J n F 1 b 3 Q 7 U m V s Y X R p b 2 5 z a G l w S W 5 m b y Z x d W 9 0 O z p b X X 0 i I C 8 + P E V u d H J 5 I F R 5 c G U 9 I k F k Z G V k V G 9 E Y X R h T W 9 k Z W w i I F Z h b H V l P S J s M C I g L z 4 8 L 1 N 0 Y W J s Z U V u d H J p Z X M + P C 9 J d G V t P j x J d G V t P j x J d G V t T G 9 j Y X R p b 2 4 + P E l 0 Z W 1 U e X B l P k Z v c m 1 1 b G E 8 L 0 l 0 Z W 1 U e X B l P j x J d G V t U G F 0 a D 5 T Z W N 0 a W 9 u M S 9 0 Y W J s Z S 1 l e H B v c n Q l M j A o M y k v U 2 9 1 c m N l P C 9 J d G V t U G F 0 a D 4 8 L 0 l 0 Z W 1 M b 2 N h d G l v b j 4 8 U 3 R h Y m x l R W 5 0 c m l l c y A v P j w v S X R l b T 4 8 S X R l b T 4 8 S X R l b U x v Y 2 F 0 a W 9 u P j x J d G V t V H l w Z T 5 G b 3 J t d W x h P C 9 J d G V t V H l w Z T 4 8 S X R l b V B h d G g + U 2 V j d G l v b j E v d G F i b G U t Z X h w b 3 J 0 J T I w K D M p L 1 B y b 2 1 v d G V k J T I w S G V h Z G V y c z w v S X R l b V B h d G g + P C 9 J d G V t T G 9 j Y X R p b 2 4 + P F N 0 Y W J s Z U V u d H J p Z X M g L z 4 8 L 0 l 0 Z W 0 + P E l 0 Z W 0 + P E l 0 Z W 1 M b 2 N h d G l v b j 4 8 S X R l b V R 5 c G U + R m 9 y b X V s Y T w v S X R l b V R 5 c G U + P E l 0 Z W 1 Q Y X R o P l N l Y 3 R p b 2 4 x L 3 R h Y m x l L W V 4 c G 9 y d C U y M C g z K S 9 D a G F u Z 2 V k J T I w V H l w Z T w v S X R l b V B h d G g + P C 9 J d G V t T G 9 j Y X R p b 2 4 + P F N 0 Y W J s Z U V u d H J p Z X M g L z 4 8 L 0 l 0 Z W 0 + P E l 0 Z W 0 + P E l 0 Z W 1 M b 2 N h d G l v b j 4 8 S X R l b V R 5 c G U + R m 9 y b X V s Y T w v S X R l b V R 5 c G U + P E l 0 Z W 1 Q Y X R o P l N l Y 3 R p b 2 4 x L 3 R h Y m x l L W V 4 c G 9 y 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S I g L z 4 8 R W 5 0 c n k g V H l w Z T 0 i U X V l c n l J R C I g V m F s d W U 9 I n M x N T d i N z U y M C 1 j O T A 4 L T R l Z G Y t O D J h Y i 1 k O D E y N T Y 3 Y T A 3 O W Y i I C 8 + P E V u d H J 5 I F R 5 c G U 9 I k J 1 Z m Z l c k 5 l e H R S Z W Z y Z X N o I i B W Y W x 1 Z T 0 i b D E i I C 8 + P E V u d H J 5 I F R 5 c G U 9 I k Z p b G x F c n J v c k N v d W 5 0 I i B W Y W x 1 Z T 0 i b D A i I C 8 + P E V u d H J 5 I F R 5 c G U 9 I k Z p b G x M Y X N 0 V X B k Y X R l Z C I g V m F s d W U 9 I m Q y M D I w L T A 1 L T I x V D E 0 O j Q y O j M y L j A 0 N T I y M D V a I i A v P j x F b n R y e S B U e X B l P S J G a W x s Q 2 9 s d W 1 u V H l w Z X M i I F Z h b H V l P S J z Q m d j R 0 J n W U h C Z 1 l H Q m c 9 P S I g L z 4 8 R W 5 0 c n k g V H l w Z T 0 i R m l s b E V y c m 9 y Q 2 9 k Z S I g V m F s d W U 9 I n N V b m t u b 3 d u I i A v P j x F b n R y e S B U e X B l P S J G a W x s Q 2 9 s d W 1 u T m F t Z X M i I F Z h b H V l P S J z W y Z x d W 9 0 O y A g V H J h Y 2 t l c i B O d W 1 i Z X I g I C Z x d W 9 0 O y w m c X V v d D s g I E x h c 3 Q g V X B k Y X R l Z C B B d C A g J n F 1 b 3 Q 7 L C Z x d W 9 0 O y A g U 3 V i a m V j d C A g J n F 1 b 3 Q 7 L C Z x d W 9 0 O y A g Q X N z a W d u Z W Q g V W 5 p d C A g J n F 1 b 3 Q 7 L C Z x d W 9 0 O y A g U 3 R h d H V z I C A m c X V v d D s s J n F 1 b 3 Q 7 I C B T d G F y d G V k I E F 0 I C A m c X V v d D s s J n F 1 b 3 Q 7 I C B S Z X F 1 Z X N 0 I F N 1 Y m p l Y 3 Q g I C Z x d W 9 0 O y w m c X V v d D s g I E l u a X R p Y W w g R W 5 0 c n k g I C Z x d W 9 0 O y w m c X V v d D s g I E Z v b G x v d y 1 V c C A g J n F 1 b 3 Q 7 L C Z x d W 9 0 O y A g U m V x d W V z d G V k I E N h c G F i a W x p d H k g I C Z x d W 9 0 O 1 0 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3 R h Y m x l L W V 4 c G 9 y d C 9 D a G F u Z 2 V k I F R 5 c G U u e y A g V H J h Y 2 t l c i B O d W 1 i Z X I g I C w w f S Z x d W 9 0 O y w m c X V v d D t T Z W N 0 a W 9 u M S 9 0 Y W J s Z S 1 l e H B v c n Q v Q 2 h h b m d l Z C B U e X B l L n s g I E x h c 3 Q g V X B k Y X R l Z C B B d C A g L D F 9 J n F 1 b 3 Q 7 L C Z x d W 9 0 O 1 N l Y 3 R p b 2 4 x L 3 R h Y m x l L W V 4 c G 9 y d C 9 D a G F u Z 2 V k I F R 5 c G U u e y A g U 3 V i a m V j d C A g L D J 9 J n F 1 b 3 Q 7 L C Z x d W 9 0 O 1 N l Y 3 R p b 2 4 x L 3 R h Y m x l L W V 4 c G 9 y d C 9 D a G F u Z 2 V k I F R 5 c G U u e y A g Q X N z a W d u Z W Q g V W 5 p d C A g L D N 9 J n F 1 b 3 Q 7 L C Z x d W 9 0 O 1 N l Y 3 R p b 2 4 x L 3 R h Y m x l L W V 4 c G 9 y d C 9 D a G F u Z 2 V k I F R 5 c G U u e y A g U 3 R h d H V z I C A s N H 0 m c X V v d D s s J n F 1 b 3 Q 7 U 2 V j d G l v b j E v d G F i b G U t Z X h w b 3 J 0 L 0 N o Y W 5 n Z W Q g V H l w Z S 5 7 I C B T d G F y d G V k I E F 0 I C A s N X 0 m c X V v d D s s J n F 1 b 3 Q 7 U 2 V j d G l v b j E v d G F i b G U t Z X h w b 3 J 0 L 0 N o Y W 5 n Z W Q g V H l w Z S 5 7 I C B S Z X F 1 Z X N 0 I F N 1 Y m p l Y 3 Q g I C w 2 f S Z x d W 9 0 O y w m c X V v d D t T Z W N 0 a W 9 u M S 9 0 Y W J s Z S 1 l e H B v c n Q v Q 2 h h b m d l Z C B U e X B l L n s g I E l u a X R p Y W w g R W 5 0 c n k g I C w 3 f S Z x d W 9 0 O y w m c X V v d D t T Z W N 0 a W 9 u M S 9 0 Y W J s Z S 1 l e H B v c n Q v Q 2 h h b m d l Z C B U e X B l L n s g I E Z v b G x v d y 1 V c C A g L D h 9 J n F 1 b 3 Q 7 L C Z x d W 9 0 O 1 N l Y 3 R p b 2 4 x L 3 R h Y m x l L W V 4 c G 9 y d C 9 D a G F u Z 2 V k I F R 5 c G U u e y A g U m V x d W V z d G V k I E N h c G F i a W x p d H k g I C w 5 f S Z x d W 9 0 O 1 0 s J n F 1 b 3 Q 7 Q 2 9 s d W 1 u Q 2 9 1 b n Q m c X V v d D s 6 M T A s J n F 1 b 3 Q 7 S 2 V 5 Q 2 9 s d W 1 u T m F t Z X M m c X V v d D s 6 W 1 0 s J n F 1 b 3 Q 7 Q 2 9 s d W 1 u S W R l b n R p d G l l c y Z x d W 9 0 O z p b J n F 1 b 3 Q 7 U 2 V j d G l v b j E v d G F i b G U t Z X h w b 3 J 0 L 0 N o Y W 5 n Z W Q g V H l w Z S 5 7 I C B U c m F j a 2 V y I E 5 1 b W J l c i A g L D B 9 J n F 1 b 3 Q 7 L C Z x d W 9 0 O 1 N l Y 3 R p b 2 4 x L 3 R h Y m x l L W V 4 c G 9 y d C 9 D a G F u Z 2 V k I F R 5 c G U u e y A g T G F z d C B V c G R h d G V k I E F 0 I C A s M X 0 m c X V v d D s s J n F 1 b 3 Q 7 U 2 V j d G l v b j E v d G F i b G U t Z X h w b 3 J 0 L 0 N o Y W 5 n Z W Q g V H l w Z S 5 7 I C B T d W J q Z W N 0 I C A s M n 0 m c X V v d D s s J n F 1 b 3 Q 7 U 2 V j d G l v b j E v d G F i b G U t Z X h w b 3 J 0 L 0 N o Y W 5 n Z W Q g V H l w Z S 5 7 I C B B c 3 N p Z 2 5 l Z C B V b m l 0 I C A s M 3 0 m c X V v d D s s J n F 1 b 3 Q 7 U 2 V j d G l v b j E v d G F i b G U t Z X h w b 3 J 0 L 0 N o Y W 5 n Z W Q g V H l w Z S 5 7 I C B T d G F 0 d X M g I C w 0 f S Z x d W 9 0 O y w m c X V v d D t T Z W N 0 a W 9 u M S 9 0 Y W J s Z S 1 l e H B v c n Q v Q 2 h h b m d l Z C B U e X B l L n s g I F N 0 Y X J 0 Z W Q g Q X Q g I C w 1 f S Z x d W 9 0 O y w m c X V v d D t T Z W N 0 a W 9 u M S 9 0 Y W J s Z S 1 l e H B v c n Q v Q 2 h h b m d l Z C B U e X B l L n s g I F J l c X V l c 3 Q g U 3 V i a m V j d C A g L D Z 9 J n F 1 b 3 Q 7 L C Z x d W 9 0 O 1 N l Y 3 R p b 2 4 x L 3 R h Y m x l L W V 4 c G 9 y d C 9 D a G F u Z 2 V k I F R 5 c G U u e y A g S W 5 p d G l h b C B F b n R y e S A g L D d 9 J n F 1 b 3 Q 7 L C Z x d W 9 0 O 1 N l Y 3 R p b 2 4 x L 3 R h Y m x l L W V 4 c G 9 y d C 9 D a G F u Z 2 V k I F R 5 c G U u e y A g R m 9 s b G 9 3 L V V w I C A s O H 0 m c X V v d D s s J n F 1 b 3 Q 7 U 2 V j d G l v b j E v d G F i b G U t Z X h w b 3 J 0 L 0 N o Y W 5 n Z W Q g V H l w Z S 5 7 I C B S Z X F 1 Z X N 0 Z W Q g Q 2 F w Y W J p b G l 0 e S A g L D l 9 J n F 1 b 3 Q 7 X S w m c X V v d D t S Z W x h d G l v b n N o a X B J b m Z v J n F 1 b 3 Q 7 O l t d f S I g L z 4 8 L 1 N 0 Y W J s Z U V u d H J p Z X M + P C 9 J d G V t P j x J d G V t P j x J d G V t T G 9 j Y X R p b 2 4 + P E l 0 Z W 1 U e X B l P k Z v c m 1 1 b G E 8 L 0 l 0 Z W 1 U e X B l P j x J d G V t U G F 0 a D 5 T Z W N 0 a W 9 u M S 9 0 Y W J s Z S 1 l e H B v c n Q v U 2 9 1 c m N l P C 9 J d G V t U G F 0 a D 4 8 L 0 l 0 Z W 1 M b 2 N h d G l v b j 4 8 U 3 R h Y m x l R W 5 0 c m l l c y A v P j w v S X R l b T 4 8 S X R l b T 4 8 S X R l b U x v Y 2 F 0 a W 9 u P j x J d G V t V H l w Z T 5 G b 3 J t d W x h P C 9 J d G V t V H l w Z T 4 8 S X R l b V B h d G g + U 2 V j d G l v b j E v d G F i b G U t Z X h w b 3 J 0 L 1 B y b 2 1 v d G V k J T I w S G V h Z G V y c z w v S X R l b V B h d G g + P C 9 J d G V t T G 9 j Y X R p b 2 4 + P F N 0 Y W J s Z U V u d H J p Z X M g L z 4 8 L 0 l 0 Z W 0 + P E l 0 Z W 0 + P E l 0 Z W 1 M b 2 N h d G l v b j 4 8 S X R l b V R 5 c G U + R m 9 y b X V s Y T w v S X R l b V R 5 c G U + P E l 0 Z W 1 Q Y X R o P l N l Y 3 R p b 2 4 x L 3 R h Y m x l L W V 4 c G 9 y d C 9 D a G F u Z 2 V k J T I w V H l w Z T w v S X R l b V B h d G g + P C 9 J d G V t T G 9 j Y X R p b 2 4 + P F N 0 Y W J s Z U V u d H J p Z X M g L z 4 8 L 0 l 0 Z W 0 + P E l 0 Z W 0 + P E l 0 Z W 1 M b 2 N h d G l v b j 4 8 S X R l b V R 5 c G U + R m 9 y b X V s Y T w v S X R l b V R 5 c G U + P E l 0 Z W 1 Q Y X R o P l N l Y 3 R p b 2 4 x L 3 R h Y m x l L W V 4 c G 9 y d C 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S I g L z 4 8 R W 5 0 c n k g V H l w Z T 0 i U X V l c n l J R C I g V m F s d W U 9 I n M x N T d i N z U y M C 1 j O T A 4 L T R l Z G Y t O D J h Y i 1 k O D E y N T Y 3 Y T A 3 O W Y i I C 8 + P E V u d H J 5 I F R 5 c G U 9 I k J 1 Z m Z l c k 5 l e H R S Z W Z y Z X N o I i B W Y W x 1 Z T 0 i b D E i I C 8 + P E V u d H J 5 I F R 5 c G U 9 I k Z p b G x F c n J v c k N v d W 5 0 I i B W Y W x 1 Z T 0 i b D A i I C 8 + P E V u d H J 5 I F R 5 c G U 9 I k Z p b G x F c n J v c k N v Z G U i I F Z h b H V l P S J z V W 5 r b m 9 3 b i I g L z 4 8 R W 5 0 c n k g V H l w Z T 0 i R m l s b E N v d W 5 0 I i B W Y W x 1 Z T 0 i b D M w N i I g L z 4 8 R W 5 0 c n k g V H l w Z T 0 i Q W R k Z W R U b 0 R h d G F N b 2 R l b C I g V m F s d W U 9 I m w w I i A v P j x F b n R y e S B U e X B l P S J G a W x s T G F z d F V w Z G F 0 Z W Q i I F Z h b H V l P S J k M j A y M C 0 w N S 0 y M V Q y M z o y N D o x N C 4 4 N z Q 0 M z Y x W i I g L z 4 8 R W 5 0 c n k g V H l w Z T 0 i R m l s b E N v b H V t b l R 5 c G V z I i B W Y W x 1 Z T 0 i c 0 J n Y 0 d C Z 1 l I Q m d Z R 0 J n P T 0 i I C 8 + P E V u d H J 5 I F R 5 c G U 9 I k Z p b G x D b 2 x 1 b W 5 O Y W 1 l c y I g V m F s d W U 9 I n N b J n F 1 b 3 Q 7 I C B U c m F j a 2 V y I E 5 1 b W J l c i A g J n F 1 b 3 Q 7 L C Z x d W 9 0 O y A g T G F z d C B V c G R h d G V k I E F 0 I C A m c X V v d D s s J n F 1 b 3 Q 7 I C B T d W J q Z W N 0 I C A m c X V v d D s s J n F 1 b 3 Q 7 I C B B c 3 N p Z 2 5 l Z C B V b m l 0 I C A m c X V v d D s s J n F 1 b 3 Q 7 I C B T d G F 0 d X M g I C Z x d W 9 0 O y w m c X V v d D s g I F N 0 Y X J 0 Z W Q g Q X Q g I C Z x d W 9 0 O y w m c X V v d D s g I F J l c X V l c 3 Q g U 3 V i a m V j d C A g J n F 1 b 3 Q 7 L C Z x d W 9 0 O y A g S W 5 p d G l h b C B F b n R y e S A g J n F 1 b 3 Q 7 L C Z x d W 9 0 O y A g R m 9 s b G 9 3 L V V w I C A m c X V v d D s s J n F 1 b 3 Q 7 I C B S Z X F 1 Z X N 0 Z W Q g Q 2 F w Y W J p b G l 0 e S A g 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h Y m x l L W V 4 c G 9 y d C 9 D a G F u Z 2 V k I F R 5 c G U u e y A g V H J h Y 2 t l c i B O d W 1 i Z X I g I C w w f S Z x d W 9 0 O y w m c X V v d D t T Z W N 0 a W 9 u M S 9 0 Y W J s Z S 1 l e H B v c n Q v Q 2 h h b m d l Z C B U e X B l L n s g I E x h c 3 Q g V X B k Y X R l Z C B B d C A g L D F 9 J n F 1 b 3 Q 7 L C Z x d W 9 0 O 1 N l Y 3 R p b 2 4 x L 3 R h Y m x l L W V 4 c G 9 y d C 9 D a G F u Z 2 V k I F R 5 c G U u e y A g U 3 V i a m V j d C A g L D J 9 J n F 1 b 3 Q 7 L C Z x d W 9 0 O 1 N l Y 3 R p b 2 4 x L 3 R h Y m x l L W V 4 c G 9 y d C 9 D a G F u Z 2 V k I F R 5 c G U u e y A g Q X N z a W d u Z W Q g V W 5 p d C A g L D N 9 J n F 1 b 3 Q 7 L C Z x d W 9 0 O 1 N l Y 3 R p b 2 4 x L 3 R h Y m x l L W V 4 c G 9 y d C 9 D a G F u Z 2 V k I F R 5 c G U u e y A g U 3 R h d H V z I C A s N H 0 m c X V v d D s s J n F 1 b 3 Q 7 U 2 V j d G l v b j E v d G F i b G U t Z X h w b 3 J 0 L 0 N o Y W 5 n Z W Q g V H l w Z S 5 7 I C B T d G F y d G V k I E F 0 I C A s N X 0 m c X V v d D s s J n F 1 b 3 Q 7 U 2 V j d G l v b j E v d G F i b G U t Z X h w b 3 J 0 L 0 N o Y W 5 n Z W Q g V H l w Z S 5 7 I C B S Z X F 1 Z X N 0 I F N 1 Y m p l Y 3 Q g I C w 2 f S Z x d W 9 0 O y w m c X V v d D t T Z W N 0 a W 9 u M S 9 0 Y W J s Z S 1 l e H B v c n Q v Q 2 h h b m d l Z C B U e X B l L n s g I E l u a X R p Y W w g R W 5 0 c n k g I C w 3 f S Z x d W 9 0 O y w m c X V v d D t T Z W N 0 a W 9 u M S 9 0 Y W J s Z S 1 l e H B v c n Q v Q 2 h h b m d l Z C B U e X B l L n s g I E Z v b G x v d y 1 V c C A g L D h 9 J n F 1 b 3 Q 7 L C Z x d W 9 0 O 1 N l Y 3 R p b 2 4 x L 3 R h Y m x l L W V 4 c G 9 y d C 9 D a G F u Z 2 V k I F R 5 c G U u e y A g U m V x d W V z d G V k I E N h c G F i a W x p d H k g I C w 5 f S Z x d W 9 0 O 1 0 s J n F 1 b 3 Q 7 Q 2 9 s d W 1 u Q 2 9 1 b n Q m c X V v d D s 6 M T A s J n F 1 b 3 Q 7 S 2 V 5 Q 2 9 s d W 1 u T m F t Z X M m c X V v d D s 6 W 1 0 s J n F 1 b 3 Q 7 Q 2 9 s d W 1 u S W R l b n R p d G l l c y Z x d W 9 0 O z p b J n F 1 b 3 Q 7 U 2 V j d G l v b j E v d G F i b G U t Z X h w b 3 J 0 L 0 N o Y W 5 n Z W Q g V H l w Z S 5 7 I C B U c m F j a 2 V y I E 5 1 b W J l c i A g L D B 9 J n F 1 b 3 Q 7 L C Z x d W 9 0 O 1 N l Y 3 R p b 2 4 x L 3 R h Y m x l L W V 4 c G 9 y d C 9 D a G F u Z 2 V k I F R 5 c G U u e y A g T G F z d C B V c G R h d G V k I E F 0 I C A s M X 0 m c X V v d D s s J n F 1 b 3 Q 7 U 2 V j d G l v b j E v d G F i b G U t Z X h w b 3 J 0 L 0 N o Y W 5 n Z W Q g V H l w Z S 5 7 I C B T d W J q Z W N 0 I C A s M n 0 m c X V v d D s s J n F 1 b 3 Q 7 U 2 V j d G l v b j E v d G F i b G U t Z X h w b 3 J 0 L 0 N o Y W 5 n Z W Q g V H l w Z S 5 7 I C B B c 3 N p Z 2 5 l Z C B V b m l 0 I C A s M 3 0 m c X V v d D s s J n F 1 b 3 Q 7 U 2 V j d G l v b j E v d G F i b G U t Z X h w b 3 J 0 L 0 N o Y W 5 n Z W Q g V H l w Z S 5 7 I C B T d G F 0 d X M g I C w 0 f S Z x d W 9 0 O y w m c X V v d D t T Z W N 0 a W 9 u M S 9 0 Y W J s Z S 1 l e H B v c n Q v Q 2 h h b m d l Z C B U e X B l L n s g I F N 0 Y X J 0 Z W Q g Q X Q g I C w 1 f S Z x d W 9 0 O y w m c X V v d D t T Z W N 0 a W 9 u M S 9 0 Y W J s Z S 1 l e H B v c n Q v Q 2 h h b m d l Z C B U e X B l L n s g I F J l c X V l c 3 Q g U 3 V i a m V j d C A g L D Z 9 J n F 1 b 3 Q 7 L C Z x d W 9 0 O 1 N l Y 3 R p b 2 4 x L 3 R h Y m x l L W V 4 c G 9 y d C 9 D a G F u Z 2 V k I F R 5 c G U u e y A g S W 5 p d G l h b C B F b n R y e S A g L D d 9 J n F 1 b 3 Q 7 L C Z x d W 9 0 O 1 N l Y 3 R p b 2 4 x L 3 R h Y m x l L W V 4 c G 9 y d C 9 D a G F u Z 2 V k I F R 5 c G U u e y A g R m 9 s b G 9 3 L V V w I C A s O H 0 m c X V v d D s s J n F 1 b 3 Q 7 U 2 V j d G l v b j E v d G F i b G U t Z X h w b 3 J 0 L 0 N o Y W 5 n Z W Q g V H l w Z S 5 7 I C B S Z X F 1 Z X N 0 Z W Q g Q 2 F w Y W J p b G l 0 e S A g L D l 9 J n F 1 b 3 Q 7 X S w m c X V v d D t S Z W x h d G l v b n N o a X B J b m Z v J n F 1 b 3 Q 7 O l t d f S I g L z 4 8 L 1 N 0 Y W J s Z U V u d H J p Z X M + P C 9 J d G V t P j x J d G V t P j x J d G V t T G 9 j Y X R p b 2 4 + P E l 0 Z W 1 U e X B l P k Z v c m 1 1 b G E 8 L 0 l 0 Z W 1 U e X B l P j x J d G V t U G F 0 a D 5 T Z W N 0 a W 9 u M S 9 0 Y W J s Z S 1 l e H B v c n Q l M j A o N C k v U 2 9 1 c m N l P C 9 J d G V t U G F 0 a D 4 8 L 0 l 0 Z W 1 M b 2 N h d G l v b j 4 8 U 3 R h Y m x l R W 5 0 c m l l c y A v P j w v S X R l b T 4 8 S X R l b T 4 8 S X R l b U x v Y 2 F 0 a W 9 u P j x J d G V t V H l w Z T 5 G b 3 J t d W x h P C 9 J d G V t V H l w Z T 4 8 S X R l b V B h d G g + U 2 V j d G l v b j E v d G F i b G U t Z X h w b 3 J 0 J T I w K D Q p L 1 B y b 2 1 v d G V k J T I w S G V h Z G V y c z w v S X R l b V B h d G g + P C 9 J d G V t T G 9 j Y X R p b 2 4 + P F N 0 Y W J s Z U V u d H J p Z X M g L z 4 8 L 0 l 0 Z W 0 + P E l 0 Z W 0 + P E l 0 Z W 1 M b 2 N h d G l v b j 4 8 S X R l b V R 5 c G U + R m 9 y b X V s Y T w v S X R l b V R 5 c G U + P E l 0 Z W 1 Q Y X R o P l N l Y 3 R p b 2 4 x L 3 R h Y m x l L W V 4 c G 9 y d C U y M C g 0 K S 9 D a G F u Z 2 V k J T I w V H l w Z T w v S X R l b V B h d G g + P C 9 J d G V t T G 9 j Y X R p b 2 4 + P F N 0 Y W J s Z U V u d H J p Z X M g L z 4 8 L 0 l 0 Z W 0 + P E l 0 Z W 0 + P E l 0 Z W 1 M b 2 N h d G l v b j 4 8 S X R l b V R 5 c G U + R m 9 y b X V s Y T w v S X R l b V R 5 c G U + P E l 0 Z W 1 Q Y X R o P l N l Y 3 R p b 2 4 x L 3 R h Y m x l L W V 4 c G 9 y d C 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S I g L z 4 8 R W 5 0 c n k g V H l w Z T 0 i U X V l c n l J R C I g V m F s d W U 9 I n M x N T d i N z U y M C 1 j O T A 4 L T R l Z G Y t O D J h Y i 1 k O D E y N T Y 3 Y T A 3 O W Y i I C 8 + P E V u d H J 5 I F R 5 c G U 9 I k J 1 Z m Z l c k 5 l e H R S Z W Z y Z X N o I i B W Y W x 1 Z T 0 i b D E i I C 8 + P E V u d H J 5 I F R 5 c G U 9 I k Z p b G x F c n J v c k N v d W 5 0 I i B W Y W x 1 Z T 0 i b D A i I C 8 + P E V u d H J 5 I F R 5 c G U 9 I k Z p b G x F c n J v c k N v Z G U i I F Z h b H V l P S J z V W 5 r b m 9 3 b i I g L z 4 8 R W 5 0 c n k g V H l w Z T 0 i R m l s b E N v d W 5 0 I i B W Y W x 1 Z T 0 i b D M x O S I g L z 4 8 R W 5 0 c n k g V H l w Z T 0 i Q W R k Z W R U b 0 R h d G F N b 2 R l b C I g V m F s d W U 9 I m w w I i A v P j x F b n R y e S B U e X B l P S J G a W x s T G F z d F V w Z G F 0 Z W Q i I F Z h b H V l P S J k M j A y M C 0 w N S 0 y N 1 Q y M j o z M D o 1 N i 4 z M T c 2 M T Q z W i I g L z 4 8 R W 5 0 c n k g V H l w Z T 0 i R m l s b E N v b H V t b l R 5 c G V z I i B W Y W x 1 Z T 0 i c 0 J n Y 0 d C Z 1 l I Q m d Z R 0 J n P T 0 i I C 8 + P E V u d H J 5 I F R 5 c G U 9 I k Z p b G x D b 2 x 1 b W 5 O Y W 1 l c y I g V m F s d W U 9 I n N b J n F 1 b 3 Q 7 I C B U c m F j a 2 V y I E 5 1 b W J l c i A g J n F 1 b 3 Q 7 L C Z x d W 9 0 O y A g T G F z d C B V c G R h d G V k I E F 0 I C A m c X V v d D s s J n F 1 b 3 Q 7 I C B T d W J q Z W N 0 I C A m c X V v d D s s J n F 1 b 3 Q 7 I C B B c 3 N p Z 2 5 l Z C B V b m l 0 I C A m c X V v d D s s J n F 1 b 3 Q 7 I C B T d G F 0 d X M g I C Z x d W 9 0 O y w m c X V v d D s g I F N 0 Y X J 0 Z W Q g Q X Q g I C Z x d W 9 0 O y w m c X V v d D s g I F J l c X V l c 3 Q g U 3 V i a m V j d C A g J n F 1 b 3 Q 7 L C Z x d W 9 0 O y A g S W 5 p d G l h b C B F b n R y e S A g J n F 1 b 3 Q 7 L C Z x d W 9 0 O y A g R m 9 s b G 9 3 L V V w I C A m c X V v d D s s J n F 1 b 3 Q 7 I C B S Z X F 1 Z X N 0 Z W Q g Q 2 F w Y W J p b G l 0 e S A g 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h Y m x l L W V 4 c G 9 y d C 9 D a G F u Z 2 V k I F R 5 c G U u e y A g V H J h Y 2 t l c i B O d W 1 i Z X I g I C w w f S Z x d W 9 0 O y w m c X V v d D t T Z W N 0 a W 9 u M S 9 0 Y W J s Z S 1 l e H B v c n Q v Q 2 h h b m d l Z C B U e X B l L n s g I E x h c 3 Q g V X B k Y X R l Z C B B d C A g L D F 9 J n F 1 b 3 Q 7 L C Z x d W 9 0 O 1 N l Y 3 R p b 2 4 x L 3 R h Y m x l L W V 4 c G 9 y d C 9 D a G F u Z 2 V k I F R 5 c G U u e y A g U 3 V i a m V j d C A g L D J 9 J n F 1 b 3 Q 7 L C Z x d W 9 0 O 1 N l Y 3 R p b 2 4 x L 3 R h Y m x l L W V 4 c G 9 y d C 9 D a G F u Z 2 V k I F R 5 c G U u e y A g Q X N z a W d u Z W Q g V W 5 p d C A g L D N 9 J n F 1 b 3 Q 7 L C Z x d W 9 0 O 1 N l Y 3 R p b 2 4 x L 3 R h Y m x l L W V 4 c G 9 y d C 9 D a G F u Z 2 V k I F R 5 c G U u e y A g U 3 R h d H V z I C A s N H 0 m c X V v d D s s J n F 1 b 3 Q 7 U 2 V j d G l v b j E v d G F i b G U t Z X h w b 3 J 0 L 0 N o Y W 5 n Z W Q g V H l w Z S 5 7 I C B T d G F y d G V k I E F 0 I C A s N X 0 m c X V v d D s s J n F 1 b 3 Q 7 U 2 V j d G l v b j E v d G F i b G U t Z X h w b 3 J 0 L 0 N o Y W 5 n Z W Q g V H l w Z S 5 7 I C B S Z X F 1 Z X N 0 I F N 1 Y m p l Y 3 Q g I C w 2 f S Z x d W 9 0 O y w m c X V v d D t T Z W N 0 a W 9 u M S 9 0 Y W J s Z S 1 l e H B v c n Q v Q 2 h h b m d l Z C B U e X B l L n s g I E l u a X R p Y W w g R W 5 0 c n k g I C w 3 f S Z x d W 9 0 O y w m c X V v d D t T Z W N 0 a W 9 u M S 9 0 Y W J s Z S 1 l e H B v c n Q v Q 2 h h b m d l Z C B U e X B l L n s g I E Z v b G x v d y 1 V c C A g L D h 9 J n F 1 b 3 Q 7 L C Z x d W 9 0 O 1 N l Y 3 R p b 2 4 x L 3 R h Y m x l L W V 4 c G 9 y d C 9 D a G F u Z 2 V k I F R 5 c G U u e y A g U m V x d W V z d G V k I E N h c G F i a W x p d H k g I C w 5 f S Z x d W 9 0 O 1 0 s J n F 1 b 3 Q 7 Q 2 9 s d W 1 u Q 2 9 1 b n Q m c X V v d D s 6 M T A s J n F 1 b 3 Q 7 S 2 V 5 Q 2 9 s d W 1 u T m F t Z X M m c X V v d D s 6 W 1 0 s J n F 1 b 3 Q 7 Q 2 9 s d W 1 u S W R l b n R p d G l l c y Z x d W 9 0 O z p b J n F 1 b 3 Q 7 U 2 V j d G l v b j E v d G F i b G U t Z X h w b 3 J 0 L 0 N o Y W 5 n Z W Q g V H l w Z S 5 7 I C B U c m F j a 2 V y I E 5 1 b W J l c i A g L D B 9 J n F 1 b 3 Q 7 L C Z x d W 9 0 O 1 N l Y 3 R p b 2 4 x L 3 R h Y m x l L W V 4 c G 9 y d C 9 D a G F u Z 2 V k I F R 5 c G U u e y A g T G F z d C B V c G R h d G V k I E F 0 I C A s M X 0 m c X V v d D s s J n F 1 b 3 Q 7 U 2 V j d G l v b j E v d G F i b G U t Z X h w b 3 J 0 L 0 N o Y W 5 n Z W Q g V H l w Z S 5 7 I C B T d W J q Z W N 0 I C A s M n 0 m c X V v d D s s J n F 1 b 3 Q 7 U 2 V j d G l v b j E v d G F i b G U t Z X h w b 3 J 0 L 0 N o Y W 5 n Z W Q g V H l w Z S 5 7 I C B B c 3 N p Z 2 5 l Z C B V b m l 0 I C A s M 3 0 m c X V v d D s s J n F 1 b 3 Q 7 U 2 V j d G l v b j E v d G F i b G U t Z X h w b 3 J 0 L 0 N o Y W 5 n Z W Q g V H l w Z S 5 7 I C B T d G F 0 d X M g I C w 0 f S Z x d W 9 0 O y w m c X V v d D t T Z W N 0 a W 9 u M S 9 0 Y W J s Z S 1 l e H B v c n Q v Q 2 h h b m d l Z C B U e X B l L n s g I F N 0 Y X J 0 Z W Q g Q X Q g I C w 1 f S Z x d W 9 0 O y w m c X V v d D t T Z W N 0 a W 9 u M S 9 0 Y W J s Z S 1 l e H B v c n Q v Q 2 h h b m d l Z C B U e X B l L n s g I F J l c X V l c 3 Q g U 3 V i a m V j d C A g L D Z 9 J n F 1 b 3 Q 7 L C Z x d W 9 0 O 1 N l Y 3 R p b 2 4 x L 3 R h Y m x l L W V 4 c G 9 y d C 9 D a G F u Z 2 V k I F R 5 c G U u e y A g S W 5 p d G l h b C B F b n R y e S A g L D d 9 J n F 1 b 3 Q 7 L C Z x d W 9 0 O 1 N l Y 3 R p b 2 4 x L 3 R h Y m x l L W V 4 c G 9 y d C 9 D a G F u Z 2 V k I F R 5 c G U u e y A g R m 9 s b G 9 3 L V V w I C A s O H 0 m c X V v d D s s J n F 1 b 3 Q 7 U 2 V j d G l v b j E v d G F i b G U t Z X h w b 3 J 0 L 0 N o Y W 5 n Z W Q g V H l w Z S 5 7 I C B S Z X F 1 Z X N 0 Z W Q g Q 2 F w Y W J p b G l 0 e S A g L D l 9 J n F 1 b 3 Q 7 X S w m c X V v d D t S Z W x h d G l v b n N o a X B J b m Z v J n F 1 b 3 Q 7 O l t d f S I g L z 4 8 L 1 N 0 Y W J s Z U V u d H J p Z X M + P C 9 J d G V t P j x J d G V t P j x J d G V t T G 9 j Y X R p b 2 4 + P E l 0 Z W 1 U e X B l P k Z v c m 1 1 b G E 8 L 0 l 0 Z W 1 U e X B l P j x J d G V t U G F 0 a D 5 T Z W N 0 a W 9 u M S 9 0 Y W J s Z S 1 l e H B v c n Q l M j A o N S k v U 2 9 1 c m N l P C 9 J d G V t U G F 0 a D 4 8 L 0 l 0 Z W 1 M b 2 N h d G l v b j 4 8 U 3 R h Y m x l R W 5 0 c m l l c y A v P j w v S X R l b T 4 8 S X R l b T 4 8 S X R l b U x v Y 2 F 0 a W 9 u P j x J d G V t V H l w Z T 5 G b 3 J t d W x h P C 9 J d G V t V H l w Z T 4 8 S X R l b V B h d G g + U 2 V j d G l v b j E v d G F i b G U t Z X h w b 3 J 0 J T I w K D U p L 1 B y b 2 1 v d G V k J T I w S G V h Z G V y c z w v S X R l b V B h d G g + P C 9 J d G V t T G 9 j Y X R p b 2 4 + P F N 0 Y W J s Z U V u d H J p Z X M g L z 4 8 L 0 l 0 Z W 0 + P E l 0 Z W 0 + P E l 0 Z W 1 M b 2 N h d G l v b j 4 8 S X R l b V R 5 c G U + R m 9 y b X V s Y T w v S X R l b V R 5 c G U + P E l 0 Z W 1 Q Y X R o P l N l Y 3 R p b 2 4 x L 3 R h Y m x l L W V 4 c G 9 y d C U y M C g 1 K S 9 D a G F u Z 2 V k J T I w V H l w Z T w v S X R l b V B h d G g + P C 9 J d G V t T G 9 j Y X R p b 2 4 + P F N 0 Y W J s Z U V u d H J p Z X M g L z 4 8 L 0 l 0 Z W 0 + P E l 0 Z W 0 + P E l 0 Z W 1 M b 2 N h d G l v b j 4 8 S X R l b V R 5 c G U + R m 9 y b X V s Y T w v S X R l b V R 5 c G U + P E l 0 Z W 1 Q Y X R o P l N l Y 3 R p b 2 4 x L 3 R h Y m x l L W V 4 c G 9 y d C 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S I g L z 4 8 R W 5 0 c n k g V H l w Z T 0 i U X V l c n l J R C I g V m F s d W U 9 I n M x N T d i N z U y M C 1 j O T A 4 L T R l Z G Y t O D J h Y i 1 k O D E y N T Y 3 Y T A 3 O W Y i I C 8 + P E V u d H J 5 I F R 5 c G U 9 I k J 1 Z m Z l c k 5 l e H R S Z W Z y Z X N o I i B W Y W x 1 Z T 0 i b D E i I C 8 + P E V u d H J 5 I F R 5 c G U 9 I k Z p b G x M Y X N 0 V X B k Y X R l Z C I g V m F s d W U 9 I m Q y M D I w L T A 2 L T A y V D E 0 O j E 5 O j E 5 L j I x M T Q x M j V a I i A v P j x F b n R y e S B U e X B l P S J G a W x s Q 2 9 s d W 1 u V H l w Z X M i I F Z h b H V l P S J z Q m d j R 0 J n W U h C Z 1 l H Q m c 9 P S I g L z 4 8 R W 5 0 c n k g V H l w Z T 0 i R m l s b E N v b H V t b k 5 h b W V z I i B W Y W x 1 Z T 0 i c 1 s m c X V v d D s g I F R y Y W N r Z X I g T n V t Y m V y I C A m c X V v d D s s J n F 1 b 3 Q 7 I C B M Y X N 0 I F V w Z G F 0 Z W Q g Q X Q g I C Z x d W 9 0 O y w m c X V v d D s g I F N 1 Y m p l Y 3 Q g I C Z x d W 9 0 O y w m c X V v d D s g I E F z c 2 l n b m V k I F V u a X Q g I C Z x d W 9 0 O y w m c X V v d D s g I F N 0 Y X R 1 c y A g J n F 1 b 3 Q 7 L C Z x d W 9 0 O y A g U 3 R h c n R l Z C B B d C A g J n F 1 b 3 Q 7 L C Z x d W 9 0 O y A g U m V x d W V z d C B T d W J q Z W N 0 I C A m c X V v d D s s J n F 1 b 3 Q 7 I C B J b m l 0 a W F s I E V u d H J 5 I C A m c X V v d D s s J n F 1 b 3 Q 7 I C B G b 2 x s b 3 c t V X A g I C Z x d W 9 0 O y w m c X V v d D s g I F J l c X V l c 3 R l Z C B D Y X B h Y m l s a X R 5 I C A m c X V v d D t d I i A v P j x F b n R y e S B U e X B l P S J G a W x s U 3 R h d H V z I i B W Y W x 1 Z T 0 i c 0 N v b X B s Z X R l I i A v P j x F b n R y e S B U e X B l P S J G a W x s R X J y b 3 J D b 3 V u d C I g V m F s d W U 9 I m w w I i A v P j x F b n R y e S B U e X B l P S J G a W x s R X J y b 3 J D b 2 R l I i B W Y W x 1 Z T 0 i c 1 V u a 2 5 v d 2 4 i I C 8 + P E V u d H J 5 I F R 5 c G U 9 I k Z p b G x D b 3 V u d C I g V m F s d W U 9 I m w z M j Y 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3 R h Y m x l L W V 4 c G 9 y d C 9 D a G F u Z 2 V k I F R 5 c G U u e y A g V H J h Y 2 t l c i B O d W 1 i Z X I g I C w w f S Z x d W 9 0 O y w m c X V v d D t T Z W N 0 a W 9 u M S 9 0 Y W J s Z S 1 l e H B v c n Q v Q 2 h h b m d l Z C B U e X B l L n s g I E x h c 3 Q g V X B k Y X R l Z C B B d C A g L D F 9 J n F 1 b 3 Q 7 L C Z x d W 9 0 O 1 N l Y 3 R p b 2 4 x L 3 R h Y m x l L W V 4 c G 9 y d C 9 D a G F u Z 2 V k I F R 5 c G U u e y A g U 3 V i a m V j d C A g L D J 9 J n F 1 b 3 Q 7 L C Z x d W 9 0 O 1 N l Y 3 R p b 2 4 x L 3 R h Y m x l L W V 4 c G 9 y d C 9 D a G F u Z 2 V k I F R 5 c G U u e y A g Q X N z a W d u Z W Q g V W 5 p d C A g L D N 9 J n F 1 b 3 Q 7 L C Z x d W 9 0 O 1 N l Y 3 R p b 2 4 x L 3 R h Y m x l L W V 4 c G 9 y d C 9 D a G F u Z 2 V k I F R 5 c G U u e y A g U 3 R h d H V z I C A s N H 0 m c X V v d D s s J n F 1 b 3 Q 7 U 2 V j d G l v b j E v d G F i b G U t Z X h w b 3 J 0 L 0 N o Y W 5 n Z W Q g V H l w Z S 5 7 I C B T d G F y d G V k I E F 0 I C A s N X 0 m c X V v d D s s J n F 1 b 3 Q 7 U 2 V j d G l v b j E v d G F i b G U t Z X h w b 3 J 0 L 0 N o Y W 5 n Z W Q g V H l w Z S 5 7 I C B S Z X F 1 Z X N 0 I F N 1 Y m p l Y 3 Q g I C w 2 f S Z x d W 9 0 O y w m c X V v d D t T Z W N 0 a W 9 u M S 9 0 Y W J s Z S 1 l e H B v c n Q v Q 2 h h b m d l Z C B U e X B l L n s g I E l u a X R p Y W w g R W 5 0 c n k g I C w 3 f S Z x d W 9 0 O y w m c X V v d D t T Z W N 0 a W 9 u M S 9 0 Y W J s Z S 1 l e H B v c n Q v Q 2 h h b m d l Z C B U e X B l L n s g I E Z v b G x v d y 1 V c C A g L D h 9 J n F 1 b 3 Q 7 L C Z x d W 9 0 O 1 N l Y 3 R p b 2 4 x L 3 R h Y m x l L W V 4 c G 9 y d C 9 D a G F u Z 2 V k I F R 5 c G U u e y A g U m V x d W V z d G V k I E N h c G F i a W x p d H k g I C w 5 f S Z x d W 9 0 O 1 0 s J n F 1 b 3 Q 7 Q 2 9 s d W 1 u Q 2 9 1 b n Q m c X V v d D s 6 M T A s J n F 1 b 3 Q 7 S 2 V 5 Q 2 9 s d W 1 u T m F t Z X M m c X V v d D s 6 W 1 0 s J n F 1 b 3 Q 7 Q 2 9 s d W 1 u S W R l b n R p d G l l c y Z x d W 9 0 O z p b J n F 1 b 3 Q 7 U 2 V j d G l v b j E v d G F i b G U t Z X h w b 3 J 0 L 0 N o Y W 5 n Z W Q g V H l w Z S 5 7 I C B U c m F j a 2 V y I E 5 1 b W J l c i A g L D B 9 J n F 1 b 3 Q 7 L C Z x d W 9 0 O 1 N l Y 3 R p b 2 4 x L 3 R h Y m x l L W V 4 c G 9 y d C 9 D a G F u Z 2 V k I F R 5 c G U u e y A g T G F z d C B V c G R h d G V k I E F 0 I C A s M X 0 m c X V v d D s s J n F 1 b 3 Q 7 U 2 V j d G l v b j E v d G F i b G U t Z X h w b 3 J 0 L 0 N o Y W 5 n Z W Q g V H l w Z S 5 7 I C B T d W J q Z W N 0 I C A s M n 0 m c X V v d D s s J n F 1 b 3 Q 7 U 2 V j d G l v b j E v d G F i b G U t Z X h w b 3 J 0 L 0 N o Y W 5 n Z W Q g V H l w Z S 5 7 I C B B c 3 N p Z 2 5 l Z C B V b m l 0 I C A s M 3 0 m c X V v d D s s J n F 1 b 3 Q 7 U 2 V j d G l v b j E v d G F i b G U t Z X h w b 3 J 0 L 0 N o Y W 5 n Z W Q g V H l w Z S 5 7 I C B T d G F 0 d X M g I C w 0 f S Z x d W 9 0 O y w m c X V v d D t T Z W N 0 a W 9 u M S 9 0 Y W J s Z S 1 l e H B v c n Q v Q 2 h h b m d l Z C B U e X B l L n s g I F N 0 Y X J 0 Z W Q g Q X Q g I C w 1 f S Z x d W 9 0 O y w m c X V v d D t T Z W N 0 a W 9 u M S 9 0 Y W J s Z S 1 l e H B v c n Q v Q 2 h h b m d l Z C B U e X B l L n s g I F J l c X V l c 3 Q g U 3 V i a m V j d C A g L D Z 9 J n F 1 b 3 Q 7 L C Z x d W 9 0 O 1 N l Y 3 R p b 2 4 x L 3 R h Y m x l L W V 4 c G 9 y d C 9 D a G F u Z 2 V k I F R 5 c G U u e y A g S W 5 p d G l h b C B F b n R y e S A g L D d 9 J n F 1 b 3 Q 7 L C Z x d W 9 0 O 1 N l Y 3 R p b 2 4 x L 3 R h Y m x l L W V 4 c G 9 y d C 9 D a G F u Z 2 V k I F R 5 c G U u e y A g R m 9 s b G 9 3 L V V w I C A s O H 0 m c X V v d D s s J n F 1 b 3 Q 7 U 2 V j d G l v b j E v d G F i b G U t Z X h w b 3 J 0 L 0 N o Y W 5 n Z W Q g V H l w Z S 5 7 I C B S Z X F 1 Z X N 0 Z W Q g Q 2 F w Y W J p b G l 0 e S A g L D l 9 J n F 1 b 3 Q 7 X S w m c X V v d D t S Z W x h d G l v b n N o a X B J b m Z v J n F 1 b 3 Q 7 O l t d f S I g L z 4 8 L 1 N 0 Y W J s Z U V u d H J p Z X M + P C 9 J d G V t P j x J d G V t P j x J d G V t T G 9 j Y X R p b 2 4 + P E l 0 Z W 1 U e X B l P k Z v c m 1 1 b G E 8 L 0 l 0 Z W 1 U e X B l P j x J d G V t U G F 0 a D 5 T Z W N 0 a W 9 u M S 9 0 Y W J s Z S 1 l e H B v c n Q l M j A o N i k v U 2 9 1 c m N l P C 9 J d G V t U G F 0 a D 4 8 L 0 l 0 Z W 1 M b 2 N h d G l v b j 4 8 U 3 R h Y m x l R W 5 0 c m l l c y A v P j w v S X R l b T 4 8 S X R l b T 4 8 S X R l b U x v Y 2 F 0 a W 9 u P j x J d G V t V H l w Z T 5 G b 3 J t d W x h P C 9 J d G V t V H l w Z T 4 8 S X R l b V B h d G g + U 2 V j d G l v b j E v d G F i b G U t Z X h w b 3 J 0 J T I w K D Y p L 1 B y b 2 1 v d G V k J T I w S G V h Z G V y c z w v S X R l b V B h d G g + P C 9 J d G V t T G 9 j Y X R p b 2 4 + P F N 0 Y W J s Z U V u d H J p Z X M g L z 4 8 L 0 l 0 Z W 0 + P E l 0 Z W 0 + P E l 0 Z W 1 M b 2 N h d G l v b j 4 8 S X R l b V R 5 c G U + R m 9 y b X V s Y T w v S X R l b V R 5 c G U + P E l 0 Z W 1 Q Y X R o P l N l Y 3 R p b 2 4 x L 3 R h Y m x l L W V 4 c G 9 y d C U y M C g 2 K S 9 D a G F u Z 2 V k J T I w V H l w Z T w v S X R l b V B h d G g + P C 9 J d G V t T G 9 j Y X R p b 2 4 + P F N 0 Y W J s Z U V u d H J p Z X M g L z 4 8 L 0 l 0 Z W 0 + P E l 0 Z W 0 + P E l 0 Z W 1 M b 2 N h d G l v b j 4 8 S X R l b V R 5 c G U + R m 9 y b X V s Y T w v S X R l b V R 5 c G U + P E l 0 Z W 1 Q Y X R o P l N l Y 3 R p b 2 4 x L 3 R h Y m x l L W V 4 c G 9 y d C U y M C g 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S I g L z 4 8 R W 5 0 c n k g V H l w Z T 0 i U X V l c n l J R C I g V m F s d W U 9 I n M x N T d i N z U y M C 1 j O T A 4 L T R l Z G Y t O D J h Y i 1 k O D E y N T Y 3 Y T A 3 O W Y i I C 8 + P E V u d H J 5 I F R 5 c G U 9 I k J 1 Z m Z l c k 5 l e H R S Z W Z y Z X N o I i B W Y W x 1 Z T 0 i b D E i I C 8 + P E V u d H J 5 I F R 5 c G U 9 I k Z p b G x F c n J v c k N v d W 5 0 I i B W Y W x 1 Z T 0 i b D A i I C 8 + P E V u d H J 5 I F R 5 c G U 9 I k Z p b G x F c n J v c k N v Z G U i I F Z h b H V l P S J z V W 5 r b m 9 3 b i I g L z 4 8 R W 5 0 c n k g V H l w Z T 0 i R m l s b E x h c 3 R V c G R h d G V k I i B W Y W x 1 Z T 0 i Z D I w M j A t M D Y t M T F U M j M 6 M j c 6 M T g u M z M z M T A 4 O F o i I C 8 + P E V u d H J 5 I F R 5 c G U 9 I k Z p b G x D b 2 x 1 b W 5 U e X B l c y I g V m F s d W U 9 I n N C Z 2 N H Q m d Z S E J n W U d C Z z 0 9 I i A v P j x F b n R y e S B U e X B l P S J G a W x s Q 2 9 s d W 1 u T m F t Z X M i I F Z h b H V l P S J z W y Z x d W 9 0 O y A g V H J h Y 2 t l c i B O d W 1 i Z X I g I C Z x d W 9 0 O y w m c X V v d D s g I E x h c 3 Q g V X B k Y X R l Z C B B d C A g J n F 1 b 3 Q 7 L C Z x d W 9 0 O y A g U 3 V i a m V j d C A g J n F 1 b 3 Q 7 L C Z x d W 9 0 O y A g Q X N z a W d u Z W Q g V W 5 p d C A g J n F 1 b 3 Q 7 L C Z x d W 9 0 O y A g U 3 R h d H V z I C A m c X V v d D s s J n F 1 b 3 Q 7 I C B T d G F y d G V k I E F 0 I C A m c X V v d D s s J n F 1 b 3 Q 7 I C B S Z X F 1 Z X N 0 I F N 1 Y m p l Y 3 Q g I C Z x d W 9 0 O y w m c X V v d D s g I E l u a X R p Y W w g R W 5 0 c n k g I C Z x d W 9 0 O y w m c X V v d D s g I E Z v b G x v d y 1 V c C A g J n F 1 b 3 Q 7 L C Z x d W 9 0 O y A g U m V x d W V z d G V k I E N h c G F i a W x p d H k g I C Z x d W 9 0 O 1 0 i I C 8 + P E V u d H J 5 I F R 5 c G U 9 I k Z p b G x D b 3 V u d C I g V m F s d W U 9 I m w z N T I i I C 8 + P E V u d H J 5 I F R 5 c G U 9 I k F k Z G V k V G 9 E Y X R h T W 9 k Z W w i I F Z h b H V l P S J s M C 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h Y m x l L W V 4 c G 9 y d C 9 D a G F u Z 2 V k I F R 5 c G U u e y A g V H J h Y 2 t l c i B O d W 1 i Z X I g I C w w f S Z x d W 9 0 O y w m c X V v d D t T Z W N 0 a W 9 u M S 9 0 Y W J s Z S 1 l e H B v c n Q v Q 2 h h b m d l Z C B U e X B l L n s g I E x h c 3 Q g V X B k Y X R l Z C B B d C A g L D F 9 J n F 1 b 3 Q 7 L C Z x d W 9 0 O 1 N l Y 3 R p b 2 4 x L 3 R h Y m x l L W V 4 c G 9 y d C 9 D a G F u Z 2 V k I F R 5 c G U u e y A g U 3 V i a m V j d C A g L D J 9 J n F 1 b 3 Q 7 L C Z x d W 9 0 O 1 N l Y 3 R p b 2 4 x L 3 R h Y m x l L W V 4 c G 9 y d C 9 D a G F u Z 2 V k I F R 5 c G U u e y A g Q X N z a W d u Z W Q g V W 5 p d C A g L D N 9 J n F 1 b 3 Q 7 L C Z x d W 9 0 O 1 N l Y 3 R p b 2 4 x L 3 R h Y m x l L W V 4 c G 9 y d C 9 D a G F u Z 2 V k I F R 5 c G U u e y A g U 3 R h d H V z I C A s N H 0 m c X V v d D s s J n F 1 b 3 Q 7 U 2 V j d G l v b j E v d G F i b G U t Z X h w b 3 J 0 L 0 N o Y W 5 n Z W Q g V H l w Z S 5 7 I C B T d G F y d G V k I E F 0 I C A s N X 0 m c X V v d D s s J n F 1 b 3 Q 7 U 2 V j d G l v b j E v d G F i b G U t Z X h w b 3 J 0 L 0 N o Y W 5 n Z W Q g V H l w Z S 5 7 I C B S Z X F 1 Z X N 0 I F N 1 Y m p l Y 3 Q g I C w 2 f S Z x d W 9 0 O y w m c X V v d D t T Z W N 0 a W 9 u M S 9 0 Y W J s Z S 1 l e H B v c n Q v Q 2 h h b m d l Z C B U e X B l L n s g I E l u a X R p Y W w g R W 5 0 c n k g I C w 3 f S Z x d W 9 0 O y w m c X V v d D t T Z W N 0 a W 9 u M S 9 0 Y W J s Z S 1 l e H B v c n Q v Q 2 h h b m d l Z C B U e X B l L n s g I E Z v b G x v d y 1 V c C A g L D h 9 J n F 1 b 3 Q 7 L C Z x d W 9 0 O 1 N l Y 3 R p b 2 4 x L 3 R h Y m x l L W V 4 c G 9 y d C 9 D a G F u Z 2 V k I F R 5 c G U u e y A g U m V x d W V z d G V k I E N h c G F i a W x p d H k g I C w 5 f S Z x d W 9 0 O 1 0 s J n F 1 b 3 Q 7 Q 2 9 s d W 1 u Q 2 9 1 b n Q m c X V v d D s 6 M T A s J n F 1 b 3 Q 7 S 2 V 5 Q 2 9 s d W 1 u T m F t Z X M m c X V v d D s 6 W 1 0 s J n F 1 b 3 Q 7 Q 2 9 s d W 1 u S W R l b n R p d G l l c y Z x d W 9 0 O z p b J n F 1 b 3 Q 7 U 2 V j d G l v b j E v d G F i b G U t Z X h w b 3 J 0 L 0 N o Y W 5 n Z W Q g V H l w Z S 5 7 I C B U c m F j a 2 V y I E 5 1 b W J l c i A g L D B 9 J n F 1 b 3 Q 7 L C Z x d W 9 0 O 1 N l Y 3 R p b 2 4 x L 3 R h Y m x l L W V 4 c G 9 y d C 9 D a G F u Z 2 V k I F R 5 c G U u e y A g T G F z d C B V c G R h d G V k I E F 0 I C A s M X 0 m c X V v d D s s J n F 1 b 3 Q 7 U 2 V j d G l v b j E v d G F i b G U t Z X h w b 3 J 0 L 0 N o Y W 5 n Z W Q g V H l w Z S 5 7 I C B T d W J q Z W N 0 I C A s M n 0 m c X V v d D s s J n F 1 b 3 Q 7 U 2 V j d G l v b j E v d G F i b G U t Z X h w b 3 J 0 L 0 N o Y W 5 n Z W Q g V H l w Z S 5 7 I C B B c 3 N p Z 2 5 l Z C B V b m l 0 I C A s M 3 0 m c X V v d D s s J n F 1 b 3 Q 7 U 2 V j d G l v b j E v d G F i b G U t Z X h w b 3 J 0 L 0 N o Y W 5 n Z W Q g V H l w Z S 5 7 I C B T d G F 0 d X M g I C w 0 f S Z x d W 9 0 O y w m c X V v d D t T Z W N 0 a W 9 u M S 9 0 Y W J s Z S 1 l e H B v c n Q v Q 2 h h b m d l Z C B U e X B l L n s g I F N 0 Y X J 0 Z W Q g Q X Q g I C w 1 f S Z x d W 9 0 O y w m c X V v d D t T Z W N 0 a W 9 u M S 9 0 Y W J s Z S 1 l e H B v c n Q v Q 2 h h b m d l Z C B U e X B l L n s g I F J l c X V l c 3 Q g U 3 V i a m V j d C A g L D Z 9 J n F 1 b 3 Q 7 L C Z x d W 9 0 O 1 N l Y 3 R p b 2 4 x L 3 R h Y m x l L W V 4 c G 9 y d C 9 D a G F u Z 2 V k I F R 5 c G U u e y A g S W 5 p d G l h b C B F b n R y e S A g L D d 9 J n F 1 b 3 Q 7 L C Z x d W 9 0 O 1 N l Y 3 R p b 2 4 x L 3 R h Y m x l L W V 4 c G 9 y d C 9 D a G F u Z 2 V k I F R 5 c G U u e y A g R m 9 s b G 9 3 L V V w I C A s O H 0 m c X V v d D s s J n F 1 b 3 Q 7 U 2 V j d G l v b j E v d G F i b G U t Z X h w b 3 J 0 L 0 N o Y W 5 n Z W Q g V H l w Z S 5 7 I C B S Z X F 1 Z X N 0 Z W Q g Q 2 F w Y W J p b G l 0 e S A g L D l 9 J n F 1 b 3 Q 7 X S w m c X V v d D t S Z W x h d G l v b n N o a X B J b m Z v J n F 1 b 3 Q 7 O l t d f S I g L z 4 8 L 1 N 0 Y W J s Z U V u d H J p Z X M + P C 9 J d G V t P j x J d G V t P j x J d G V t T G 9 j Y X R p b 2 4 + P E l 0 Z W 1 U e X B l P k Z v c m 1 1 b G E 8 L 0 l 0 Z W 1 U e X B l P j x J d G V t U G F 0 a D 5 T Z W N 0 a W 9 u M S 9 0 Y W J s Z S 1 l e H B v c n Q l M j A o N y k v U 2 9 1 c m N l P C 9 J d G V t U G F 0 a D 4 8 L 0 l 0 Z W 1 M b 2 N h d G l v b j 4 8 U 3 R h Y m x l R W 5 0 c m l l c y A v P j w v S X R l b T 4 8 S X R l b T 4 8 S X R l b U x v Y 2 F 0 a W 9 u P j x J d G V t V H l w Z T 5 G b 3 J t d W x h P C 9 J d G V t V H l w Z T 4 8 S X R l b V B h d G g + U 2 V j d G l v b j E v d G F i b G U t Z X h w b 3 J 0 J T I w K D c p L 1 B y b 2 1 v d G V k J T I w S G V h Z G V y c z w v S X R l b V B h d G g + P C 9 J d G V t T G 9 j Y X R p b 2 4 + P F N 0 Y W J s Z U V u d H J p Z X M g L z 4 8 L 0 l 0 Z W 0 + P E l 0 Z W 0 + P E l 0 Z W 1 M b 2 N h d G l v b j 4 8 S X R l b V R 5 c G U + R m 9 y b X V s Y T w v S X R l b V R 5 c G U + P E l 0 Z W 1 Q Y X R o P l N l Y 3 R p b 2 4 x L 3 R h Y m x l L W V 4 c G 9 y d C U y M C g 3 K S 9 D a G F u Z 2 V k J T I w V H l w Z T w v S X R l b V B h d G g + P C 9 J d G V t T G 9 j Y X R p b 2 4 + P F N 0 Y W J s Z U V u d H J p Z X M g L z 4 8 L 0 l 0 Z W 0 + P E l 0 Z W 0 + P E l 0 Z W 1 M b 2 N h d G l v b j 4 8 S X R l b V R 5 c G U + R m 9 y b X V s Y T w v S X R l b V R 5 c G U + P E l 0 Z W 1 Q Y X R o P l N l Y 3 R p b 2 4 x L 3 R h Y m x l L W V 4 c G 9 y d C U y M C g 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S I g L z 4 8 R W 5 0 c n k g V H l w Z T 0 i U X V l c n l J R C I g V m F s d W U 9 I n M x N T d i N z U y M C 1 j O T A 4 L T R l Z G Y t O D J h Y i 1 k O D E y N T Y 3 Y T A 3 O W Y i I C 8 + P E V u d H J 5 I F R 5 c G U 9 I k J 1 Z m Z l c k 5 l e H R S Z W Z y Z X N o I i B W Y W x 1 Z T 0 i b D E i I C 8 + P E V u d H J 5 I F R 5 c G U 9 I k Z p b G x F c n J v c k N v d W 5 0 I i B W Y W x 1 Z T 0 i b D A i I C 8 + P E V u d H J 5 I F R 5 c G U 9 I k Z p b G x F c n J v c k N v Z G U i I F Z h b H V l P S J z V W 5 r b m 9 3 b i I g L z 4 8 R W 5 0 c n k g V H l w Z T 0 i R m l s b E x h c 3 R V c G R h d G V k I i B W Y W x 1 Z T 0 i Z D I w M j A t M D Y t M T Z U M j M 6 N D Y 6 M D U u N j M 4 N z g 1 O F o i I C 8 + P E V u d H J 5 I F R 5 c G U 9 I k Z p b G x D b 3 V u d C I g V m F s d W U 9 I m w z N j A i I C 8 + P E V u d H J 5 I F R 5 c G U 9 I k F k Z G V k V G 9 E Y X R h T W 9 k Z W w i I F Z h b H V l P S J s M C I g L z 4 8 R W 5 0 c n k g V H l w Z T 0 i R m l s b E N v b H V t b l R 5 c G V z I i B W Y W x 1 Z T 0 i c 0 J n Y 0 d C Z 1 l I Q m d Z R 0 J n P T 0 i I C 8 + P E V u d H J 5 I F R 5 c G U 9 I k Z p b G x D b 2 x 1 b W 5 O Y W 1 l c y I g V m F s d W U 9 I n N b J n F 1 b 3 Q 7 I C B U c m F j a 2 V y I E 5 1 b W J l c i A g J n F 1 b 3 Q 7 L C Z x d W 9 0 O y A g T G F z d C B V c G R h d G V k I E F 0 I C A m c X V v d D s s J n F 1 b 3 Q 7 I C B T d W J q Z W N 0 I C A m c X V v d D s s J n F 1 b 3 Q 7 I C B B c 3 N p Z 2 5 l Z C B V b m l 0 I C A m c X V v d D s s J n F 1 b 3 Q 7 I C B T d G F 0 d X M g I C Z x d W 9 0 O y w m c X V v d D s g I F N 0 Y X J 0 Z W Q g Q X Q g I C Z x d W 9 0 O y w m c X V v d D s g I F J l c X V l c 3 Q g U 3 V i a m V j d C A g J n F 1 b 3 Q 7 L C Z x d W 9 0 O y A g S W 5 p d G l h b C B F b n R y e S A g J n F 1 b 3 Q 7 L C Z x d W 9 0 O y A g R m 9 s b G 9 3 L V V w I C A m c X V v d D s s J n F 1 b 3 Q 7 I C B S Z X F 1 Z X N 0 Z W Q g Q 2 F w Y W J p b G l 0 e S A g 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h Y m x l L W V 4 c G 9 y d C 9 D a G F u Z 2 V k I F R 5 c G U u e y A g V H J h Y 2 t l c i B O d W 1 i Z X I g I C w w f S Z x d W 9 0 O y w m c X V v d D t T Z W N 0 a W 9 u M S 9 0 Y W J s Z S 1 l e H B v c n Q v Q 2 h h b m d l Z C B U e X B l L n s g I E x h c 3 Q g V X B k Y X R l Z C B B d C A g L D F 9 J n F 1 b 3 Q 7 L C Z x d W 9 0 O 1 N l Y 3 R p b 2 4 x L 3 R h Y m x l L W V 4 c G 9 y d C 9 D a G F u Z 2 V k I F R 5 c G U u e y A g U 3 V i a m V j d C A g L D J 9 J n F 1 b 3 Q 7 L C Z x d W 9 0 O 1 N l Y 3 R p b 2 4 x L 3 R h Y m x l L W V 4 c G 9 y d C 9 D a G F u Z 2 V k I F R 5 c G U u e y A g Q X N z a W d u Z W Q g V W 5 p d C A g L D N 9 J n F 1 b 3 Q 7 L C Z x d W 9 0 O 1 N l Y 3 R p b 2 4 x L 3 R h Y m x l L W V 4 c G 9 y d C 9 D a G F u Z 2 V k I F R 5 c G U u e y A g U 3 R h d H V z I C A s N H 0 m c X V v d D s s J n F 1 b 3 Q 7 U 2 V j d G l v b j E v d G F i b G U t Z X h w b 3 J 0 L 0 N o Y W 5 n Z W Q g V H l w Z S 5 7 I C B T d G F y d G V k I E F 0 I C A s N X 0 m c X V v d D s s J n F 1 b 3 Q 7 U 2 V j d G l v b j E v d G F i b G U t Z X h w b 3 J 0 L 0 N o Y W 5 n Z W Q g V H l w Z S 5 7 I C B S Z X F 1 Z X N 0 I F N 1 Y m p l Y 3 Q g I C w 2 f S Z x d W 9 0 O y w m c X V v d D t T Z W N 0 a W 9 u M S 9 0 Y W J s Z S 1 l e H B v c n Q v Q 2 h h b m d l Z C B U e X B l L n s g I E l u a X R p Y W w g R W 5 0 c n k g I C w 3 f S Z x d W 9 0 O y w m c X V v d D t T Z W N 0 a W 9 u M S 9 0 Y W J s Z S 1 l e H B v c n Q v Q 2 h h b m d l Z C B U e X B l L n s g I E Z v b G x v d y 1 V c C A g L D h 9 J n F 1 b 3 Q 7 L C Z x d W 9 0 O 1 N l Y 3 R p b 2 4 x L 3 R h Y m x l L W V 4 c G 9 y d C 9 D a G F u Z 2 V k I F R 5 c G U u e y A g U m V x d W V z d G V k I E N h c G F i a W x p d H k g I C w 5 f S Z x d W 9 0 O 1 0 s J n F 1 b 3 Q 7 Q 2 9 s d W 1 u Q 2 9 1 b n Q m c X V v d D s 6 M T A s J n F 1 b 3 Q 7 S 2 V 5 Q 2 9 s d W 1 u T m F t Z X M m c X V v d D s 6 W 1 0 s J n F 1 b 3 Q 7 Q 2 9 s d W 1 u S W R l b n R p d G l l c y Z x d W 9 0 O z p b J n F 1 b 3 Q 7 U 2 V j d G l v b j E v d G F i b G U t Z X h w b 3 J 0 L 0 N o Y W 5 n Z W Q g V H l w Z S 5 7 I C B U c m F j a 2 V y I E 5 1 b W J l c i A g L D B 9 J n F 1 b 3 Q 7 L C Z x d W 9 0 O 1 N l Y 3 R p b 2 4 x L 3 R h Y m x l L W V 4 c G 9 y d C 9 D a G F u Z 2 V k I F R 5 c G U u e y A g T G F z d C B V c G R h d G V k I E F 0 I C A s M X 0 m c X V v d D s s J n F 1 b 3 Q 7 U 2 V j d G l v b j E v d G F i b G U t Z X h w b 3 J 0 L 0 N o Y W 5 n Z W Q g V H l w Z S 5 7 I C B T d W J q Z W N 0 I C A s M n 0 m c X V v d D s s J n F 1 b 3 Q 7 U 2 V j d G l v b j E v d G F i b G U t Z X h w b 3 J 0 L 0 N o Y W 5 n Z W Q g V H l w Z S 5 7 I C B B c 3 N p Z 2 5 l Z C B V b m l 0 I C A s M 3 0 m c X V v d D s s J n F 1 b 3 Q 7 U 2 V j d G l v b j E v d G F i b G U t Z X h w b 3 J 0 L 0 N o Y W 5 n Z W Q g V H l w Z S 5 7 I C B T d G F 0 d X M g I C w 0 f S Z x d W 9 0 O y w m c X V v d D t T Z W N 0 a W 9 u M S 9 0 Y W J s Z S 1 l e H B v c n Q v Q 2 h h b m d l Z C B U e X B l L n s g I F N 0 Y X J 0 Z W Q g Q X Q g I C w 1 f S Z x d W 9 0 O y w m c X V v d D t T Z W N 0 a W 9 u M S 9 0 Y W J s Z S 1 l e H B v c n Q v Q 2 h h b m d l Z C B U e X B l L n s g I F J l c X V l c 3 Q g U 3 V i a m V j d C A g L D Z 9 J n F 1 b 3 Q 7 L C Z x d W 9 0 O 1 N l Y 3 R p b 2 4 x L 3 R h Y m x l L W V 4 c G 9 y d C 9 D a G F u Z 2 V k I F R 5 c G U u e y A g S W 5 p d G l h b C B F b n R y e S A g L D d 9 J n F 1 b 3 Q 7 L C Z x d W 9 0 O 1 N l Y 3 R p b 2 4 x L 3 R h Y m x l L W V 4 c G 9 y d C 9 D a G F u Z 2 V k I F R 5 c G U u e y A g R m 9 s b G 9 3 L V V w I C A s O H 0 m c X V v d D s s J n F 1 b 3 Q 7 U 2 V j d G l v b j E v d G F i b G U t Z X h w b 3 J 0 L 0 N o Y W 5 n Z W Q g V H l w Z S 5 7 I C B S Z X F 1 Z X N 0 Z W Q g Q 2 F w Y W J p b G l 0 e S A g L D l 9 J n F 1 b 3 Q 7 X S w m c X V v d D t S Z W x h d G l v b n N o a X B J b m Z v J n F 1 b 3 Q 7 O l t d f S I g L z 4 8 L 1 N 0 Y W J s Z U V u d H J p Z X M + P C 9 J d G V t P j x J d G V t P j x J d G V t T G 9 j Y X R p b 2 4 + P E l 0 Z W 1 U e X B l P k Z v c m 1 1 b G E 8 L 0 l 0 Z W 1 U e X B l P j x J d G V t U G F 0 a D 5 T Z W N 0 a W 9 u M S 9 0 Y W J s Z S 1 l e H B v c n Q l M j A o O C k v U 2 9 1 c m N l P C 9 J d G V t U G F 0 a D 4 8 L 0 l 0 Z W 1 M b 2 N h d G l v b j 4 8 U 3 R h Y m x l R W 5 0 c m l l c y A v P j w v S X R l b T 4 8 S X R l b T 4 8 S X R l b U x v Y 2 F 0 a W 9 u P j x J d G V t V H l w Z T 5 G b 3 J t d W x h P C 9 J d G V t V H l w Z T 4 8 S X R l b V B h d G g + U 2 V j d G l v b j E v d G F i b G U t Z X h w b 3 J 0 J T I w K D g p L 1 B y b 2 1 v d G V k J T I w S G V h Z G V y c z w v S X R l b V B h d G g + P C 9 J d G V t T G 9 j Y X R p b 2 4 + P F N 0 Y W J s Z U V u d H J p Z X M g L z 4 8 L 0 l 0 Z W 0 + P E l 0 Z W 0 + P E l 0 Z W 1 M b 2 N h d G l v b j 4 8 S X R l b V R 5 c G U + R m 9 y b X V s Y T w v S X R l b V R 5 c G U + P E l 0 Z W 1 Q Y X R o P l N l Y 3 R p b 2 4 x L 3 R h Y m x l L W V 4 c G 9 y d C U y M C g 4 K S 9 D a G F u Z 2 V k J T I w V H l w Z T w v S X R l b V B h d G g + P C 9 J d G V t T G 9 j Y X R p b 2 4 + P F N 0 Y W J s Z U V u d H J p Z X M g L z 4 8 L 0 l 0 Z W 0 + P E l 0 Z W 0 + P E l 0 Z W 1 M b 2 N h d G l v b j 4 8 S X R l b V R 5 c G U + R m 9 y b X V s Y T w v S X R l b V R 5 c G U + P E l 0 Z W 1 Q Y X R o P l N l Y 3 R p b 2 4 x L 3 R h Y m x l L W V 4 c G 9 y d C U y M C g 5 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S I g L z 4 8 R W 5 0 c n k g V H l w Z T 0 i U X V l c n l J R C I g V m F s d W U 9 I n M x N T d i N z U y M C 1 j O T A 4 L T R l Z G Y t O D J h Y i 1 k O D E y N T Y 3 Y T A 3 O W Y i I C 8 + P E V u d H J 5 I F R 5 c G U 9 I k J 1 Z m Z l c k 5 l e H R S Z W Z y Z X N o I i B W Y W x 1 Z T 0 i b D E i I C 8 + P E V u d H J 5 I F R 5 c G U 9 I k Z p b G x F c n J v c k N v d W 5 0 I i B W Y W x 1 Z T 0 i b D A i I C 8 + P E V u d H J 5 I F R 5 c G U 9 I k Z p b G x F c n J v c k N v Z G U i I F Z h b H V l P S J z V W 5 r b m 9 3 b i I g L z 4 8 R W 5 0 c n k g V H l w Z T 0 i R m l s b E N v d W 5 0 I i B W Y W x 1 Z T 0 i b D M 4 M y I g L z 4 8 R W 5 0 c n k g V H l w Z T 0 i Q W R k Z W R U b 0 R h d G F N b 2 R l b C I g V m F s d W U 9 I m w w I i A v P j x F b n R y e S B U e X B l P S J G a W x s T G F z d F V w Z G F 0 Z W Q i I F Z h b H V l P S J k M j A y M C 0 w N i 0 y N l Q y M j o 1 N z o x M i 4 3 M j E 5 M T A y W i I g L z 4 8 R W 5 0 c n k g V H l w Z T 0 i R m l s b E N v b H V t b l R 5 c G V z I i B W Y W x 1 Z T 0 i c 0 J n Y 0 d C Z 1 l I Q m d Z R 0 J n P T 0 i I C 8 + P E V u d H J 5 I F R 5 c G U 9 I k Z p b G x D b 2 x 1 b W 5 O Y W 1 l c y I g V m F s d W U 9 I n N b J n F 1 b 3 Q 7 I C B U c m F j a 2 V y I E 5 1 b W J l c i A g J n F 1 b 3 Q 7 L C Z x d W 9 0 O y A g T G F z d C B V c G R h d G V k I E F 0 I C A m c X V v d D s s J n F 1 b 3 Q 7 I C B T d W J q Z W N 0 I C A m c X V v d D s s J n F 1 b 3 Q 7 I C B B c 3 N p Z 2 5 l Z C B V b m l 0 I C A m c X V v d D s s J n F 1 b 3 Q 7 I C B T d G F 0 d X M g I C Z x d W 9 0 O y w m c X V v d D s g I F N 0 Y X J 0 Z W Q g Q X Q g I C Z x d W 9 0 O y w m c X V v d D s g I F J l c X V l c 3 Q g U 3 V i a m V j d C A g J n F 1 b 3 Q 7 L C Z x d W 9 0 O y A g S W 5 p d G l h b C B F b n R y e S A g J n F 1 b 3 Q 7 L C Z x d W 9 0 O y A g R m 9 s b G 9 3 L V V w I C A m c X V v d D s s J n F 1 b 3 Q 7 I C B S Z X F 1 Z X N 0 Z W Q g Q 2 F w Y W J p b G l 0 e S A g 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h Y m x l L W V 4 c G 9 y d C 9 D a G F u Z 2 V k I F R 5 c G U u e y A g V H J h Y 2 t l c i B O d W 1 i Z X I g I C w w f S Z x d W 9 0 O y w m c X V v d D t T Z W N 0 a W 9 u M S 9 0 Y W J s Z S 1 l e H B v c n Q v Q 2 h h b m d l Z C B U e X B l L n s g I E x h c 3 Q g V X B k Y X R l Z C B B d C A g L D F 9 J n F 1 b 3 Q 7 L C Z x d W 9 0 O 1 N l Y 3 R p b 2 4 x L 3 R h Y m x l L W V 4 c G 9 y d C 9 D a G F u Z 2 V k I F R 5 c G U u e y A g U 3 V i a m V j d C A g L D J 9 J n F 1 b 3 Q 7 L C Z x d W 9 0 O 1 N l Y 3 R p b 2 4 x L 3 R h Y m x l L W V 4 c G 9 y d C 9 D a G F u Z 2 V k I F R 5 c G U u e y A g Q X N z a W d u Z W Q g V W 5 p d C A g L D N 9 J n F 1 b 3 Q 7 L C Z x d W 9 0 O 1 N l Y 3 R p b 2 4 x L 3 R h Y m x l L W V 4 c G 9 y d C 9 D a G F u Z 2 V k I F R 5 c G U u e y A g U 3 R h d H V z I C A s N H 0 m c X V v d D s s J n F 1 b 3 Q 7 U 2 V j d G l v b j E v d G F i b G U t Z X h w b 3 J 0 L 0 N o Y W 5 n Z W Q g V H l w Z S 5 7 I C B T d G F y d G V k I E F 0 I C A s N X 0 m c X V v d D s s J n F 1 b 3 Q 7 U 2 V j d G l v b j E v d G F i b G U t Z X h w b 3 J 0 L 0 N o Y W 5 n Z W Q g V H l w Z S 5 7 I C B S Z X F 1 Z X N 0 I F N 1 Y m p l Y 3 Q g I C w 2 f S Z x d W 9 0 O y w m c X V v d D t T Z W N 0 a W 9 u M S 9 0 Y W J s Z S 1 l e H B v c n Q v Q 2 h h b m d l Z C B U e X B l L n s g I E l u a X R p Y W w g R W 5 0 c n k g I C w 3 f S Z x d W 9 0 O y w m c X V v d D t T Z W N 0 a W 9 u M S 9 0 Y W J s Z S 1 l e H B v c n Q v Q 2 h h b m d l Z C B U e X B l L n s g I E Z v b G x v d y 1 V c C A g L D h 9 J n F 1 b 3 Q 7 L C Z x d W 9 0 O 1 N l Y 3 R p b 2 4 x L 3 R h Y m x l L W V 4 c G 9 y d C 9 D a G F u Z 2 V k I F R 5 c G U u e y A g U m V x d W V z d G V k I E N h c G F i a W x p d H k g I C w 5 f S Z x d W 9 0 O 1 0 s J n F 1 b 3 Q 7 Q 2 9 s d W 1 u Q 2 9 1 b n Q m c X V v d D s 6 M T A s J n F 1 b 3 Q 7 S 2 V 5 Q 2 9 s d W 1 u T m F t Z X M m c X V v d D s 6 W 1 0 s J n F 1 b 3 Q 7 Q 2 9 s d W 1 u S W R l b n R p d G l l c y Z x d W 9 0 O z p b J n F 1 b 3 Q 7 U 2 V j d G l v b j E v d G F i b G U t Z X h w b 3 J 0 L 0 N o Y W 5 n Z W Q g V H l w Z S 5 7 I C B U c m F j a 2 V y I E 5 1 b W J l c i A g L D B 9 J n F 1 b 3 Q 7 L C Z x d W 9 0 O 1 N l Y 3 R p b 2 4 x L 3 R h Y m x l L W V 4 c G 9 y d C 9 D a G F u Z 2 V k I F R 5 c G U u e y A g T G F z d C B V c G R h d G V k I E F 0 I C A s M X 0 m c X V v d D s s J n F 1 b 3 Q 7 U 2 V j d G l v b j E v d G F i b G U t Z X h w b 3 J 0 L 0 N o Y W 5 n Z W Q g V H l w Z S 5 7 I C B T d W J q Z W N 0 I C A s M n 0 m c X V v d D s s J n F 1 b 3 Q 7 U 2 V j d G l v b j E v d G F i b G U t Z X h w b 3 J 0 L 0 N o Y W 5 n Z W Q g V H l w Z S 5 7 I C B B c 3 N p Z 2 5 l Z C B V b m l 0 I C A s M 3 0 m c X V v d D s s J n F 1 b 3 Q 7 U 2 V j d G l v b j E v d G F i b G U t Z X h w b 3 J 0 L 0 N o Y W 5 n Z W Q g V H l w Z S 5 7 I C B T d G F 0 d X M g I C w 0 f S Z x d W 9 0 O y w m c X V v d D t T Z W N 0 a W 9 u M S 9 0 Y W J s Z S 1 l e H B v c n Q v Q 2 h h b m d l Z C B U e X B l L n s g I F N 0 Y X J 0 Z W Q g Q X Q g I C w 1 f S Z x d W 9 0 O y w m c X V v d D t T Z W N 0 a W 9 u M S 9 0 Y W J s Z S 1 l e H B v c n Q v Q 2 h h b m d l Z C B U e X B l L n s g I F J l c X V l c 3 Q g U 3 V i a m V j d C A g L D Z 9 J n F 1 b 3 Q 7 L C Z x d W 9 0 O 1 N l Y 3 R p b 2 4 x L 3 R h Y m x l L W V 4 c G 9 y d C 9 D a G F u Z 2 V k I F R 5 c G U u e y A g S W 5 p d G l h b C B F b n R y e S A g L D d 9 J n F 1 b 3 Q 7 L C Z x d W 9 0 O 1 N l Y 3 R p b 2 4 x L 3 R h Y m x l L W V 4 c G 9 y d C 9 D a G F u Z 2 V k I F R 5 c G U u e y A g R m 9 s b G 9 3 L V V w I C A s O H 0 m c X V v d D s s J n F 1 b 3 Q 7 U 2 V j d G l v b j E v d G F i b G U t Z X h w b 3 J 0 L 0 N o Y W 5 n Z W Q g V H l w Z S 5 7 I C B S Z X F 1 Z X N 0 Z W Q g Q 2 F w Y W J p b G l 0 e S A g L D l 9 J n F 1 b 3 Q 7 X S w m c X V v d D t S Z W x h d G l v b n N o a X B J b m Z v J n F 1 b 3 Q 7 O l t d f S I g L z 4 8 L 1 N 0 Y W J s Z U V u d H J p Z X M + P C 9 J d G V t P j x J d G V t P j x J d G V t T G 9 j Y X R p b 2 4 + P E l 0 Z W 1 U e X B l P k Z v c m 1 1 b G E 8 L 0 l 0 Z W 1 U e X B l P j x J d G V t U G F 0 a D 5 T Z W N 0 a W 9 u M S 9 0 Y W J s Z S 1 l e H B v c n Q l M j A o O S k v U 2 9 1 c m N l P C 9 J d G V t U G F 0 a D 4 8 L 0 l 0 Z W 1 M b 2 N h d G l v b j 4 8 U 3 R h Y m x l R W 5 0 c m l l c y A v P j w v S X R l b T 4 8 S X R l b T 4 8 S X R l b U x v Y 2 F 0 a W 9 u P j x J d G V t V H l w Z T 5 G b 3 J t d W x h P C 9 J d G V t V H l w Z T 4 8 S X R l b V B h d G g + U 2 V j d G l v b j E v d G F i b G U t Z X h w b 3 J 0 J T I w K D k p L 1 B y b 2 1 v d G V k J T I w S G V h Z G V y c z w v S X R l b V B h d G g + P C 9 J d G V t T G 9 j Y X R p b 2 4 + P F N 0 Y W J s Z U V u d H J p Z X M g L z 4 8 L 0 l 0 Z W 0 + P E l 0 Z W 0 + P E l 0 Z W 1 M b 2 N h d G l v b j 4 8 S X R l b V R 5 c G U + R m 9 y b X V s Y T w v S X R l b V R 5 c G U + P E l 0 Z W 1 Q Y X R o P l N l Y 3 R p b 2 4 x L 3 R h Y m x l L W V 4 c G 9 y d C U y M C g 5 K S 9 D a G F u Z 2 V k J T I w V H l w Z T w v S X R l b V B h d G g + P C 9 J d G V t T G 9 j Y X R p b 2 4 + P F N 0 Y W J s Z U V u d H J p Z X M g L z 4 8 L 0 l 0 Z W 0 + P E l 0 Z W 0 + P E l 0 Z W 1 M b 2 N h d G l v b j 4 8 S X R l b V R 5 c G U + R m 9 y b X V s Y T w v S X R l b V R 5 c G U + P E l 0 Z W 1 Q Y X R o P l N l Y 3 R p b 2 4 x L 3 R h Y m x l L W V 4 c G 9 y d C U y M C g x M 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G a W x s Z W R D b 2 1 w b G V 0 Z V J l c 3 V s d F R v V 2 9 y a 3 N o Z W V 0 I i B W Y W x 1 Z T 0 i b D E i I C 8 + P E V u d H J 5 I F R 5 c G U 9 I l F 1 Z X J 5 S U Q i I F Z h b H V l P S J z M T U 3 Y j c 1 M j A t Y z k w O C 0 0 Z W R m L T g y Y W I t Z D g x M j U 2 N 2 E w N z l m I i A v P j x F b n R y e S B U e X B l P S J C d W Z m Z X J O Z X h 0 U m V m c m V z a C I g V m F s d W U 9 I m w x I i A v P j x F b n R y e S B U e X B l P S J G a W x s R X J y b 3 J D b 3 V u d C I g V m F s d W U 9 I m w w I i A v P j x F b n R y e S B U e X B l P S J G a W x s R X J y b 3 J D b 2 R l I i B W Y W x 1 Z T 0 i c 1 V u a 2 5 v d 2 4 i I C 8 + P E V u d H J 5 I F R 5 c G U 9 I k Z p b G x D b 3 V u d C I g V m F s d W U 9 I m w z O D g i I C 8 + P E V u d H J 5 I F R 5 c G U 9 I k F k Z G V k V G 9 E Y X R h T W 9 k Z W w i I F Z h b H V l P S J s M C I g L z 4 8 R W 5 0 c n k g V H l w Z T 0 i R m l s b E x h c 3 R V c G R h d G V k I i B W Y W x 1 Z T 0 i Z D I w M j A t M D c t M D F U M T U 6 M D k 6 M z U u O T M y M T Q x N V o i I C 8 + P E V u d H J 5 I F R 5 c G U 9 I k Z p b G x D b 2 x 1 b W 5 U e X B l c y I g V m F s d W U 9 I n N C Z 2 N H Q m d Z S E J n W U d C Z z 0 9 I i A v P j x F b n R y e S B U e X B l P S J G a W x s Q 2 9 s d W 1 u T m F t Z X M i I F Z h b H V l P S J z W y Z x d W 9 0 O y A g V H J h Y 2 t l c i B O d W 1 i Z X I g I C Z x d W 9 0 O y w m c X V v d D s g I E x h c 3 Q g V X B k Y X R l Z C B B d C A g J n F 1 b 3 Q 7 L C Z x d W 9 0 O y A g U 3 V i a m V j d C A g J n F 1 b 3 Q 7 L C Z x d W 9 0 O y A g Q X N z a W d u Z W Q g V W 5 p d C A g J n F 1 b 3 Q 7 L C Z x d W 9 0 O y A g U 3 R h d H V z I C A m c X V v d D s s J n F 1 b 3 Q 7 I C B T d G F y d G V k I E F 0 I C A m c X V v d D s s J n F 1 b 3 Q 7 I C B S Z X F 1 Z X N 0 I F N 1 Y m p l Y 3 Q g I C Z x d W 9 0 O y w m c X V v d D s g I E l u a X R p Y W w g R W 5 0 c n k g I C Z x d W 9 0 O y w m c X V v d D s g I E Z v b G x v d y 1 V c C A g J n F 1 b 3 Q 7 L C Z x d W 9 0 O y A g U m V x d W V z d G V k I E N h c G F i a W x p d H k g I 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0 Y W J s Z S 1 l e H B v c n Q v Q 2 h h b m d l Z C B U e X B l L n s g I F R y Y W N r Z X I g T n V t Y m V y I C A s M H 0 m c X V v d D s s J n F 1 b 3 Q 7 U 2 V j d G l v b j E v d G F i b G U t Z X h w b 3 J 0 L 0 N o Y W 5 n Z W Q g V H l w Z S 5 7 I C B M Y X N 0 I F V w Z G F 0 Z W Q g Q X Q g I C w x f S Z x d W 9 0 O y w m c X V v d D t T Z W N 0 a W 9 u M S 9 0 Y W J s Z S 1 l e H B v c n Q v Q 2 h h b m d l Z C B U e X B l L n s g I F N 1 Y m p l Y 3 Q g I C w y f S Z x d W 9 0 O y w m c X V v d D t T Z W N 0 a W 9 u M S 9 0 Y W J s Z S 1 l e H B v c n Q v Q 2 h h b m d l Z C B U e X B l L n s g I E F z c 2 l n b m V k I F V u a X Q g I C w z f S Z x d W 9 0 O y w m c X V v d D t T Z W N 0 a W 9 u M S 9 0 Y W J s Z S 1 l e H B v c n Q v Q 2 h h b m d l Z C B U e X B l L n s g I F N 0 Y X R 1 c y A g L D R 9 J n F 1 b 3 Q 7 L C Z x d W 9 0 O 1 N l Y 3 R p b 2 4 x L 3 R h Y m x l L W V 4 c G 9 y d C 9 D a G F u Z 2 V k I F R 5 c G U u e y A g U 3 R h c n R l Z C B B d C A g L D V 9 J n F 1 b 3 Q 7 L C Z x d W 9 0 O 1 N l Y 3 R p b 2 4 x L 3 R h Y m x l L W V 4 c G 9 y d C 9 D a G F u Z 2 V k I F R 5 c G U u e y A g U m V x d W V z d C B T d W J q Z W N 0 I C A s N n 0 m c X V v d D s s J n F 1 b 3 Q 7 U 2 V j d G l v b j E v d G F i b G U t Z X h w b 3 J 0 L 0 N o Y W 5 n Z W Q g V H l w Z S 5 7 I C B J b m l 0 a W F s I E V u d H J 5 I C A s N 3 0 m c X V v d D s s J n F 1 b 3 Q 7 U 2 V j d G l v b j E v d G F i b G U t Z X h w b 3 J 0 L 0 N o Y W 5 n Z W Q g V H l w Z S 5 7 I C B G b 2 x s b 3 c t V X A g I C w 4 f S Z x d W 9 0 O y w m c X V v d D t T Z W N 0 a W 9 u M S 9 0 Y W J s Z S 1 l e H B v c n Q v Q 2 h h b m d l Z C B U e X B l L n s g I F J l c X V l c 3 R l Z C B D Y X B h Y m l s a X R 5 I C A s O X 0 m c X V v d D t d L C Z x d W 9 0 O 0 N v b H V t b k N v d W 5 0 J n F 1 b 3 Q 7 O j E w L C Z x d W 9 0 O 0 t l e U N v b H V t b k 5 h b W V z J n F 1 b 3 Q 7 O l t d L C Z x d W 9 0 O 0 N v b H V t b k l k Z W 5 0 a X R p Z X M m c X V v d D s 6 W y Z x d W 9 0 O 1 N l Y 3 R p b 2 4 x L 3 R h Y m x l L W V 4 c G 9 y d C 9 D a G F u Z 2 V k I F R 5 c G U u e y A g V H J h Y 2 t l c i B O d W 1 i Z X I g I C w w f S Z x d W 9 0 O y w m c X V v d D t T Z W N 0 a W 9 u M S 9 0 Y W J s Z S 1 l e H B v c n Q v Q 2 h h b m d l Z C B U e X B l L n s g I E x h c 3 Q g V X B k Y X R l Z C B B d C A g L D F 9 J n F 1 b 3 Q 7 L C Z x d W 9 0 O 1 N l Y 3 R p b 2 4 x L 3 R h Y m x l L W V 4 c G 9 y d C 9 D a G F u Z 2 V k I F R 5 c G U u e y A g U 3 V i a m V j d C A g L D J 9 J n F 1 b 3 Q 7 L C Z x d W 9 0 O 1 N l Y 3 R p b 2 4 x L 3 R h Y m x l L W V 4 c G 9 y d C 9 D a G F u Z 2 V k I F R 5 c G U u e y A g Q X N z a W d u Z W Q g V W 5 p d C A g L D N 9 J n F 1 b 3 Q 7 L C Z x d W 9 0 O 1 N l Y 3 R p b 2 4 x L 3 R h Y m x l L W V 4 c G 9 y d C 9 D a G F u Z 2 V k I F R 5 c G U u e y A g U 3 R h d H V z I C A s N H 0 m c X V v d D s s J n F 1 b 3 Q 7 U 2 V j d G l v b j E v d G F i b G U t Z X h w b 3 J 0 L 0 N o Y W 5 n Z W Q g V H l w Z S 5 7 I C B T d G F y d G V k I E F 0 I C A s N X 0 m c X V v d D s s J n F 1 b 3 Q 7 U 2 V j d G l v b j E v d G F i b G U t Z X h w b 3 J 0 L 0 N o Y W 5 n Z W Q g V H l w Z S 5 7 I C B S Z X F 1 Z X N 0 I F N 1 Y m p l Y 3 Q g I C w 2 f S Z x d W 9 0 O y w m c X V v d D t T Z W N 0 a W 9 u M S 9 0 Y W J s Z S 1 l e H B v c n Q v Q 2 h h b m d l Z C B U e X B l L n s g I E l u a X R p Y W w g R W 5 0 c n k g I C w 3 f S Z x d W 9 0 O y w m c X V v d D t T Z W N 0 a W 9 u M S 9 0 Y W J s Z S 1 l e H B v c n Q v Q 2 h h b m d l Z C B U e X B l L n s g I E Z v b G x v d y 1 V c C A g L D h 9 J n F 1 b 3 Q 7 L C Z x d W 9 0 O 1 N l Y 3 R p b 2 4 x L 3 R h Y m x l L W V 4 c G 9 y d C 9 D a G F u Z 2 V k I F R 5 c G U u e y A g U m V x d W V z d G V k I E N h c G F i a W x p d H k g I C w 5 f S Z x d W 9 0 O 1 0 s J n F 1 b 3 Q 7 U m V s Y X R p b 2 5 z a G l w S W 5 m b y Z x d W 9 0 O z p b X X 0 i I C 8 + P C 9 T d G F i b G V F b n R y a W V z P j w v S X R l b T 4 8 S X R l b T 4 8 S X R l b U x v Y 2 F 0 a W 9 u P j x J d G V t V H l w Z T 5 G b 3 J t d W x h P C 9 J d G V t V H l w Z T 4 8 S X R l b V B h d G g + U 2 V j d G l v b j E v d G F i b G U t Z X h w b 3 J 0 J T I w K D E w K S 9 T b 3 V y Y 2 U 8 L 0 l 0 Z W 1 Q Y X R o P j w v S X R l b U x v Y 2 F 0 a W 9 u P j x T d G F i b G V F b n R y a W V z I C 8 + P C 9 J d G V t P j x J d G V t P j x J d G V t T G 9 j Y X R p b 2 4 + P E l 0 Z W 1 U e X B l P k Z v c m 1 1 b G E 8 L 0 l 0 Z W 1 U e X B l P j x J d G V t U G F 0 a D 5 T Z W N 0 a W 9 u M S 9 0 Y W J s Z S 1 l e H B v c n Q l M j A o M T A p L 1 B y b 2 1 v d G V k J T I w S G V h Z G V y c z w v S X R l b V B h d G g + P C 9 J d G V t T G 9 j Y X R p b 2 4 + P F N 0 Y W J s Z U V u d H J p Z X M g L z 4 8 L 0 l 0 Z W 0 + P E l 0 Z W 0 + P E l 0 Z W 1 M b 2 N h d G l v b j 4 8 S X R l b V R 5 c G U + R m 9 y b X V s Y T w v S X R l b V R 5 c G U + P E l 0 Z W 1 Q Y X R o P l N l Y 3 R p b 2 4 x L 3 R h Y m x l L W V 4 c G 9 y d C U y M C g x M C k v Q 2 h h b m d l Z C U y M F R 5 c G U 8 L 0 l 0 Z W 1 Q Y X R o P j w v S X R l b U x v Y 2 F 0 a W 9 u P j x T d G F i b G V F b n R y a W V z I C 8 + P C 9 J d G V t P j x J d G V t P j x J d G V t T G 9 j Y X R p b 2 4 + P E l 0 Z W 1 U e X B l P k Z v c m 1 1 b G E 8 L 0 l 0 Z W 1 U e X B l P j x J d G V t U G F 0 a D 5 T Z W N 0 a W 9 u M S 9 0 Y W J s Z S 1 l e H B v c n Q l M j A o M T 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G V k Q 2 9 t c G x l d G V S Z X N 1 b H R U b 1 d v c m t z a G V l d C I g V m F s d W U 9 I m w x I i A v P j x F b n R y e S B U e X B l P S J R d W V y e U l E I i B W Y W x 1 Z T 0 i c z E 1 N 2 I 3 N T I w L W M 5 M D g t N G V k Z i 0 4 M m F i L W Q 4 M T I 1 N j d h M D c 5 Z i I g L z 4 8 R W 5 0 c n k g V H l w Z T 0 i Q n V m Z m V y T m V 4 d F J l Z n J l c 2 g i I F Z h b H V l P S J s M S I g L z 4 8 R W 5 0 c n k g V H l w Z T 0 i R m l s b E V y c m 9 y Q 2 9 1 b n Q i I F Z h b H V l P S J s M C I g L z 4 8 R W 5 0 c n k g V H l w Z T 0 i R m l s b E V y c m 9 y Q 2 9 k Z S I g V m F s d W U 9 I n N V b m t u b 3 d u I i A v P j x F b n R y e S B U e X B l P S J G a W x s Q 2 9 1 b n Q i I F Z h b H V l P S J s N D A 3 I i A v P j x F b n R y e S B U e X B l P S J B Z G R l Z F R v R G F 0 Y U 1 v Z G V s I i B W Y W x 1 Z T 0 i b D A i I C 8 + P E V u d H J 5 I F R 5 c G U 9 I k Z p b G x M Y X N 0 V X B k Y X R l Z C I g V m F s d W U 9 I m Q y M D I w L T A 3 L T A 4 V D I y O j M y O j M 2 L j A y N D A 5 N j J a I i A v P j x F b n R y e S B U e X B l P S J G a W x s Q 2 9 s d W 1 u V H l w Z X M i I F Z h b H V l P S J z Q m d j R 0 J n W U h C Z 1 l H Q m c 9 P S I g L z 4 8 R W 5 0 c n k g V H l w Z T 0 i R m l s b E N v b H V t b k 5 h b W V z I i B W Y W x 1 Z T 0 i c 1 s m c X V v d D s g I F R y Y W N r Z X I g T n V t Y m V y I C A m c X V v d D s s J n F 1 b 3 Q 7 I C B M Y X N 0 I F V w Z G F 0 Z W Q g Q X Q g I C Z x d W 9 0 O y w m c X V v d D s g I F N 1 Y m p l Y 3 Q g I C Z x d W 9 0 O y w m c X V v d D s g I E F z c 2 l n b m V k I F V u a X Q g I C Z x d W 9 0 O y w m c X V v d D s g I F N 0 Y X R 1 c y A g J n F 1 b 3 Q 7 L C Z x d W 9 0 O y A g U 3 R h c n R l Z C B B d C A g J n F 1 b 3 Q 7 L C Z x d W 9 0 O y A g U m V x d W V z d C B T d W J q Z W N 0 I C A m c X V v d D s s J n F 1 b 3 Q 7 I C B J b m l 0 a W F s I E V u d H J 5 I C A m c X V v d D s s J n F 1 b 3 Q 7 I C B G b 2 x s b 3 c t V X A g I C Z x d W 9 0 O y w m c X V v d D s g I F J l c X V l c 3 R l Z C B D Y X B h Y m l s a X R 5 I C A 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d G F i b G U t Z X h w b 3 J 0 L 0 N o Y W 5 n Z W Q g V H l w Z S 5 7 I C B U c m F j a 2 V y I E 5 1 b W J l c i A g L D B 9 J n F 1 b 3 Q 7 L C Z x d W 9 0 O 1 N l Y 3 R p b 2 4 x L 3 R h Y m x l L W V 4 c G 9 y d C 9 D a G F u Z 2 V k I F R 5 c G U u e y A g T G F z d C B V c G R h d G V k I E F 0 I C A s M X 0 m c X V v d D s s J n F 1 b 3 Q 7 U 2 V j d G l v b j E v d G F i b G U t Z X h w b 3 J 0 L 0 N o Y W 5 n Z W Q g V H l w Z S 5 7 I C B T d W J q Z W N 0 I C A s M n 0 m c X V v d D s s J n F 1 b 3 Q 7 U 2 V j d G l v b j E v d G F i b G U t Z X h w b 3 J 0 L 0 N o Y W 5 n Z W Q g V H l w Z S 5 7 I C B B c 3 N p Z 2 5 l Z C B V b m l 0 I C A s M 3 0 m c X V v d D s s J n F 1 b 3 Q 7 U 2 V j d G l v b j E v d G F i b G U t Z X h w b 3 J 0 L 0 N o Y W 5 n Z W Q g V H l w Z S 5 7 I C B T d G F 0 d X M g I C w 0 f S Z x d W 9 0 O y w m c X V v d D t T Z W N 0 a W 9 u M S 9 0 Y W J s Z S 1 l e H B v c n Q v Q 2 h h b m d l Z C B U e X B l L n s g I F N 0 Y X J 0 Z W Q g Q X Q g I C w 1 f S Z x d W 9 0 O y w m c X V v d D t T Z W N 0 a W 9 u M S 9 0 Y W J s Z S 1 l e H B v c n Q v Q 2 h h b m d l Z C B U e X B l L n s g I F J l c X V l c 3 Q g U 3 V i a m V j d C A g L D Z 9 J n F 1 b 3 Q 7 L C Z x d W 9 0 O 1 N l Y 3 R p b 2 4 x L 3 R h Y m x l L W V 4 c G 9 y d C 9 D a G F u Z 2 V k I F R 5 c G U u e y A g S W 5 p d G l h b C B F b n R y e S A g L D d 9 J n F 1 b 3 Q 7 L C Z x d W 9 0 O 1 N l Y 3 R p b 2 4 x L 3 R h Y m x l L W V 4 c G 9 y d C 9 D a G F u Z 2 V k I F R 5 c G U u e y A g R m 9 s b G 9 3 L V V w I C A s O H 0 m c X V v d D s s J n F 1 b 3 Q 7 U 2 V j d G l v b j E v d G F i b G U t Z X h w b 3 J 0 L 0 N o Y W 5 n Z W Q g V H l w Z S 5 7 I C B S Z X F 1 Z X N 0 Z W Q g Q 2 F w Y W J p b G l 0 e S A g L D l 9 J n F 1 b 3 Q 7 X S w m c X V v d D t D b 2 x 1 b W 5 D b 3 V u d C Z x d W 9 0 O z o x M C w m c X V v d D t L Z X l D b 2 x 1 b W 5 O Y W 1 l c y Z x d W 9 0 O z p b X S w m c X V v d D t D b 2 x 1 b W 5 J Z G V u d G l 0 a W V z J n F 1 b 3 Q 7 O l s m c X V v d D t T Z W N 0 a W 9 u M S 9 0 Y W J s Z S 1 l e H B v c n Q v Q 2 h h b m d l Z C B U e X B l L n s g I F R y Y W N r Z X I g T n V t Y m V y I C A s M H 0 m c X V v d D s s J n F 1 b 3 Q 7 U 2 V j d G l v b j E v d G F i b G U t Z X h w b 3 J 0 L 0 N o Y W 5 n Z W Q g V H l w Z S 5 7 I C B M Y X N 0 I F V w Z G F 0 Z W Q g Q X Q g I C w x f S Z x d W 9 0 O y w m c X V v d D t T Z W N 0 a W 9 u M S 9 0 Y W J s Z S 1 l e H B v c n Q v Q 2 h h b m d l Z C B U e X B l L n s g I F N 1 Y m p l Y 3 Q g I C w y f S Z x d W 9 0 O y w m c X V v d D t T Z W N 0 a W 9 u M S 9 0 Y W J s Z S 1 l e H B v c n Q v Q 2 h h b m d l Z C B U e X B l L n s g I E F z c 2 l n b m V k I F V u a X Q g I C w z f S Z x d W 9 0 O y w m c X V v d D t T Z W N 0 a W 9 u M S 9 0 Y W J s Z S 1 l e H B v c n Q v Q 2 h h b m d l Z C B U e X B l L n s g I F N 0 Y X R 1 c y A g L D R 9 J n F 1 b 3 Q 7 L C Z x d W 9 0 O 1 N l Y 3 R p b 2 4 x L 3 R h Y m x l L W V 4 c G 9 y d C 9 D a G F u Z 2 V k I F R 5 c G U u e y A g U 3 R h c n R l Z C B B d C A g L D V 9 J n F 1 b 3 Q 7 L C Z x d W 9 0 O 1 N l Y 3 R p b 2 4 x L 3 R h Y m x l L W V 4 c G 9 y d C 9 D a G F u Z 2 V k I F R 5 c G U u e y A g U m V x d W V z d C B T d W J q Z W N 0 I C A s N n 0 m c X V v d D s s J n F 1 b 3 Q 7 U 2 V j d G l v b j E v d G F i b G U t Z X h w b 3 J 0 L 0 N o Y W 5 n Z W Q g V H l w Z S 5 7 I C B J b m l 0 a W F s I E V u d H J 5 I C A s N 3 0 m c X V v d D s s J n F 1 b 3 Q 7 U 2 V j d G l v b j E v d G F i b G U t Z X h w b 3 J 0 L 0 N o Y W 5 n Z W Q g V H l w Z S 5 7 I C B G b 2 x s b 3 c t V X A g I C w 4 f S Z x d W 9 0 O y w m c X V v d D t T Z W N 0 a W 9 u M S 9 0 Y W J s Z S 1 l e H B v c n Q v Q 2 h h b m d l Z C B U e X B l L n s g I F J l c X V l c 3 R l Z C B D Y X B h Y m l s a X R 5 I C A s O X 0 m c X V v d D t d L C Z x d W 9 0 O 1 J l b G F 0 a W 9 u c 2 h p c E l u Z m 8 m c X V v d D s 6 W 1 1 9 I i A v P j w v U 3 R h Y m x l R W 5 0 c m l l c z 4 8 L 0 l 0 Z W 0 + P E l 0 Z W 0 + P E l 0 Z W 1 M b 2 N h d G l v b j 4 8 S X R l b V R 5 c G U + R m 9 y b X V s Y T w v S X R l b V R 5 c G U + P E l 0 Z W 1 Q Y X R o P l N l Y 3 R p b 2 4 x L 3 R h Y m x l L W V 4 c G 9 y d C U y M C g x M S k v U 2 9 1 c m N l P C 9 J d G V t U G F 0 a D 4 8 L 0 l 0 Z W 1 M b 2 N h d G l v b j 4 8 U 3 R h Y m x l R W 5 0 c m l l c y A v P j w v S X R l b T 4 8 S X R l b T 4 8 S X R l b U x v Y 2 F 0 a W 9 u P j x J d G V t V H l w Z T 5 G b 3 J t d W x h P C 9 J d G V t V H l w Z T 4 8 S X R l b V B h d G g + U 2 V j d G l v b j E v d G F i b G U t Z X h w b 3 J 0 J T I w K D E x K S 9 Q c m 9 t b 3 R l Z C U y M E h l Y W R l c n M 8 L 0 l 0 Z W 1 Q Y X R o P j w v S X R l b U x v Y 2 F 0 a W 9 u P j x T d G F i b G V F b n R y a W V z I C 8 + P C 9 J d G V t P j x J d G V t P j x J d G V t T G 9 j Y X R p b 2 4 + P E l 0 Z W 1 U e X B l P k Z v c m 1 1 b G E 8 L 0 l 0 Z W 1 U e X B l P j x J d G V t U G F 0 a D 5 T Z W N 0 a W 9 u M S 9 0 Y W J s Z S 1 l e H B v c n Q l M j A o M T E p L 0 N o Y W 5 n Z W Q l M j B U e X B l P C 9 J d G V t U G F 0 a D 4 8 L 0 l 0 Z W 1 M b 2 N h d G l v b j 4 8 U 3 R h Y m x l R W 5 0 c m l l c y A v P j w v S X R l b T 4 8 S X R l b T 4 8 S X R l b U x v Y 2 F 0 a W 9 u P j x J d G V t V H l w Z T 5 G b 3 J t d W x h P C 9 J d G V t V H l w Z T 4 8 S X R l b V B h d G g + U 2 V j d G l v b j E v d G F i b G U t Z X h w b 3 J 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Q 2 9 1 b n Q i I F Z h b H V l P S J s M C I g L z 4 8 R W 5 0 c n k g V H l w Z T 0 i R m l s b E V y c m 9 y Q 2 9 k Z S I g V m F s d W U 9 I n N V b m t u b 3 d u I i A v P j x F b n R y e S B U e X B l P S J G a W x s R X J y b 3 J D b 3 V u d C I g V m F s d W U 9 I m w w I i A v P j x F b n R y e S B U e X B l P S J G a W x s T G F z d F V w Z G F 0 Z W Q i I F Z h b H V l P S J k M j A y M C 0 w N y 0 y M l Q x N D o z N j o z M C 4 1 O T g 0 N j A z W i I g L z 4 8 R W 5 0 c n k g V H l w Z T 0 i R m l s b E N v b H V t b l R 5 c G V z I i B W Y W x 1 Z T 0 i c 0 J n W U h C Z 1 l H Q n d Z R 0 J n W T 0 i I C 8 + P E V u d H J 5 I F R 5 c G U 9 I k Z p b G x D b 2 x 1 b W 5 O Y W 1 l c y I g V m F s d W U 9 I n N b J n F 1 b 3 Q 7 I C B U c m F j a 2 V y I E 5 1 b W J l c i A g J n F 1 b 3 Q 7 L C Z x d W 9 0 O y A g U m V x d W V z d G l u Z y B B Z 2 V u Y 3 k g I C Z x d W 9 0 O y w m c X V v d D s g I E x h c 3 Q g V X B k Y X R l Z C B B d C A g J n F 1 b 3 Q 7 L C Z x d W 9 0 O y A g U 3 V i a m V j d C A g J n F 1 b 3 Q 7 L C Z x d W 9 0 O y A g Q X N z a W d u Z W Q g V W 5 p d C A g J n F 1 b 3 Q 7 L C Z x d W 9 0 O y A g U 3 R h d H V z I C A m c X V v d D s s J n F 1 b 3 Q 7 I C B T d G F y d G V k I E F 0 I C A m c X V v d D s s J n F 1 b 3 Q 7 I C B S Z X F 1 Z X N 0 I F N 1 Y m p l Y 3 Q g I C Z x d W 9 0 O y w m c X V v d D s g I E l u a X R p Y W w g R W 5 0 c n k g I C Z x d W 9 0 O y w m c X V v d D s g I E Z v b G x v d y 1 V c C A g J n F 1 b 3 Q 7 L C Z x d W 9 0 O y A g U m V x d W V z d G V k I E N h c G F i a W x p d H k g I C Z x d W 9 0 O 1 0 i I C 8 + P E V u d H J 5 I F R 5 c G U 9 I l F 1 Z X J 5 S U Q i I F Z h b H V l P S J z Y T d i Z m Y y N m U t M z B i O C 0 0 Z T c w L W J h Y z U t N T U 5 Y W R j N D c 0 N j E w I i A v P j x F b n R y e S B U e X B l P S J G a W x s U 3 R h d H V z I i B W Y W x 1 Z T 0 i c 1 d h a X R p b m d G b 3 J F e G N l b F J l Z n J l c 2 g 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3 R h Y m x l L W V 4 c G 9 y d C 9 D a G F u Z 2 V k I F R 5 c G U u e y A g V H J h Y 2 t l c i B O d W 1 i Z X I g I C w w f S Z x d W 9 0 O y w m c X V v d D t T Z W N 0 a W 9 u M S 9 0 Y W J s Z S 1 l e H B v c n Q v Q 2 h h b m d l Z C B U e X B l L n s g I F J l c X V l c 3 R p b m c g Q W d l b m N 5 I C A s M X 0 m c X V v d D s s J n F 1 b 3 Q 7 U 2 V j d G l v b j E v d G F i b G U t Z X h w b 3 J 0 L 0 N o Y W 5 n Z W Q g V H l w Z S 5 7 I C B M Y X N 0 I F V w Z G F 0 Z W Q g Q X Q g I C w y f S Z x d W 9 0 O y w m c X V v d D t T Z W N 0 a W 9 u M S 9 0 Y W J s Z S 1 l e H B v c n Q v Q 2 h h b m d l Z C B U e X B l L n s g I F N 1 Y m p l Y 3 Q g I C w z f S Z x d W 9 0 O y w m c X V v d D t T Z W N 0 a W 9 u M S 9 0 Y W J s Z S 1 l e H B v c n Q v Q 2 h h b m d l Z C B U e X B l L n s g I E F z c 2 l n b m V k I F V u a X Q g I C w 0 f S Z x d W 9 0 O y w m c X V v d D t T Z W N 0 a W 9 u M S 9 0 Y W J s Z S 1 l e H B v c n Q v Q 2 h h b m d l Z C B U e X B l L n s g I F N 0 Y X R 1 c y A g L D V 9 J n F 1 b 3 Q 7 L C Z x d W 9 0 O 1 N l Y 3 R p b 2 4 x L 3 R h Y m x l L W V 4 c G 9 y d C 9 D a G F u Z 2 V k I F R 5 c G U u e y A g U 3 R h c n R l Z C B B d C A g L D Z 9 J n F 1 b 3 Q 7 L C Z x d W 9 0 O 1 N l Y 3 R p b 2 4 x L 3 R h Y m x l L W V 4 c G 9 y d C 9 D a G F u Z 2 V k I F R 5 c G U u e y A g U m V x d W V z d C B T d W J q Z W N 0 I C A s N 3 0 m c X V v d D s s J n F 1 b 3 Q 7 U 2 V j d G l v b j E v d G F i b G U t Z X h w b 3 J 0 L 0 N o Y W 5 n Z W Q g V H l w Z S 5 7 I C B J b m l 0 a W F s I E V u d H J 5 I C A s O H 0 m c X V v d D s s J n F 1 b 3 Q 7 U 2 V j d G l v b j E v d G F i b G U t Z X h w b 3 J 0 L 0 N o Y W 5 n Z W Q g V H l w Z S 5 7 I C B G b 2 x s b 3 c t V X A g I C w 5 f S Z x d W 9 0 O y w m c X V v d D t T Z W N 0 a W 9 u M S 9 0 Y W J s Z S 1 l e H B v c n Q v Q 2 h h b m d l Z C B U e X B l L n s g I F J l c X V l c 3 R l Z C B D Y X B h Y m l s a X R 5 I C A s M T B 9 J n F 1 b 3 Q 7 X S w m c X V v d D t D b 2 x 1 b W 5 D b 3 V u d C Z x d W 9 0 O z o x M S w m c X V v d D t L Z X l D b 2 x 1 b W 5 O Y W 1 l c y Z x d W 9 0 O z p b X S w m c X V v d D t D b 2 x 1 b W 5 J Z G V u d G l 0 a W V z J n F 1 b 3 Q 7 O l s m c X V v d D t T Z W N 0 a W 9 u M S 9 0 Y W J s Z S 1 l e H B v c n Q v Q 2 h h b m d l Z C B U e X B l L n s g I F R y Y W N r Z X I g T n V t Y m V y I C A s M H 0 m c X V v d D s s J n F 1 b 3 Q 7 U 2 V j d G l v b j E v d G F i b G U t Z X h w b 3 J 0 L 0 N o Y W 5 n Z W Q g V H l w Z S 5 7 I C B S Z X F 1 Z X N 0 a W 5 n I E F n Z W 5 j e S A g L D F 9 J n F 1 b 3 Q 7 L C Z x d W 9 0 O 1 N l Y 3 R p b 2 4 x L 3 R h Y m x l L W V 4 c G 9 y d C 9 D a G F u Z 2 V k I F R 5 c G U u e y A g T G F z d C B V c G R h d G V k I E F 0 I C A s M n 0 m c X V v d D s s J n F 1 b 3 Q 7 U 2 V j d G l v b j E v d G F i b G U t Z X h w b 3 J 0 L 0 N o Y W 5 n Z W Q g V H l w Z S 5 7 I C B T d W J q Z W N 0 I C A s M 3 0 m c X V v d D s s J n F 1 b 3 Q 7 U 2 V j d G l v b j E v d G F i b G U t Z X h w b 3 J 0 L 0 N o Y W 5 n Z W Q g V H l w Z S 5 7 I C B B c 3 N p Z 2 5 l Z C B V b m l 0 I C A s N H 0 m c X V v d D s s J n F 1 b 3 Q 7 U 2 V j d G l v b j E v d G F i b G U t Z X h w b 3 J 0 L 0 N o Y W 5 n Z W Q g V H l w Z S 5 7 I C B T d G F 0 d X M g I C w 1 f S Z x d W 9 0 O y w m c X V v d D t T Z W N 0 a W 9 u M S 9 0 Y W J s Z S 1 l e H B v c n Q v Q 2 h h b m d l Z C B U e X B l L n s g I F N 0 Y X J 0 Z W Q g Q X Q g I C w 2 f S Z x d W 9 0 O y w m c X V v d D t T Z W N 0 a W 9 u M S 9 0 Y W J s Z S 1 l e H B v c n Q v Q 2 h h b m d l Z C B U e X B l L n s g I F J l c X V l c 3 Q g U 3 V i a m V j d C A g L D d 9 J n F 1 b 3 Q 7 L C Z x d W 9 0 O 1 N l Y 3 R p b 2 4 x L 3 R h Y m x l L W V 4 c G 9 y d C 9 D a G F u Z 2 V k I F R 5 c G U u e y A g S W 5 p d G l h b C B F b n R y e S A g L D h 9 J n F 1 b 3 Q 7 L C Z x d W 9 0 O 1 N l Y 3 R p b 2 4 x L 3 R h Y m x l L W V 4 c G 9 y d C 9 D a G F u Z 2 V k I F R 5 c G U u e y A g R m 9 s b G 9 3 L V V w I C A s O X 0 m c X V v d D s s J n F 1 b 3 Q 7 U 2 V j d G l v b j E v d G F i b G U t Z X h w b 3 J 0 L 0 N o Y W 5 n Z W Q g V H l w Z S 5 7 I C B S Z X F 1 Z X N 0 Z W Q g Q 2 F w Y W J p b G l 0 e S A g L D E w f S Z x d W 9 0 O 1 0 s J n F 1 b 3 Q 7 U m V s Y X R p b 2 5 z a G l w S W 5 m b y Z x d W 9 0 O z p b X X 0 i I C 8 + P C 9 T d G F i b G V F b n R y a W V z P j w v S X R l b T 4 8 S X R l b T 4 8 S X R l b U x v Y 2 F 0 a W 9 u P j x J d G V t V H l w Z T 5 G b 3 J t d W x h P C 9 J d G V t V H l w Z T 4 8 S X R l b V B h d G g + U 2 V j d G l v b j E v d G F i b G U t Z X h w b 3 J 0 J T I w K D I p L 1 N v d X J j Z T w v S X R l b V B h d G g + P C 9 J d G V t T G 9 j Y X R p b 2 4 + P F N 0 Y W J s Z U V u d H J p Z X M g L z 4 8 L 0 l 0 Z W 0 + P E l 0 Z W 0 + P E l 0 Z W 1 M b 2 N h d G l v b j 4 8 S X R l b V R 5 c G U + R m 9 y b X V s Y T w v S X R l b V R 5 c G U + P E l 0 Z W 1 Q Y X R o P l N l Y 3 R p b 2 4 x L 3 R h Y m x l L W V 4 c G 9 y d C U y M C g y K S 9 Q c m 9 t b 3 R l Z C U y M E h l Y W R l c n M 8 L 0 l 0 Z W 1 Q Y X R o P j w v S X R l b U x v Y 2 F 0 a W 9 u P j x T d G F i b G V F b n R y a W V z I C 8 + P C 9 J d G V t P j x J d G V t P j x J d G V t T G 9 j Y X R p b 2 4 + P E l 0 Z W 1 U e X B l P k Z v c m 1 1 b G E 8 L 0 l 0 Z W 1 U e X B l P j x J d G V t U G F 0 a D 5 T Z W N 0 a W 9 u M S 9 0 Y W J s Z S 1 l e H B v c n Q l M j A o M i k v Q 2 h h b m d l Z C U y M F R 5 c G U 8 L 0 l 0 Z W 1 Q Y X R o P j w v S X R l b U x v Y 2 F 0 a W 9 u P j x T d G F i b G V F b n R y a W V z I C 8 + P C 9 J d G V t P j x J d G V t P j x J d G V t T G 9 j Y X R p b 2 4 + P E l 0 Z W 1 U e X B l P k Z v c m 1 1 b G E 8 L 0 l 0 Z W 1 U e X B l P j x J d G V t U G F 0 a D 5 T Z W N 0 a W 9 u M S 9 0 Y W J s Z S 1 l e H B v c n Q l M j A o M T 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2 x 1 b W 5 O Y W 1 l c y I g V m F s d W U 9 I n N b J n F 1 b 3 Q 7 I C B U c m F j a 2 V y I E 5 1 b W J l c i A g J n F 1 b 3 Q 7 L C Z x d W 9 0 O y A g U m V x d W V z d G l u Z y B B Z 2 V u Y 3 k g I C Z x d W 9 0 O y w m c X V v d D s g I E x h c 3 Q g V X B k Y X R l Z C B B d C A g J n F 1 b 3 Q 7 L C Z x d W 9 0 O y A g U 3 V i a m V j d C A g J n F 1 b 3 Q 7 L C Z x d W 9 0 O y A g Q X N z a W d u Z W Q g V W 5 p d C A g J n F 1 b 3 Q 7 L C Z x d W 9 0 O y A g U 3 R h d H V z I C A m c X V v d D s s J n F 1 b 3 Q 7 I C B T d G F y d G V k I E F 0 I C A m c X V v d D s s J n F 1 b 3 Q 7 I C B S Z X F 1 Z X N 0 I F N 1 Y m p l Y 3 Q g I C Z x d W 9 0 O y w m c X V v d D s g I E l u a X R p Y W w g R W 5 0 c n k g I C Z x d W 9 0 O y w m c X V v d D s g I E Z v b G x v d y 1 V c C A g J n F 1 b 3 Q 7 L C Z x d W 9 0 O y A g U m V x d W V z d G V k I E N h c G F i a W x p d H k g I C Z x d W 9 0 O 1 0 i I C 8 + P E V u d H J 5 I F R 5 c G U 9 I k Z p b G x D b 2 x 1 b W 5 U e X B l c y I g V m F s d W U 9 I n N C Z 1 l I Q m d Z R 0 J 3 W U d C Z 1 k 9 I i A v P j x F b n R y e S B U e X B l P S J G a W x s T G F z d F V w Z G F 0 Z W Q i I F Z h b H V l P S J k M j A y M C 0 w N y 0 y O V Q x N T o w N T o 1 M C 4 3 M z g 2 N T g x W i I g L z 4 8 R W 5 0 c n k g V H l w Z T 0 i R m l s b E V y c m 9 y Q 2 9 1 b n Q i I F Z h b H V l P S J s M C I g L z 4 8 R W 5 0 c n k g V H l w Z T 0 i R m l s b E V y c m 9 y Q 2 9 k Z S I g V m F s d W U 9 I n N V b m t u b 3 d u I i A v P j x F b n R y e S B U e X B l P S J G a W x s Q 2 9 1 b n Q i I F Z h b H V l P S J s N D M x I i A v P j x F b n R y e S B U e X B l P S J R d W V y e U l E I i B W Y W x 1 Z T 0 i c 2 E 3 Y m Z m M j Z l L T M w Y j g t N G U 3 M C 1 i Y W M 1 L T U 1 O W F k Y z Q 3 N D Y x M C I g L z 4 8 R W 5 0 c n k g V H l w Z T 0 i Q W R k Z W R U b 0 R h d G F N b 2 R l b C I g V m F s d W U 9 I m w w 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d G F i b G U t Z X h w b 3 J 0 L 0 N o Y W 5 n Z W Q g V H l w Z S 5 7 I C B U c m F j a 2 V y I E 5 1 b W J l c i A g L D B 9 J n F 1 b 3 Q 7 L C Z x d W 9 0 O 1 N l Y 3 R p b 2 4 x L 3 R h Y m x l L W V 4 c G 9 y d C 9 D a G F u Z 2 V k I F R 5 c G U u e y A g U m V x d W V z d G l u Z y B B Z 2 V u Y 3 k g I C w x f S Z x d W 9 0 O y w m c X V v d D t T Z W N 0 a W 9 u M S 9 0 Y W J s Z S 1 l e H B v c n Q v Q 2 h h b m d l Z C B U e X B l L n s g I E x h c 3 Q g V X B k Y X R l Z C B B d C A g L D J 9 J n F 1 b 3 Q 7 L C Z x d W 9 0 O 1 N l Y 3 R p b 2 4 x L 3 R h Y m x l L W V 4 c G 9 y d C 9 D a G F u Z 2 V k I F R 5 c G U u e y A g U 3 V i a m V j d C A g L D N 9 J n F 1 b 3 Q 7 L C Z x d W 9 0 O 1 N l Y 3 R p b 2 4 x L 3 R h Y m x l L W V 4 c G 9 y d C 9 D a G F u Z 2 V k I F R 5 c G U u e y A g Q X N z a W d u Z W Q g V W 5 p d C A g L D R 9 J n F 1 b 3 Q 7 L C Z x d W 9 0 O 1 N l Y 3 R p b 2 4 x L 3 R h Y m x l L W V 4 c G 9 y d C 9 D a G F u Z 2 V k I F R 5 c G U u e y A g U 3 R h d H V z I C A s N X 0 m c X V v d D s s J n F 1 b 3 Q 7 U 2 V j d G l v b j E v d G F i b G U t Z X h w b 3 J 0 L 0 N o Y W 5 n Z W Q g V H l w Z S 5 7 I C B T d G F y d G V k I E F 0 I C A s N n 0 m c X V v d D s s J n F 1 b 3 Q 7 U 2 V j d G l v b j E v d G F i b G U t Z X h w b 3 J 0 L 0 N o Y W 5 n Z W Q g V H l w Z S 5 7 I C B S Z X F 1 Z X N 0 I F N 1 Y m p l Y 3 Q g I C w 3 f S Z x d W 9 0 O y w m c X V v d D t T Z W N 0 a W 9 u M S 9 0 Y W J s Z S 1 l e H B v c n Q v Q 2 h h b m d l Z C B U e X B l L n s g I E l u a X R p Y W w g R W 5 0 c n k g I C w 4 f S Z x d W 9 0 O y w m c X V v d D t T Z W N 0 a W 9 u M S 9 0 Y W J s Z S 1 l e H B v c n Q v Q 2 h h b m d l Z C B U e X B l L n s g I E Z v b G x v d y 1 V c C A g L D l 9 J n F 1 b 3 Q 7 L C Z x d W 9 0 O 1 N l Y 3 R p b 2 4 x L 3 R h Y m x l L W V 4 c G 9 y d C 9 D a G F u Z 2 V k I F R 5 c G U u e y A g U m V x d W V z d G V k I E N h c G F i a W x p d H k g I C w x M H 0 m c X V v d D t d L C Z x d W 9 0 O 0 N v b H V t b k N v d W 5 0 J n F 1 b 3 Q 7 O j E x L C Z x d W 9 0 O 0 t l e U N v b H V t b k 5 h b W V z J n F 1 b 3 Q 7 O l t d L C Z x d W 9 0 O 0 N v b H V t b k l k Z W 5 0 a X R p Z X M m c X V v d D s 6 W y Z x d W 9 0 O 1 N l Y 3 R p b 2 4 x L 3 R h Y m x l L W V 4 c G 9 y d C 9 D a G F u Z 2 V k I F R 5 c G U u e y A g V H J h Y 2 t l c i B O d W 1 i Z X I g I C w w f S Z x d W 9 0 O y w m c X V v d D t T Z W N 0 a W 9 u M S 9 0 Y W J s Z S 1 l e H B v c n Q v Q 2 h h b m d l Z C B U e X B l L n s g I F J l c X V l c 3 R p b m c g Q W d l b m N 5 I C A s M X 0 m c X V v d D s s J n F 1 b 3 Q 7 U 2 V j d G l v b j E v d G F i b G U t Z X h w b 3 J 0 L 0 N o Y W 5 n Z W Q g V H l w Z S 5 7 I C B M Y X N 0 I F V w Z G F 0 Z W Q g Q X Q g I C w y f S Z x d W 9 0 O y w m c X V v d D t T Z W N 0 a W 9 u M S 9 0 Y W J s Z S 1 l e H B v c n Q v Q 2 h h b m d l Z C B U e X B l L n s g I F N 1 Y m p l Y 3 Q g I C w z f S Z x d W 9 0 O y w m c X V v d D t T Z W N 0 a W 9 u M S 9 0 Y W J s Z S 1 l e H B v c n Q v Q 2 h h b m d l Z C B U e X B l L n s g I E F z c 2 l n b m V k I F V u a X Q g I C w 0 f S Z x d W 9 0 O y w m c X V v d D t T Z W N 0 a W 9 u M S 9 0 Y W J s Z S 1 l e H B v c n Q v Q 2 h h b m d l Z C B U e X B l L n s g I F N 0 Y X R 1 c y A g L D V 9 J n F 1 b 3 Q 7 L C Z x d W 9 0 O 1 N l Y 3 R p b 2 4 x L 3 R h Y m x l L W V 4 c G 9 y d C 9 D a G F u Z 2 V k I F R 5 c G U u e y A g U 3 R h c n R l Z C B B d C A g L D Z 9 J n F 1 b 3 Q 7 L C Z x d W 9 0 O 1 N l Y 3 R p b 2 4 x L 3 R h Y m x l L W V 4 c G 9 y d C 9 D a G F u Z 2 V k I F R 5 c G U u e y A g U m V x d W V z d C B T d W J q Z W N 0 I C A s N 3 0 m c X V v d D s s J n F 1 b 3 Q 7 U 2 V j d G l v b j E v d G F i b G U t Z X h w b 3 J 0 L 0 N o Y W 5 n Z W Q g V H l w Z S 5 7 I C B J b m l 0 a W F s I E V u d H J 5 I C A s O H 0 m c X V v d D s s J n F 1 b 3 Q 7 U 2 V j d G l v b j E v d G F i b G U t Z X h w b 3 J 0 L 0 N o Y W 5 n Z W Q g V H l w Z S 5 7 I C B G b 2 x s b 3 c t V X A g I C w 5 f S Z x d W 9 0 O y w m c X V v d D t T Z W N 0 a W 9 u M S 9 0 Y W J s Z S 1 l e H B v c n Q v Q 2 h h b m d l Z C B U e X B l L n s g I F J l c X V l c 3 R l Z C B D Y X B h Y m l s a X R 5 I C A s M T B 9 J n F 1 b 3 Q 7 X S w m c X V v d D t S Z W x h d G l v b n N o a X B J b m Z v J n F 1 b 3 Q 7 O l t d f S I g L z 4 8 L 1 N 0 Y W J s Z U V u d H J p Z X M + P C 9 J d G V t P j x J d G V t P j x J d G V t T G 9 j Y X R p b 2 4 + P E l 0 Z W 1 U e X B l P k Z v c m 1 1 b G E 8 L 0 l 0 Z W 1 U e X B l P j x J d G V t U G F 0 a D 5 T Z W N 0 a W 9 u M S 9 0 Y W J s Z S 1 l e H B v c n Q l M j A o M T I p L 1 N v d X J j Z T w v S X R l b V B h d G g + P C 9 J d G V t T G 9 j Y X R p b 2 4 + P F N 0 Y W J s Z U V u d H J p Z X M g L z 4 8 L 0 l 0 Z W 0 + P E l 0 Z W 0 + P E l 0 Z W 1 M b 2 N h d G l v b j 4 8 S X R l b V R 5 c G U + R m 9 y b X V s Y T w v S X R l b V R 5 c G U + P E l 0 Z W 1 Q Y X R o P l N l Y 3 R p b 2 4 x L 3 R h Y m x l L W V 4 c G 9 y d C U y M C g x M i k v U H J v b W 9 0 Z W Q l M j B I Z W F k Z X J z P C 9 J d G V t U G F 0 a D 4 8 L 0 l 0 Z W 1 M b 2 N h d G l v b j 4 8 U 3 R h Y m x l R W 5 0 c m l l c y A v P j w v S X R l b T 4 8 S X R l b T 4 8 S X R l b U x v Y 2 F 0 a W 9 u P j x J d G V t V H l w Z T 5 G b 3 J t d W x h P C 9 J d G V t V H l w Z T 4 8 S X R l b V B h d G g + U 2 V j d G l v b j E v d G F i b G U t Z X h w b 3 J 0 J T I w K D E y K S 9 D a G F u Z 2 V k J T I w V H l w Z T w v S X R l b V B h d G g + P C 9 J d G V t T G 9 j Y X R p b 2 4 + P F N 0 Y W J s Z U V u d H J p Z X M g L z 4 8 L 0 l 0 Z W 0 + P E l 0 Z W 0 + P E l 0 Z W 1 M b 2 N h d G l v b j 4 8 S X R l b V R 5 c G U + R m 9 y b X V s Y T w v S X R l b V R 5 c G U + P E l 0 Z W 1 Q Y X R o P l N l Y 3 R p b 2 4 x L 3 R h Y m x l L W V 4 c G 9 y d C U y M C g x 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x h c 3 R V c G R h d G V k I i B W Y W x 1 Z T 0 i Z D I w M j A t M D g t M D R U M T Q 6 M T E 6 N T Y u M j M 5 M z M w O F o i I C 8 + P E V u d H J 5 I F R 5 c G U 9 I k Z p b G x F c n J v c k N v d W 5 0 I i B W Y W x 1 Z T 0 i b D A i I C 8 + P E V u d H J 5 I F R 5 c G U 9 I k Z p b G x F c n J v c k N v Z G U i I F Z h b H V l P S J z V W 5 r b m 9 3 b i I g L z 4 8 R W 5 0 c n k g V H l w Z T 0 i R m l s b E N v d W 5 0 I i B W Y W x 1 Z T 0 i b D Q 0 M C I g L z 4 8 R W 5 0 c n k g V H l w Z T 0 i U X V l c n l J R C I g V m F s d W U 9 I n N h N 2 J m Z j I 2 Z S 0 z M G I 4 L T R l N z A t Y m F j N S 0 1 N T l h Z G M 0 N z Q 2 M T A i I C 8 + P E V u d H J 5 I F R 5 c G U 9 I k F k Z G V k V G 9 E Y X R h T W 9 k Z W w i I F Z h b H V l P S J s M C I g L z 4 8 R W 5 0 c n k g V H l w Z T 0 i R m l s b E N v b H V t b l R 5 c G V z I i B W Y W x 1 Z T 0 i c 0 J n W U h C Z 1 l H Q n d Z R 0 J n W T 0 i I C 8 + P E V u d H J 5 I F R 5 c G U 9 I k Z p b G x D b 2 x 1 b W 5 O Y W 1 l c y I g V m F s d W U 9 I n N b J n F 1 b 3 Q 7 I C B U c m F j a 2 V y I E 5 1 b W J l c i A g J n F 1 b 3 Q 7 L C Z x d W 9 0 O y A g U m V x d W V z d G l u Z y B B Z 2 V u Y 3 k g I C Z x d W 9 0 O y w m c X V v d D s g I E x h c 3 Q g V X B k Y X R l Z C B B d C A g J n F 1 b 3 Q 7 L C Z x d W 9 0 O y A g U 3 V i a m V j d C A g J n F 1 b 3 Q 7 L C Z x d W 9 0 O y A g Q X N z a W d u Z W Q g V W 5 p d C A g J n F 1 b 3 Q 7 L C Z x d W 9 0 O y A g U 3 R h d H V z I C A m c X V v d D s s J n F 1 b 3 Q 7 I C B T d G F y d G V k I E F 0 I C A m c X V v d D s s J n F 1 b 3 Q 7 I C B S Z X F 1 Z X N 0 I F N 1 Y m p l Y 3 Q g I C Z x d W 9 0 O y w m c X V v d D s g I E l u a X R p Y W w g R W 5 0 c n k g I C Z x d W 9 0 O y w m c X V v d D s g I E Z v b G x v d y 1 V c C A g J n F 1 b 3 Q 7 L C Z x d W 9 0 O y A g U m V x d W V z d G V k I E N h c G F i a W x p d H k g I 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0 Y W J s Z S 1 l e H B v c n Q v Q 2 h h b m d l Z C B U e X B l L n s g I F R y Y W N r Z X I g T n V t Y m V y I C A s M H 0 m c X V v d D s s J n F 1 b 3 Q 7 U 2 V j d G l v b j E v d G F i b G U t Z X h w b 3 J 0 L 0 N o Y W 5 n Z W Q g V H l w Z S 5 7 I C B S Z X F 1 Z X N 0 a W 5 n I E F n Z W 5 j e S A g L D F 9 J n F 1 b 3 Q 7 L C Z x d W 9 0 O 1 N l Y 3 R p b 2 4 x L 3 R h Y m x l L W V 4 c G 9 y d C 9 D a G F u Z 2 V k I F R 5 c G U u e y A g T G F z d C B V c G R h d G V k I E F 0 I C A s M n 0 m c X V v d D s s J n F 1 b 3 Q 7 U 2 V j d G l v b j E v d G F i b G U t Z X h w b 3 J 0 L 0 N o Y W 5 n Z W Q g V H l w Z S 5 7 I C B T d W J q Z W N 0 I C A s M 3 0 m c X V v d D s s J n F 1 b 3 Q 7 U 2 V j d G l v b j E v d G F i b G U t Z X h w b 3 J 0 L 0 N o Y W 5 n Z W Q g V H l w Z S 5 7 I C B B c 3 N p Z 2 5 l Z C B V b m l 0 I C A s N H 0 m c X V v d D s s J n F 1 b 3 Q 7 U 2 V j d G l v b j E v d G F i b G U t Z X h w b 3 J 0 L 0 N o Y W 5 n Z W Q g V H l w Z S 5 7 I C B T d G F 0 d X M g I C w 1 f S Z x d W 9 0 O y w m c X V v d D t T Z W N 0 a W 9 u M S 9 0 Y W J s Z S 1 l e H B v c n Q v Q 2 h h b m d l Z C B U e X B l L n s g I F N 0 Y X J 0 Z W Q g Q X Q g I C w 2 f S Z x d W 9 0 O y w m c X V v d D t T Z W N 0 a W 9 u M S 9 0 Y W J s Z S 1 l e H B v c n Q v Q 2 h h b m d l Z C B U e X B l L n s g I F J l c X V l c 3 Q g U 3 V i a m V j d C A g L D d 9 J n F 1 b 3 Q 7 L C Z x d W 9 0 O 1 N l Y 3 R p b 2 4 x L 3 R h Y m x l L W V 4 c G 9 y d C 9 D a G F u Z 2 V k I F R 5 c G U u e y A g S W 5 p d G l h b C B F b n R y e S A g L D h 9 J n F 1 b 3 Q 7 L C Z x d W 9 0 O 1 N l Y 3 R p b 2 4 x L 3 R h Y m x l L W V 4 c G 9 y d C 9 D a G F u Z 2 V k I F R 5 c G U u e y A g R m 9 s b G 9 3 L V V w I C A s O X 0 m c X V v d D s s J n F 1 b 3 Q 7 U 2 V j d G l v b j E v d G F i b G U t Z X h w b 3 J 0 L 0 N o Y W 5 n Z W Q g V H l w Z S 5 7 I C B S Z X F 1 Z X N 0 Z W Q g Q 2 F w Y W J p b G l 0 e S A g L D E w f S Z x d W 9 0 O 1 0 s J n F 1 b 3 Q 7 Q 2 9 s d W 1 u Q 2 9 1 b n Q m c X V v d D s 6 M T E s J n F 1 b 3 Q 7 S 2 V 5 Q 2 9 s d W 1 u T m F t Z X M m c X V v d D s 6 W 1 0 s J n F 1 b 3 Q 7 Q 2 9 s d W 1 u S W R l b n R p d G l l c y Z x d W 9 0 O z p b J n F 1 b 3 Q 7 U 2 V j d G l v b j E v d G F i b G U t Z X h w b 3 J 0 L 0 N o Y W 5 n Z W Q g V H l w Z S 5 7 I C B U c m F j a 2 V y I E 5 1 b W J l c i A g L D B 9 J n F 1 b 3 Q 7 L C Z x d W 9 0 O 1 N l Y 3 R p b 2 4 x L 3 R h Y m x l L W V 4 c G 9 y d C 9 D a G F u Z 2 V k I F R 5 c G U u e y A g U m V x d W V z d G l u Z y B B Z 2 V u Y 3 k g I C w x f S Z x d W 9 0 O y w m c X V v d D t T Z W N 0 a W 9 u M S 9 0 Y W J s Z S 1 l e H B v c n Q v Q 2 h h b m d l Z C B U e X B l L n s g I E x h c 3 Q g V X B k Y X R l Z C B B d C A g L D J 9 J n F 1 b 3 Q 7 L C Z x d W 9 0 O 1 N l Y 3 R p b 2 4 x L 3 R h Y m x l L W V 4 c G 9 y d C 9 D a G F u Z 2 V k I F R 5 c G U u e y A g U 3 V i a m V j d C A g L D N 9 J n F 1 b 3 Q 7 L C Z x d W 9 0 O 1 N l Y 3 R p b 2 4 x L 3 R h Y m x l L W V 4 c G 9 y d C 9 D a G F u Z 2 V k I F R 5 c G U u e y A g Q X N z a W d u Z W Q g V W 5 p d C A g L D R 9 J n F 1 b 3 Q 7 L C Z x d W 9 0 O 1 N l Y 3 R p b 2 4 x L 3 R h Y m x l L W V 4 c G 9 y d C 9 D a G F u Z 2 V k I F R 5 c G U u e y A g U 3 R h d H V z I C A s N X 0 m c X V v d D s s J n F 1 b 3 Q 7 U 2 V j d G l v b j E v d G F i b G U t Z X h w b 3 J 0 L 0 N o Y W 5 n Z W Q g V H l w Z S 5 7 I C B T d G F y d G V k I E F 0 I C A s N n 0 m c X V v d D s s J n F 1 b 3 Q 7 U 2 V j d G l v b j E v d G F i b G U t Z X h w b 3 J 0 L 0 N o Y W 5 n Z W Q g V H l w Z S 5 7 I C B S Z X F 1 Z X N 0 I F N 1 Y m p l Y 3 Q g I C w 3 f S Z x d W 9 0 O y w m c X V v d D t T Z W N 0 a W 9 u M S 9 0 Y W J s Z S 1 l e H B v c n Q v Q 2 h h b m d l Z C B U e X B l L n s g I E l u a X R p Y W w g R W 5 0 c n k g I C w 4 f S Z x d W 9 0 O y w m c X V v d D t T Z W N 0 a W 9 u M S 9 0 Y W J s Z S 1 l e H B v c n Q v Q 2 h h b m d l Z C B U e X B l L n s g I E Z v b G x v d y 1 V c C A g L D l 9 J n F 1 b 3 Q 7 L C Z x d W 9 0 O 1 N l Y 3 R p b 2 4 x L 3 R h Y m x l L W V 4 c G 9 y d C 9 D a G F u Z 2 V k I F R 5 c G U u e y A g U m V x d W V z d G V k I E N h c G F i a W x p d H k g I C w x M H 0 m c X V v d D t d L C Z x d W 9 0 O 1 J l b G F 0 a W 9 u c 2 h p c E l u Z m 8 m c X V v d D s 6 W 1 1 9 I i A v P j w v U 3 R h Y m x l R W 5 0 c m l l c z 4 8 L 0 l 0 Z W 0 + P E l 0 Z W 0 + P E l 0 Z W 1 M b 2 N h d G l v b j 4 8 S X R l b V R 5 c G U + R m 9 y b X V s Y T w v S X R l b V R 5 c G U + P E l 0 Z W 1 Q Y X R o P l N l Y 3 R p b 2 4 x L 3 R h Y m x l L W V 4 c G 9 y d C U y M C g x M y k v U 2 9 1 c m N l P C 9 J d G V t U G F 0 a D 4 8 L 0 l 0 Z W 1 M b 2 N h d G l v b j 4 8 U 3 R h Y m x l R W 5 0 c m l l c y A v P j w v S X R l b T 4 8 S X R l b T 4 8 S X R l b U x v Y 2 F 0 a W 9 u P j x J d G V t V H l w Z T 5 G b 3 J t d W x h P C 9 J d G V t V H l w Z T 4 8 S X R l b V B h d G g + U 2 V j d G l v b j E v d G F i b G U t Z X h w b 3 J 0 J T I w K D E z K S 9 Q c m 9 t b 3 R l Z C U y M E h l Y W R l c n M 8 L 0 l 0 Z W 1 Q Y X R o P j w v S X R l b U x v Y 2 F 0 a W 9 u P j x T d G F i b G V F b n R y a W V z I C 8 + P C 9 J d G V t P j x J d G V t P j x J d G V t T G 9 j Y X R p b 2 4 + P E l 0 Z W 1 U e X B l P k Z v c m 1 1 b G E 8 L 0 l 0 Z W 1 U e X B l P j x J d G V t U G F 0 a D 5 T Z W N 0 a W 9 u M S 9 0 Y W J s Z S 1 l e H B v c n Q l M j A o M T M p L 0 N o Y W 5 n Z W Q l M j B U e X B l P C 9 J d G V t U G F 0 a D 4 8 L 0 l 0 Z W 1 M b 2 N h d G l v b j 4 8 U 3 R h Y m x l R W 5 0 c m l l c y A v P j w v S X R l b T 4 8 S X R l b T 4 8 S X R l b U x v Y 2 F 0 a W 9 u P j x J d G V t V H l w Z T 5 G b 3 J t d W x h P C 9 J d G V t V H l w Z T 4 8 S X R l b V B h d G g + U 2 V j d G l v b j E v d G F i b G U t Z X h w b 3 J 0 J T I w K D E 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T G F z d F V w Z G F 0 Z W Q i I F Z h b H V l P S J k M j A y M C 0 w O C 0 w N l Q x N T o y M T o w O C 4 0 O D U 5 O D E 2 W i I g L z 4 8 R W 5 0 c n k g V H l w Z T 0 i R m l s b E V y c m 9 y Q 2 9 1 b n Q i I F Z h b H V l P S J s M C I g L z 4 8 R W 5 0 c n k g V H l w Z T 0 i R m l s b E V y c m 9 y Q 2 9 k Z S I g V m F s d W U 9 I n N V b m t u b 3 d u I i A v P j x F b n R y e S B U e X B l P S J G a W x s Q 2 9 1 b n Q i I F Z h b H V l P S J s N D Q z I i A v P j x F b n R y e S B U e X B l P S J R d W V y e U l E I i B W Y W x 1 Z T 0 i c 2 E 3 Y m Z m M j Z l L T M w Y j g t N G U 3 M C 1 i Y W M 1 L T U 1 O W F k Y z Q 3 N D Y x M C I g L z 4 8 R W 5 0 c n k g V H l w Z T 0 i Q W R k Z W R U b 0 R h d G F N b 2 R l b C I g V m F s d W U 9 I m w w I i A v P j x F b n R y e S B U e X B l P S J G a W x s Q 2 9 s d W 1 u V H l w Z X M i I F Z h b H V l P S J z Q m d Z S E J n W U d C d 1 l H Q m d Z P S I g L z 4 8 R W 5 0 c n k g V H l w Z T 0 i R m l s b E N v b H V t b k 5 h b W V z I i B W Y W x 1 Z T 0 i c 1 s m c X V v d D s g I F R y Y W N r Z X I g T n V t Y m V y I C A m c X V v d D s s J n F 1 b 3 Q 7 I C B S Z X F 1 Z X N 0 a W 5 n I E F n Z W 5 j e S A g J n F 1 b 3 Q 7 L C Z x d W 9 0 O y A g T G F z d C B V c G R h d G V k I E F 0 I C A m c X V v d D s s J n F 1 b 3 Q 7 I C B T d W J q Z W N 0 I C A m c X V v d D s s J n F 1 b 3 Q 7 I C B B c 3 N p Z 2 5 l Z C B V b m l 0 I C A m c X V v d D s s J n F 1 b 3 Q 7 I C B T d G F 0 d X M g I C Z x d W 9 0 O y w m c X V v d D s g I F N 0 Y X J 0 Z W Q g Q X Q g I C Z x d W 9 0 O y w m c X V v d D s g I F J l c X V l c 3 Q g U 3 V i a m V j d C A g J n F 1 b 3 Q 7 L C Z x d W 9 0 O y A g S W 5 p d G l h b C B F b n R y e S A g J n F 1 b 3 Q 7 L C Z x d W 9 0 O y A g R m 9 s b G 9 3 L V V w I C A m c X V v d D s s J n F 1 b 3 Q 7 I C B S Z X F 1 Z X N 0 Z W Q g Q 2 F w Y W J p b G l 0 e S A g 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3 R h Y m x l L W V 4 c G 9 y d C 9 D a G F u Z 2 V k I F R 5 c G U u e y A g V H J h Y 2 t l c i B O d W 1 i Z X I g I C w w f S Z x d W 9 0 O y w m c X V v d D t T Z W N 0 a W 9 u M S 9 0 Y W J s Z S 1 l e H B v c n Q v Q 2 h h b m d l Z C B U e X B l L n s g I F J l c X V l c 3 R p b m c g Q W d l b m N 5 I C A s M X 0 m c X V v d D s s J n F 1 b 3 Q 7 U 2 V j d G l v b j E v d G F i b G U t Z X h w b 3 J 0 L 0 N o Y W 5 n Z W Q g V H l w Z S 5 7 I C B M Y X N 0 I F V w Z G F 0 Z W Q g Q X Q g I C w y f S Z x d W 9 0 O y w m c X V v d D t T Z W N 0 a W 9 u M S 9 0 Y W J s Z S 1 l e H B v c n Q v Q 2 h h b m d l Z C B U e X B l L n s g I F N 1 Y m p l Y 3 Q g I C w z f S Z x d W 9 0 O y w m c X V v d D t T Z W N 0 a W 9 u M S 9 0 Y W J s Z S 1 l e H B v c n Q v Q 2 h h b m d l Z C B U e X B l L n s g I E F z c 2 l n b m V k I F V u a X Q g I C w 0 f S Z x d W 9 0 O y w m c X V v d D t T Z W N 0 a W 9 u M S 9 0 Y W J s Z S 1 l e H B v c n Q v Q 2 h h b m d l Z C B U e X B l L n s g I F N 0 Y X R 1 c y A g L D V 9 J n F 1 b 3 Q 7 L C Z x d W 9 0 O 1 N l Y 3 R p b 2 4 x L 3 R h Y m x l L W V 4 c G 9 y d C 9 D a G F u Z 2 V k I F R 5 c G U u e y A g U 3 R h c n R l Z C B B d C A g L D Z 9 J n F 1 b 3 Q 7 L C Z x d W 9 0 O 1 N l Y 3 R p b 2 4 x L 3 R h Y m x l L W V 4 c G 9 y d C 9 D a G F u Z 2 V k I F R 5 c G U u e y A g U m V x d W V z d C B T d W J q Z W N 0 I C A s N 3 0 m c X V v d D s s J n F 1 b 3 Q 7 U 2 V j d G l v b j E v d G F i b G U t Z X h w b 3 J 0 L 0 N o Y W 5 n Z W Q g V H l w Z S 5 7 I C B J b m l 0 a W F s I E V u d H J 5 I C A s O H 0 m c X V v d D s s J n F 1 b 3 Q 7 U 2 V j d G l v b j E v d G F i b G U t Z X h w b 3 J 0 L 0 N o Y W 5 n Z W Q g V H l w Z S 5 7 I C B G b 2 x s b 3 c t V X A g I C w 5 f S Z x d W 9 0 O y w m c X V v d D t T Z W N 0 a W 9 u M S 9 0 Y W J s Z S 1 l e H B v c n Q v Q 2 h h b m d l Z C B U e X B l L n s g I F J l c X V l c 3 R l Z C B D Y X B h Y m l s a X R 5 I C A s M T B 9 J n F 1 b 3 Q 7 X S w m c X V v d D t D b 2 x 1 b W 5 D b 3 V u d C Z x d W 9 0 O z o x M S w m c X V v d D t L Z X l D b 2 x 1 b W 5 O Y W 1 l c y Z x d W 9 0 O z p b X S w m c X V v d D t D b 2 x 1 b W 5 J Z G V u d G l 0 a W V z J n F 1 b 3 Q 7 O l s m c X V v d D t T Z W N 0 a W 9 u M S 9 0 Y W J s Z S 1 l e H B v c n Q v Q 2 h h b m d l Z C B U e X B l L n s g I F R y Y W N r Z X I g T n V t Y m V y I C A s M H 0 m c X V v d D s s J n F 1 b 3 Q 7 U 2 V j d G l v b j E v d G F i b G U t Z X h w b 3 J 0 L 0 N o Y W 5 n Z W Q g V H l w Z S 5 7 I C B S Z X F 1 Z X N 0 a W 5 n I E F n Z W 5 j e S A g L D F 9 J n F 1 b 3 Q 7 L C Z x d W 9 0 O 1 N l Y 3 R p b 2 4 x L 3 R h Y m x l L W V 4 c G 9 y d C 9 D a G F u Z 2 V k I F R 5 c G U u e y A g T G F z d C B V c G R h d G V k I E F 0 I C A s M n 0 m c X V v d D s s J n F 1 b 3 Q 7 U 2 V j d G l v b j E v d G F i b G U t Z X h w b 3 J 0 L 0 N o Y W 5 n Z W Q g V H l w Z S 5 7 I C B T d W J q Z W N 0 I C A s M 3 0 m c X V v d D s s J n F 1 b 3 Q 7 U 2 V j d G l v b j E v d G F i b G U t Z X h w b 3 J 0 L 0 N o Y W 5 n Z W Q g V H l w Z S 5 7 I C B B c 3 N p Z 2 5 l Z C B V b m l 0 I C A s N H 0 m c X V v d D s s J n F 1 b 3 Q 7 U 2 V j d G l v b j E v d G F i b G U t Z X h w b 3 J 0 L 0 N o Y W 5 n Z W Q g V H l w Z S 5 7 I C B T d G F 0 d X M g I C w 1 f S Z x d W 9 0 O y w m c X V v d D t T Z W N 0 a W 9 u M S 9 0 Y W J s Z S 1 l e H B v c n Q v Q 2 h h b m d l Z C B U e X B l L n s g I F N 0 Y X J 0 Z W Q g Q X Q g I C w 2 f S Z x d W 9 0 O y w m c X V v d D t T Z W N 0 a W 9 u M S 9 0 Y W J s Z S 1 l e H B v c n Q v Q 2 h h b m d l Z C B U e X B l L n s g I F J l c X V l c 3 Q g U 3 V i a m V j d C A g L D d 9 J n F 1 b 3 Q 7 L C Z x d W 9 0 O 1 N l Y 3 R p b 2 4 x L 3 R h Y m x l L W V 4 c G 9 y d C 9 D a G F u Z 2 V k I F R 5 c G U u e y A g S W 5 p d G l h b C B F b n R y e S A g L D h 9 J n F 1 b 3 Q 7 L C Z x d W 9 0 O 1 N l Y 3 R p b 2 4 x L 3 R h Y m x l L W V 4 c G 9 y d C 9 D a G F u Z 2 V k I F R 5 c G U u e y A g R m 9 s b G 9 3 L V V w I C A s O X 0 m c X V v d D s s J n F 1 b 3 Q 7 U 2 V j d G l v b j E v d G F i b G U t Z X h w b 3 J 0 L 0 N o Y W 5 n Z W Q g V H l w Z S 5 7 I C B S Z X F 1 Z X N 0 Z W Q g Q 2 F w Y W J p b G l 0 e S A g L D E w f S Z x d W 9 0 O 1 0 s J n F 1 b 3 Q 7 U m V s Y X R p b 2 5 z a G l w S W 5 m b y Z x d W 9 0 O z p b X X 0 i I C 8 + P C 9 T d G F i b G V F b n R y a W V z P j w v S X R l b T 4 8 S X R l b T 4 8 S X R l b U x v Y 2 F 0 a W 9 u P j x J d G V t V H l w Z T 5 G b 3 J t d W x h P C 9 J d G V t V H l w Z T 4 8 S X R l b V B h d G g + U 2 V j d G l v b j E v d G F i b G U t Z X h w b 3 J 0 J T I w K D E 0 K S 9 T b 3 V y Y 2 U 8 L 0 l 0 Z W 1 Q Y X R o P j w v S X R l b U x v Y 2 F 0 a W 9 u P j x T d G F i b G V F b n R y a W V z I C 8 + P C 9 J d G V t P j x J d G V t P j x J d G V t T G 9 j Y X R p b 2 4 + P E l 0 Z W 1 U e X B l P k Z v c m 1 1 b G E 8 L 0 l 0 Z W 1 U e X B l P j x J d G V t U G F 0 a D 5 T Z W N 0 a W 9 u M S 9 0 Y W J s Z S 1 l e H B v c n Q l M j A o M T Q p L 1 B y b 2 1 v d G V k J T I w S G V h Z G V y c z w v S X R l b V B h d G g + P C 9 J d G V t T G 9 j Y X R p b 2 4 + P F N 0 Y W J s Z U V u d H J p Z X M g L z 4 8 L 0 l 0 Z W 0 + P E l 0 Z W 0 + P E l 0 Z W 1 M b 2 N h d G l v b j 4 8 S X R l b V R 5 c G U + R m 9 y b X V s Y T w v S X R l b V R 5 c G U + P E l 0 Z W 1 Q Y X R o P l N l Y 3 R p b 2 4 x L 3 R h Y m x l L W V 4 c G 9 y d C U y M C g x N C k v Q 2 h h b m d l Z C U y M F R 5 c G U 8 L 0 l 0 Z W 1 Q Y X R o P j w v S X R l b U x v Y 2 F 0 a W 9 u P j x T d G F i b G V F b n R y a W V z I C 8 + P C 9 J d G V t P j x J d G V t P j x J d G V t T G 9 j Y X R p b 2 4 + P E l 0 Z W 1 U e X B l P k Z v c m 1 1 b G E 8 L 0 l 0 Z W 1 U e X B l P j x J d G V t U G F 0 a D 5 T Z W N 0 a W 9 u M S 9 0 Y W J s Z S 1 l e H B v c n Q l M j A o M T 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F c n J v c k N v d W 5 0 I i B W Y W x 1 Z T 0 i b D A i I C 8 + P E V u d H J 5 I F R 5 c G U 9 I k Z p b G x F c n J v c k N v Z G U i I F Z h b H V l P S J z V W 5 r b m 9 3 b i I g L z 4 8 R W 5 0 c n k g V H l w Z T 0 i R m l s b E N v d W 5 0 I i B W Y W x 1 Z T 0 i b D Q 0 O S I g L z 4 8 R W 5 0 c n k g V H l w Z T 0 i U X V l c n l J R C I g V m F s d W U 9 I n N h N 2 J m Z j I 2 Z S 0 z M G I 4 L T R l N z A t Y m F j N S 0 1 N T l h Z G M 0 N z Q 2 M T A i I C 8 + P E V u d H J 5 I F R 5 c G U 9 I k F k Z G V k V G 9 E Y X R h T W 9 k Z W w i I F Z h b H V l P S J s M C I g L z 4 8 R W 5 0 c n k g V H l w Z T 0 i R m l s b E x h c 3 R V c G R h d G V k I i B W Y W x 1 Z T 0 i Z D I w M j A t M D g t M T B U M T Q 6 N D E 6 M D Y u M j A w N j c w N l o i I C 8 + P E V u d H J 5 I F R 5 c G U 9 I k Z p b G x D b 2 x 1 b W 5 U e X B l c y I g V m F s d W U 9 I n N C Z 1 l I Q m d Z R 0 J 3 W U d C Z 1 k 9 I i A v P j x F b n R y e S B U e X B l P S J G a W x s Q 2 9 s d W 1 u T m F t Z X M i I F Z h b H V l P S J z W y Z x d W 9 0 O y A g V H J h Y 2 t l c i B O d W 1 i Z X I g I C Z x d W 9 0 O y w m c X V v d D s g I F J l c X V l c 3 R p b m c g Q W d l b m N 5 I C A m c X V v d D s s J n F 1 b 3 Q 7 I C B M Y X N 0 I F V w Z G F 0 Z W Q g Q X Q g I C Z x d W 9 0 O y w m c X V v d D s g I F N 1 Y m p l Y 3 Q g I C Z x d W 9 0 O y w m c X V v d D s g I E F z c 2 l n b m V k I F V u a X Q g I C Z x d W 9 0 O y w m c X V v d D s g I F N 0 Y X R 1 c y A g J n F 1 b 3 Q 7 L C Z x d W 9 0 O y A g U 3 R h c n R l Z C B B d C A g J n F 1 b 3 Q 7 L C Z x d W 9 0 O y A g U m V x d W V z d C B T d W J q Z W N 0 I C A m c X V v d D s s J n F 1 b 3 Q 7 I C B J b m l 0 a W F s I E V u d H J 5 I C A m c X V v d D s s J n F 1 b 3 Q 7 I C B G b 2 x s b 3 c t V X A g I C Z x d W 9 0 O y w m c X V v d D s g I F J l c X V l c 3 R l Z C B D Y X B h Y m l s a X R 5 I C 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d G F i b G U t Z X h w b 3 J 0 L 0 N o Y W 5 n Z W Q g V H l w Z S 5 7 I C B U c m F j a 2 V y I E 5 1 b W J l c i A g L D B 9 J n F 1 b 3 Q 7 L C Z x d W 9 0 O 1 N l Y 3 R p b 2 4 x L 3 R h Y m x l L W V 4 c G 9 y d C 9 D a G F u Z 2 V k I F R 5 c G U u e y A g U m V x d W V z d G l u Z y B B Z 2 V u Y 3 k g I C w x f S Z x d W 9 0 O y w m c X V v d D t T Z W N 0 a W 9 u M S 9 0 Y W J s Z S 1 l e H B v c n Q v Q 2 h h b m d l Z C B U e X B l L n s g I E x h c 3 Q g V X B k Y X R l Z C B B d C A g L D J 9 J n F 1 b 3 Q 7 L C Z x d W 9 0 O 1 N l Y 3 R p b 2 4 x L 3 R h Y m x l L W V 4 c G 9 y d C 9 D a G F u Z 2 V k I F R 5 c G U u e y A g U 3 V i a m V j d C A g L D N 9 J n F 1 b 3 Q 7 L C Z x d W 9 0 O 1 N l Y 3 R p b 2 4 x L 3 R h Y m x l L W V 4 c G 9 y d C 9 D a G F u Z 2 V k I F R 5 c G U u e y A g Q X N z a W d u Z W Q g V W 5 p d C A g L D R 9 J n F 1 b 3 Q 7 L C Z x d W 9 0 O 1 N l Y 3 R p b 2 4 x L 3 R h Y m x l L W V 4 c G 9 y d C 9 D a G F u Z 2 V k I F R 5 c G U u e y A g U 3 R h d H V z I C A s N X 0 m c X V v d D s s J n F 1 b 3 Q 7 U 2 V j d G l v b j E v d G F i b G U t Z X h w b 3 J 0 L 0 N o Y W 5 n Z W Q g V H l w Z S 5 7 I C B T d G F y d G V k I E F 0 I C A s N n 0 m c X V v d D s s J n F 1 b 3 Q 7 U 2 V j d G l v b j E v d G F i b G U t Z X h w b 3 J 0 L 0 N o Y W 5 n Z W Q g V H l w Z S 5 7 I C B S Z X F 1 Z X N 0 I F N 1 Y m p l Y 3 Q g I C w 3 f S Z x d W 9 0 O y w m c X V v d D t T Z W N 0 a W 9 u M S 9 0 Y W J s Z S 1 l e H B v c n Q v Q 2 h h b m d l Z C B U e X B l L n s g I E l u a X R p Y W w g R W 5 0 c n k g I C w 4 f S Z x d W 9 0 O y w m c X V v d D t T Z W N 0 a W 9 u M S 9 0 Y W J s Z S 1 l e H B v c n Q v Q 2 h h b m d l Z C B U e X B l L n s g I E Z v b G x v d y 1 V c C A g L D l 9 J n F 1 b 3 Q 7 L C Z x d W 9 0 O 1 N l Y 3 R p b 2 4 x L 3 R h Y m x l L W V 4 c G 9 y d C 9 D a G F u Z 2 V k I F R 5 c G U u e y A g U m V x d W V z d G V k I E N h c G F i a W x p d H k g I C w x M H 0 m c X V v d D t d L C Z x d W 9 0 O 0 N v b H V t b k N v d W 5 0 J n F 1 b 3 Q 7 O j E x L C Z x d W 9 0 O 0 t l e U N v b H V t b k 5 h b W V z J n F 1 b 3 Q 7 O l t d L C Z x d W 9 0 O 0 N v b H V t b k l k Z W 5 0 a X R p Z X M m c X V v d D s 6 W y Z x d W 9 0 O 1 N l Y 3 R p b 2 4 x L 3 R h Y m x l L W V 4 c G 9 y d C 9 D a G F u Z 2 V k I F R 5 c G U u e y A g V H J h Y 2 t l c i B O d W 1 i Z X I g I C w w f S Z x d W 9 0 O y w m c X V v d D t T Z W N 0 a W 9 u M S 9 0 Y W J s Z S 1 l e H B v c n Q v Q 2 h h b m d l Z C B U e X B l L n s g I F J l c X V l c 3 R p b m c g Q W d l b m N 5 I C A s M X 0 m c X V v d D s s J n F 1 b 3 Q 7 U 2 V j d G l v b j E v d G F i b G U t Z X h w b 3 J 0 L 0 N o Y W 5 n Z W Q g V H l w Z S 5 7 I C B M Y X N 0 I F V w Z G F 0 Z W Q g Q X Q g I C w y f S Z x d W 9 0 O y w m c X V v d D t T Z W N 0 a W 9 u M S 9 0 Y W J s Z S 1 l e H B v c n Q v Q 2 h h b m d l Z C B U e X B l L n s g I F N 1 Y m p l Y 3 Q g I C w z f S Z x d W 9 0 O y w m c X V v d D t T Z W N 0 a W 9 u M S 9 0 Y W J s Z S 1 l e H B v c n Q v Q 2 h h b m d l Z C B U e X B l L n s g I E F z c 2 l n b m V k I F V u a X Q g I C w 0 f S Z x d W 9 0 O y w m c X V v d D t T Z W N 0 a W 9 u M S 9 0 Y W J s Z S 1 l e H B v c n Q v Q 2 h h b m d l Z C B U e X B l L n s g I F N 0 Y X R 1 c y A g L D V 9 J n F 1 b 3 Q 7 L C Z x d W 9 0 O 1 N l Y 3 R p b 2 4 x L 3 R h Y m x l L W V 4 c G 9 y d C 9 D a G F u Z 2 V k I F R 5 c G U u e y A g U 3 R h c n R l Z C B B d C A g L D Z 9 J n F 1 b 3 Q 7 L C Z x d W 9 0 O 1 N l Y 3 R p b 2 4 x L 3 R h Y m x l L W V 4 c G 9 y d C 9 D a G F u Z 2 V k I F R 5 c G U u e y A g U m V x d W V z d C B T d W J q Z W N 0 I C A s N 3 0 m c X V v d D s s J n F 1 b 3 Q 7 U 2 V j d G l v b j E v d G F i b G U t Z X h w b 3 J 0 L 0 N o Y W 5 n Z W Q g V H l w Z S 5 7 I C B J b m l 0 a W F s I E V u d H J 5 I C A s O H 0 m c X V v d D s s J n F 1 b 3 Q 7 U 2 V j d G l v b j E v d G F i b G U t Z X h w b 3 J 0 L 0 N o Y W 5 n Z W Q g V H l w Z S 5 7 I C B G b 2 x s b 3 c t V X A g I C w 5 f S Z x d W 9 0 O y w m c X V v d D t T Z W N 0 a W 9 u M S 9 0 Y W J s Z S 1 l e H B v c n Q v Q 2 h h b m d l Z C B U e X B l L n s g I F J l c X V l c 3 R l Z C B D Y X B h Y m l s a X R 5 I C A s M T B 9 J n F 1 b 3 Q 7 X S w m c X V v d D t S Z W x h d G l v b n N o a X B J b m Z v J n F 1 b 3 Q 7 O l t d f S I g L z 4 8 L 1 N 0 Y W J s Z U V u d H J p Z X M + P C 9 J d G V t P j x J d G V t P j x J d G V t T G 9 j Y X R p b 2 4 + P E l 0 Z W 1 U e X B l P k Z v c m 1 1 b G E 8 L 0 l 0 Z W 1 U e X B l P j x J d G V t U G F 0 a D 5 T Z W N 0 a W 9 u M S 9 0 Y W J s Z S 1 l e H B v c n Q l M j A o M T U p L 1 N v d X J j Z T w v S X R l b V B h d G g + P C 9 J d G V t T G 9 j Y X R p b 2 4 + P F N 0 Y W J s Z U V u d H J p Z X M g L z 4 8 L 0 l 0 Z W 0 + P E l 0 Z W 0 + P E l 0 Z W 1 M b 2 N h d G l v b j 4 8 S X R l b V R 5 c G U + R m 9 y b X V s Y T w v S X R l b V R 5 c G U + P E l 0 Z W 1 Q Y X R o P l N l Y 3 R p b 2 4 x L 3 R h Y m x l L W V 4 c G 9 y d C U y M C g x N S k v U H J v b W 9 0 Z W Q l M j B I Z W F k Z X J z P C 9 J d G V t U G F 0 a D 4 8 L 0 l 0 Z W 1 M b 2 N h d G l v b j 4 8 U 3 R h Y m x l R W 5 0 c m l l c y A v P j w v S X R l b T 4 8 S X R l b T 4 8 S X R l b U x v Y 2 F 0 a W 9 u P j x J d G V t V H l w Z T 5 G b 3 J t d W x h P C 9 J d G V t V H l w Z T 4 8 S X R l b V B h d G g + U 2 V j d G l v b j E v d G F i b G U t Z X h w b 3 J 0 J T I w K D E 1 K S 9 D a G F u Z 2 V k J T I w V H l w Z T w v S X R l b V B h d G g + P C 9 J d G V t T G 9 j Y X R p b 2 4 + P F N 0 Y W J s Z U V u d H J p Z X M g L z 4 8 L 0 l 0 Z W 0 + P E l 0 Z W 0 + P E l 0 Z W 1 M b 2 N h d G l v b j 4 8 S X R l b V R 5 c G U + R m 9 y b X V s Y T w v S X R l b V R 5 c G U + P E l 0 Z W 1 Q Y X R o P l N l Y 3 R p b 2 4 x L 3 R h Y m x l L W V 4 c G 9 y d C U y M C g x N 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F i b G V f Z X h w b 3 J 0 X z M z I i A v P j x F b n R y e S B U e X B l P S J G a W x s Z W R D b 2 1 w b G V 0 Z V J l c 3 V s d F R v V 2 9 y a 3 N o Z W V 0 I i B W Y W x 1 Z T 0 i b D E i I C 8 + P E V u d H J 5 I F R 5 c G U 9 I k Z p b G x F c n J v c k N v d W 5 0 I i B W Y W x 1 Z T 0 i b D A i I C 8 + P E V u d H J 5 I F R 5 c G U 9 I k Z p b G x F c n J v c k N v Z G U i I F Z h b H V l P S J z V W 5 r b m 9 3 b i I g L z 4 8 R W 5 0 c n k g V H l w Z T 0 i R m l s b E N v d W 5 0 I i B W Y W x 1 Z T 0 i b D Q 1 M y I g L z 4 8 R W 5 0 c n k g V H l w Z T 0 i U X V l c n l J R C I g V m F s d W U 9 I n N h N 2 J m Z j I 2 Z S 0 z M G I 4 L T R l N z A t Y m F j N S 0 1 N T l h Z G M 0 N z Q 2 M T A i I C 8 + P E V u d H J 5 I F R 5 c G U 9 I k F k Z G V k V G 9 E Y X R h T W 9 k Z W w i I F Z h b H V l P S J s M C I g L z 4 8 R W 5 0 c n k g V H l w Z T 0 i R m l s b E x h c 3 R V c G R h d G V k I i B W Y W x 1 Z T 0 i Z D I w M j A t M D g t M T N U M T Y 6 M z Y 6 N D c u M z g w N T g w N F o i I C 8 + P E V u d H J 5 I F R 5 c G U 9 I k Z p b G x D b 2 x 1 b W 5 U e X B l c y I g V m F s d W U 9 I n N C Z 1 l I Q m d Z R 0 J 3 W U d C Z 1 k 9 I i A v P j x F b n R y e S B U e X B l P S J G a W x s Q 2 9 s d W 1 u T m F t Z X M i I F Z h b H V l P S J z W y Z x d W 9 0 O y A g V H J h Y 2 t l c i B O d W 1 i Z X I g I C Z x d W 9 0 O y w m c X V v d D s g I F J l c X V l c 3 R p b m c g Q W d l b m N 5 I C A m c X V v d D s s J n F 1 b 3 Q 7 I C B M Y X N 0 I F V w Z G F 0 Z W Q g Q X Q g I C Z x d W 9 0 O y w m c X V v d D s g I F N 1 Y m p l Y 3 Q g I C Z x d W 9 0 O y w m c X V v d D s g I E F z c 2 l n b m V k I F V u a X Q g I C Z x d W 9 0 O y w m c X V v d D s g I F N 0 Y X R 1 c y A g J n F 1 b 3 Q 7 L C Z x d W 9 0 O y A g U 3 R h c n R l Z C B B d C A g J n F 1 b 3 Q 7 L C Z x d W 9 0 O y A g U m V x d W V z d C B T d W J q Z W N 0 I C A m c X V v d D s s J n F 1 b 3 Q 7 I C B J b m l 0 a W F s I E V u d H J 5 I C A m c X V v d D s s J n F 1 b 3 Q 7 I C B G b 2 x s b 3 c t V X A g I C Z x d W 9 0 O y w m c X V v d D s g I F J l c X V l c 3 R l Z C B D Y X B h Y m l s a X R 5 I C 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d G F i b G U t Z X h w b 3 J 0 L 0 N o Y W 5 n Z W Q g V H l w Z S 5 7 I C B U c m F j a 2 V y I E 5 1 b W J l c i A g L D B 9 J n F 1 b 3 Q 7 L C Z x d W 9 0 O 1 N l Y 3 R p b 2 4 x L 3 R h Y m x l L W V 4 c G 9 y d C 9 D a G F u Z 2 V k I F R 5 c G U u e y A g U m V x d W V z d G l u Z y B B Z 2 V u Y 3 k g I C w x f S Z x d W 9 0 O y w m c X V v d D t T Z W N 0 a W 9 u M S 9 0 Y W J s Z S 1 l e H B v c n Q v Q 2 h h b m d l Z C B U e X B l L n s g I E x h c 3 Q g V X B k Y X R l Z C B B d C A g L D J 9 J n F 1 b 3 Q 7 L C Z x d W 9 0 O 1 N l Y 3 R p b 2 4 x L 3 R h Y m x l L W V 4 c G 9 y d C 9 D a G F u Z 2 V k I F R 5 c G U u e y A g U 3 V i a m V j d C A g L D N 9 J n F 1 b 3 Q 7 L C Z x d W 9 0 O 1 N l Y 3 R p b 2 4 x L 3 R h Y m x l L W V 4 c G 9 y d C 9 D a G F u Z 2 V k I F R 5 c G U u e y A g Q X N z a W d u Z W Q g V W 5 p d C A g L D R 9 J n F 1 b 3 Q 7 L C Z x d W 9 0 O 1 N l Y 3 R p b 2 4 x L 3 R h Y m x l L W V 4 c G 9 y d C 9 D a G F u Z 2 V k I F R 5 c G U u e y A g U 3 R h d H V z I C A s N X 0 m c X V v d D s s J n F 1 b 3 Q 7 U 2 V j d G l v b j E v d G F i b G U t Z X h w b 3 J 0 L 0 N o Y W 5 n Z W Q g V H l w Z S 5 7 I C B T d G F y d G V k I E F 0 I C A s N n 0 m c X V v d D s s J n F 1 b 3 Q 7 U 2 V j d G l v b j E v d G F i b G U t Z X h w b 3 J 0 L 0 N o Y W 5 n Z W Q g V H l w Z S 5 7 I C B S Z X F 1 Z X N 0 I F N 1 Y m p l Y 3 Q g I C w 3 f S Z x d W 9 0 O y w m c X V v d D t T Z W N 0 a W 9 u M S 9 0 Y W J s Z S 1 l e H B v c n Q v Q 2 h h b m d l Z C B U e X B l L n s g I E l u a X R p Y W w g R W 5 0 c n k g I C w 4 f S Z x d W 9 0 O y w m c X V v d D t T Z W N 0 a W 9 u M S 9 0 Y W J s Z S 1 l e H B v c n Q v Q 2 h h b m d l Z C B U e X B l L n s g I E Z v b G x v d y 1 V c C A g L D l 9 J n F 1 b 3 Q 7 L C Z x d W 9 0 O 1 N l Y 3 R p b 2 4 x L 3 R h Y m x l L W V 4 c G 9 y d C 9 D a G F u Z 2 V k I F R 5 c G U u e y A g U m V x d W V z d G V k I E N h c G F i a W x p d H k g I C w x M H 0 m c X V v d D t d L C Z x d W 9 0 O 0 N v b H V t b k N v d W 5 0 J n F 1 b 3 Q 7 O j E x L C Z x d W 9 0 O 0 t l e U N v b H V t b k 5 h b W V z J n F 1 b 3 Q 7 O l t d L C Z x d W 9 0 O 0 N v b H V t b k l k Z W 5 0 a X R p Z X M m c X V v d D s 6 W y Z x d W 9 0 O 1 N l Y 3 R p b 2 4 x L 3 R h Y m x l L W V 4 c G 9 y d C 9 D a G F u Z 2 V k I F R 5 c G U u e y A g V H J h Y 2 t l c i B O d W 1 i Z X I g I C w w f S Z x d W 9 0 O y w m c X V v d D t T Z W N 0 a W 9 u M S 9 0 Y W J s Z S 1 l e H B v c n Q v Q 2 h h b m d l Z C B U e X B l L n s g I F J l c X V l c 3 R p b m c g Q W d l b m N 5 I C A s M X 0 m c X V v d D s s J n F 1 b 3 Q 7 U 2 V j d G l v b j E v d G F i b G U t Z X h w b 3 J 0 L 0 N o Y W 5 n Z W Q g V H l w Z S 5 7 I C B M Y X N 0 I F V w Z G F 0 Z W Q g Q X Q g I C w y f S Z x d W 9 0 O y w m c X V v d D t T Z W N 0 a W 9 u M S 9 0 Y W J s Z S 1 l e H B v c n Q v Q 2 h h b m d l Z C B U e X B l L n s g I F N 1 Y m p l Y 3 Q g I C w z f S Z x d W 9 0 O y w m c X V v d D t T Z W N 0 a W 9 u M S 9 0 Y W J s Z S 1 l e H B v c n Q v Q 2 h h b m d l Z C B U e X B l L n s g I E F z c 2 l n b m V k I F V u a X Q g I C w 0 f S Z x d W 9 0 O y w m c X V v d D t T Z W N 0 a W 9 u M S 9 0 Y W J s Z S 1 l e H B v c n Q v Q 2 h h b m d l Z C B U e X B l L n s g I F N 0 Y X R 1 c y A g L D V 9 J n F 1 b 3 Q 7 L C Z x d W 9 0 O 1 N l Y 3 R p b 2 4 x L 3 R h Y m x l L W V 4 c G 9 y d C 9 D a G F u Z 2 V k I F R 5 c G U u e y A g U 3 R h c n R l Z C B B d C A g L D Z 9 J n F 1 b 3 Q 7 L C Z x d W 9 0 O 1 N l Y 3 R p b 2 4 x L 3 R h Y m x l L W V 4 c G 9 y d C 9 D a G F u Z 2 V k I F R 5 c G U u e y A g U m V x d W V z d C B T d W J q Z W N 0 I C A s N 3 0 m c X V v d D s s J n F 1 b 3 Q 7 U 2 V j d G l v b j E v d G F i b G U t Z X h w b 3 J 0 L 0 N o Y W 5 n Z W Q g V H l w Z S 5 7 I C B J b m l 0 a W F s I E V u d H J 5 I C A s O H 0 m c X V v d D s s J n F 1 b 3 Q 7 U 2 V j d G l v b j E v d G F i b G U t Z X h w b 3 J 0 L 0 N o Y W 5 n Z W Q g V H l w Z S 5 7 I C B G b 2 x s b 3 c t V X A g I C w 5 f S Z x d W 9 0 O y w m c X V v d D t T Z W N 0 a W 9 u M S 9 0 Y W J s Z S 1 l e H B v c n Q v Q 2 h h b m d l Z C B U e X B l L n s g I F J l c X V l c 3 R l Z C B D Y X B h Y m l s a X R 5 I C A s M T B 9 J n F 1 b 3 Q 7 X S w m c X V v d D t S Z W x h d G l v b n N o a X B J b m Z v J n F 1 b 3 Q 7 O l t d f S I g L z 4 8 L 1 N 0 Y W J s Z U V u d H J p Z X M + P C 9 J d G V t P j x J d G V t P j x J d G V t T G 9 j Y X R p b 2 4 + P E l 0 Z W 1 U e X B l P k Z v c m 1 1 b G E 8 L 0 l 0 Z W 1 U e X B l P j x J d G V t U G F 0 a D 5 T Z W N 0 a W 9 u M S 9 0 Y W J s Z S 1 l e H B v c n Q l M j A o M T Y p L 1 N v d X J j Z T w v S X R l b V B h d G g + P C 9 J d G V t T G 9 j Y X R p b 2 4 + P F N 0 Y W J s Z U V u d H J p Z X M g L z 4 8 L 0 l 0 Z W 0 + P E l 0 Z W 0 + P E l 0 Z W 1 M b 2 N h d G l v b j 4 8 S X R l b V R 5 c G U + R m 9 y b X V s Y T w v S X R l b V R 5 c G U + P E l 0 Z W 1 Q Y X R o P l N l Y 3 R p b 2 4 x L 3 R h Y m x l L W V 4 c G 9 y d C U y M C g x N i k v U H J v b W 9 0 Z W Q l M j B I Z W F k Z X J z P C 9 J d G V t U G F 0 a D 4 8 L 0 l 0 Z W 1 M b 2 N h d G l v b j 4 8 U 3 R h Y m x l R W 5 0 c m l l c y A v P j w v S X R l b T 4 8 S X R l b T 4 8 S X R l b U x v Y 2 F 0 a W 9 u P j x J d G V t V H l w Z T 5 G b 3 J t d W x h P C 9 J d G V t V H l w Z T 4 8 S X R l b V B h d G g + U 2 V j d G l v b j E v d G F i b G U t Z X h w b 3 J 0 J T I w K D E 2 K S 9 D a G F u Z 2 V k J T I w V H l w Z T w v S X R l b V B h d G g + P C 9 J d G V t T G 9 j Y X R p b 2 4 + P F N 0 Y W J s Z U V u d H J p Z X M g L z 4 8 L 0 l 0 Z W 0 + P C 9 J d G V t c z 4 8 L 0 x v Y 2 F s U G F j a 2 F n Z U 1 l d G F k Y X R h R m l s Z T 4 W A A A A U E s F B g A A A A A A A A A A A A A A A A A A A A A A A N o A A A A B A A A A 0 I y d 3 w E V 0 R G M e g D A T 8 K X 6 w E A A A A T i z 1 N L j t 9 Q J R 7 y 4 r 0 t X C S A A A A A A I A A A A A A A N m A A D A A A A A E A A A A O v w R q 1 D B S e m q + w / l d u j M C o A A A A A B I A A A K A A A A A Q A A A A B z g l r W m n t k T y m F l o 3 T t k I l A A A A A U C 8 p B n z o u 1 x R u 6 Q n d J 7 t 8 H E A R 6 4 f 8 F / s Y v B W c p n K M + m l A w B Y Y Y n j E k H U X O d F R v N l c r K o d K l i Y y G N N s W E x 9 r J O 1 q Z i A T C D L B o e / w G a D h 9 m 8 x Q A A A B j N b i 1 s I S q I 3 A O A T X O m H 6 K C b 2 m K g = = < / D a t a M a s h u p > 
</file>

<file path=customXml/item2.xml><?xml version="1.0" encoding="utf-8"?>
<ct:contentTypeSchema xmlns:ct="http://schemas.microsoft.com/office/2006/metadata/contentType" xmlns:ma="http://schemas.microsoft.com/office/2006/metadata/properties/metaAttributes" ct:_="" ma:_="" ma:contentTypeName="Document" ma:contentTypeID="0x0101007EECB0CD8D3E3F458A1B32901CB27F1C" ma:contentTypeVersion="21" ma:contentTypeDescription="Create a new document." ma:contentTypeScope="" ma:versionID="9497e2619dec711a653ce4b390626bc0">
  <xsd:schema xmlns:xsd="http://www.w3.org/2001/XMLSchema" xmlns:xs="http://www.w3.org/2001/XMLSchema" xmlns:p="http://schemas.microsoft.com/office/2006/metadata/properties" xmlns:ns2="1f4cffc8-344e-4f70-86b7-6274cde06399" xmlns:ns3="9c55fab9-e760-4b42-81dd-6e9ffbf8d350" targetNamespace="http://schemas.microsoft.com/office/2006/metadata/properties" ma:root="true" ma:fieldsID="6eb39a83635f9016d687fe866505eda4" ns2:_="" ns3:_="">
    <xsd:import namespace="1f4cffc8-344e-4f70-86b7-6274cde06399"/>
    <xsd:import namespace="9c55fab9-e760-4b42-81dd-6e9ffbf8d35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Section" minOccurs="0"/>
                <xsd:element ref="ns2:Number" minOccurs="0"/>
                <xsd:element ref="ns2:MediaServiceDateTaken" minOccurs="0"/>
                <xsd:element ref="ns2:MediaServiceAutoTags" minOccurs="0"/>
                <xsd:element ref="ns2:MediaServiceLocation" minOccurs="0"/>
                <xsd:element ref="ns2:MediaServiceAutoKeyPoints" minOccurs="0"/>
                <xsd:element ref="ns2:MediaServiceKeyPoints" minOccurs="0"/>
                <xsd:element ref="ns2:Division" minOccurs="0"/>
                <xsd:element ref="ns2:MediaServiceOCR" minOccurs="0"/>
                <xsd:element ref="ns2:MediaServiceGenerationTime" minOccurs="0"/>
                <xsd:element ref="ns2:MediaServiceEventHashCode" minOccurs="0"/>
                <xsd:element ref="ns2:DocType"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4cffc8-344e-4f70-86b7-6274cde06399" elementFormDefault="qualified">
    <xsd:import namespace="http://schemas.microsoft.com/office/2006/documentManagement/types"/>
    <xsd:import namespace="http://schemas.microsoft.com/office/infopath/2007/PartnerControls"/>
    <xsd:element name="MediaServiceMetadata" ma:index="5" nillable="true" ma:displayName="MediaServiceMetadata" ma:hidden="true" ma:internalName="MediaServiceMetadata" ma:readOnly="true">
      <xsd:simpleType>
        <xsd:restriction base="dms:Note"/>
      </xsd:simpleType>
    </xsd:element>
    <xsd:element name="MediaServiceFastMetadata" ma:index="6" nillable="true" ma:displayName="MediaServiceFastMetadata" ma:hidden="true" ma:internalName="MediaServiceFastMetadata" ma:readOnly="true">
      <xsd:simpleType>
        <xsd:restriction base="dms:Note"/>
      </xsd:simpleType>
    </xsd:element>
    <xsd:element name="Section" ma:index="12" nillable="true" ma:displayName="Section" ma:format="Dropdown" ma:internalName="Section" ma:percentage="FALSE">
      <xsd:simpleType>
        <xsd:restriction base="dms:Number"/>
      </xsd:simpleType>
    </xsd:element>
    <xsd:element name="Number" ma:index="13" nillable="true" ma:displayName="Number" ma:format="Dropdown" ma:internalName="Number" ma:percentage="FALSE">
      <xsd:simpleType>
        <xsd:restriction base="dms:Number"/>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ivision" ma:index="19" nillable="true" ma:displayName="Source" ma:description="Originating Division, Dept or meeting group" ma:format="Dropdown" ma:internalName="Division">
      <xsd:simpleType>
        <xsd:restriction base="dms:Choice">
          <xsd:enumeration value="ABS"/>
          <xsd:enumeration value="ABU"/>
          <xsd:enumeration value="BS"/>
          <xsd:enumeration value="CAP"/>
          <xsd:enumeration value="CD"/>
          <xsd:enumeration value="CP"/>
          <xsd:enumeration value="CS"/>
          <xsd:enumeration value="DO"/>
          <xsd:enumeration value="DOC"/>
          <xsd:enumeration value="EOC"/>
          <xsd:enumeration value="FO"/>
          <xsd:enumeration value="FBU"/>
          <xsd:enumeration value="FM"/>
          <xsd:enumeration value="HR"/>
          <xsd:enumeration value="IT"/>
          <xsd:enumeration value="LTA"/>
          <xsd:enumeration value="OBU"/>
          <xsd:enumeration value="PC"/>
          <xsd:enumeration value="RES"/>
          <xsd:enumeration value="RM"/>
          <xsd:enumeration value="SAS"/>
          <xsd:enumeration value="TS"/>
        </xsd:restrictio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DocType" ma:index="23" nillable="true" ma:displayName="DocType" ma:description="Type of document" ma:format="Dropdown" ma:internalName="DocType">
      <xsd:simpleType>
        <xsd:restriction base="dms:Choice">
          <xsd:enumeration value="Agenda"/>
          <xsd:enumeration value="COOP"/>
          <xsd:enumeration value="Contact List"/>
          <xsd:enumeration value="Meeting Notes"/>
          <xsd:enumeration value="Plans"/>
          <xsd:enumeration value="Policy"/>
          <xsd:enumeration value="Protocol Memo"/>
          <xsd:enumeration value="Rosters / Schedules"/>
          <xsd:enumeration value="Status/Tracking Reports"/>
          <xsd:enumeration value="Templates"/>
          <xsd:enumeration value="Reference"/>
        </xsd:restriction>
      </xsd:simpleType>
    </xsd:element>
    <xsd:element name="Link" ma:index="24"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c55fab9-e760-4b42-81dd-6e9ffbf8d350" elementFormDefault="qualified">
    <xsd:import namespace="http://schemas.microsoft.com/office/2006/documentManagement/types"/>
    <xsd:import namespace="http://schemas.microsoft.com/office/infopath/2007/PartnerControls"/>
    <xsd:element name="SharedWithUsers" ma:index="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Number xmlns="1f4cffc8-344e-4f70-86b7-6274cde06399" xsi:nil="true"/>
    <DocType xmlns="1f4cffc8-344e-4f70-86b7-6274cde06399" xsi:nil="true"/>
    <Link xmlns="1f4cffc8-344e-4f70-86b7-6274cde06399">
      <Url xsi:nil="true"/>
      <Description xsi:nil="true"/>
    </Link>
    <Division xmlns="1f4cffc8-344e-4f70-86b7-6274cde06399" xsi:nil="true"/>
    <Section xmlns="1f4cffc8-344e-4f70-86b7-6274cde06399" xsi:nil="true"/>
  </documentManagement>
</p:properties>
</file>

<file path=customXml/itemProps1.xml><?xml version="1.0" encoding="utf-8"?>
<ds:datastoreItem xmlns:ds="http://schemas.openxmlformats.org/officeDocument/2006/customXml" ds:itemID="{50125F12-7160-4884-9C6C-618399EEB204}">
  <ds:schemaRefs>
    <ds:schemaRef ds:uri="http://schemas.microsoft.com/DataMashup"/>
  </ds:schemaRefs>
</ds:datastoreItem>
</file>

<file path=customXml/itemProps2.xml><?xml version="1.0" encoding="utf-8"?>
<ds:datastoreItem xmlns:ds="http://schemas.openxmlformats.org/officeDocument/2006/customXml" ds:itemID="{72029CCD-982F-49FC-A56A-D70B10BD84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4cffc8-344e-4f70-86b7-6274cde06399"/>
    <ds:schemaRef ds:uri="9c55fab9-e760-4b42-81dd-6e9ffbf8d3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74A4B9-5B38-43A2-AA76-D951E319588A}">
  <ds:schemaRefs>
    <ds:schemaRef ds:uri="http://schemas.microsoft.com/sharepoint/v3/contenttype/forms"/>
  </ds:schemaRefs>
</ds:datastoreItem>
</file>

<file path=customXml/itemProps4.xml><?xml version="1.0" encoding="utf-8"?>
<ds:datastoreItem xmlns:ds="http://schemas.openxmlformats.org/officeDocument/2006/customXml" ds:itemID="{0012DD66-1E79-4F62-B9A8-38A5EB96C9E3}">
  <ds:schemaRefs>
    <ds:schemaRef ds:uri="http://schemas.microsoft.com/office/2006/metadata/properties"/>
    <ds:schemaRef ds:uri="http://schemas.microsoft.com/office/infopath/2007/PartnerControls"/>
    <ds:schemaRef ds:uri="1f4cffc8-344e-4f70-86b7-6274cde0639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Instructions</vt:lpstr>
      <vt:lpstr>Dashboard</vt:lpstr>
      <vt:lpstr>Projection</vt:lpstr>
      <vt:lpstr>DisplayOrder</vt:lpstr>
      <vt:lpstr>DATA_WebEOC</vt:lpstr>
      <vt:lpstr>Employees Supported</vt:lpstr>
      <vt:lpstr>BurnRate</vt:lpstr>
      <vt:lpstr>FAS_Centralized</vt:lpstr>
      <vt:lpstr>DATA_90_DOS</vt:lpstr>
      <vt:lpstr>Centralized_Converions</vt:lpstr>
      <vt:lpstr>Pivot_OutstandingOrders</vt:lpstr>
      <vt:lpstr>DATA_Orders</vt:lpstr>
      <vt:lpstr>DATA_Depts</vt:lpstr>
      <vt:lpstr>Cheat Sheet</vt:lpstr>
      <vt:lpstr>'Cheat Sheet'!Print_Area</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Matsumoto, Julie</dc:creator>
  <cp:keywords/>
  <dc:description/>
  <cp:lastModifiedBy>Chelsea Greene</cp:lastModifiedBy>
  <cp:revision/>
  <dcterms:created xsi:type="dcterms:W3CDTF">2020-03-18T23:02:39Z</dcterms:created>
  <dcterms:modified xsi:type="dcterms:W3CDTF">2020-09-11T02:34:22Z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0x0101007EECB0CD8D3E3F458A1B32901CB27F1C</vt:lpwstr>
  </property>
</Properties>
</file>