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jan.rune.herheim\Dropbox (Lillebakk)\Lillebakk Team\herheim\Documents\GitHub\LE_NB_IOT_CONTROLLER\doc\"/>
    </mc:Choice>
  </mc:AlternateContent>
  <bookViews>
    <workbookView xWindow="0" yWindow="0" windowWidth="20520" windowHeight="9090" xr2:uid="{00000000-000D-0000-FFFF-FFFF00000000}"/>
  </bookViews>
  <sheets>
    <sheet name="current and lifetime" sheetId="1" r:id="rId1"/>
    <sheet name="data format and storage" sheetId="2" r:id="rId2"/>
    <sheet name="ADC measurement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2" i="3"/>
  <c r="H3" i="3"/>
  <c r="H4" i="3"/>
  <c r="H5" i="3"/>
  <c r="H6" i="3"/>
  <c r="H7" i="3"/>
  <c r="H8" i="3"/>
  <c r="H9" i="3"/>
  <c r="H10" i="3"/>
  <c r="H11" i="3"/>
  <c r="H12" i="3"/>
  <c r="H13" i="3"/>
  <c r="H14" i="3"/>
  <c r="H15" i="3"/>
  <c r="H16" i="3"/>
  <c r="H17" i="3"/>
  <c r="H2" i="3"/>
  <c r="B3" i="3"/>
  <c r="G3" i="3" s="1"/>
  <c r="B4" i="3"/>
  <c r="G4" i="3" s="1"/>
  <c r="B5" i="3"/>
  <c r="G5" i="3" s="1"/>
  <c r="B6" i="3"/>
  <c r="G6" i="3" s="1"/>
  <c r="B7" i="3"/>
  <c r="G7" i="3" s="1"/>
  <c r="B8" i="3"/>
  <c r="G8" i="3" s="1"/>
  <c r="B9" i="3"/>
  <c r="G9" i="3" s="1"/>
  <c r="B10" i="3"/>
  <c r="G10" i="3" s="1"/>
  <c r="B11" i="3"/>
  <c r="G11" i="3" s="1"/>
  <c r="B12" i="3"/>
  <c r="G12" i="3" s="1"/>
  <c r="B13" i="3"/>
  <c r="G13" i="3" s="1"/>
  <c r="B14" i="3"/>
  <c r="G14" i="3" s="1"/>
  <c r="B15" i="3"/>
  <c r="G15" i="3" s="1"/>
  <c r="B16" i="3"/>
  <c r="G16" i="3" s="1"/>
  <c r="B17" i="3"/>
  <c r="G17" i="3" s="1"/>
  <c r="B2" i="3"/>
  <c r="G2" i="3" s="1"/>
  <c r="J28" i="2" l="1"/>
  <c r="J3" i="2" l="1"/>
  <c r="J4" i="2"/>
  <c r="J5" i="2"/>
  <c r="J6" i="2"/>
  <c r="J7" i="2"/>
  <c r="J8" i="2"/>
  <c r="J9" i="2"/>
  <c r="J10" i="2"/>
  <c r="J11" i="2"/>
  <c r="J2" i="2"/>
  <c r="C18" i="1" l="1"/>
  <c r="G50" i="1" l="1"/>
  <c r="G49" i="1"/>
  <c r="K20" i="2"/>
  <c r="F55" i="1" l="1"/>
  <c r="G55" i="1" l="1"/>
  <c r="G48" i="1"/>
  <c r="C14" i="1"/>
  <c r="C15" i="1"/>
  <c r="K44" i="1"/>
  <c r="K41" i="1"/>
  <c r="K36" i="1"/>
  <c r="K28" i="1"/>
  <c r="K21" i="1"/>
  <c r="K18" i="1"/>
  <c r="K64" i="1" l="1"/>
  <c r="J20" i="2"/>
  <c r="J27" i="2" s="1"/>
  <c r="F62" i="1"/>
  <c r="F63" i="1"/>
  <c r="F44" i="1"/>
  <c r="C13" i="1" l="1"/>
  <c r="C11" i="1"/>
  <c r="C12" i="1"/>
  <c r="F35" i="1" l="1"/>
  <c r="F45" i="1"/>
  <c r="G45" i="1" s="1"/>
  <c r="F34" i="1"/>
  <c r="F27" i="1"/>
  <c r="G27" i="1" s="1"/>
  <c r="F47" i="1"/>
  <c r="G47" i="1" s="1"/>
  <c r="F40" i="1"/>
  <c r="F43" i="1"/>
  <c r="G43" i="1" s="1"/>
  <c r="F66" i="1" l="1"/>
  <c r="G66" i="1" s="1"/>
  <c r="G35" i="1"/>
  <c r="G34" i="1"/>
  <c r="F65" i="1"/>
  <c r="G65" i="1" s="1"/>
  <c r="G40" i="1"/>
  <c r="F64" i="1"/>
  <c r="G64" i="1" s="1"/>
  <c r="F59" i="1"/>
  <c r="G59" i="1" s="1"/>
  <c r="F61" i="1"/>
  <c r="G61" i="1" s="1"/>
  <c r="F60" i="1"/>
  <c r="G60" i="1" s="1"/>
</calcChain>
</file>

<file path=xl/sharedStrings.xml><?xml version="1.0" encoding="utf-8"?>
<sst xmlns="http://schemas.openxmlformats.org/spreadsheetml/2006/main" count="257" uniqueCount="185">
  <si>
    <t>function</t>
  </si>
  <si>
    <t>part</t>
  </si>
  <si>
    <t>mode</t>
  </si>
  <si>
    <t>adxl362</t>
  </si>
  <si>
    <t>comment</t>
  </si>
  <si>
    <t>power line waves / vibrations @ 200Hz</t>
  </si>
  <si>
    <t>s</t>
  </si>
  <si>
    <t>duty cycle sampling</t>
  </si>
  <si>
    <t>duty cycle transmission</t>
  </si>
  <si>
    <t>NB radio module</t>
  </si>
  <si>
    <t>manufacturer</t>
  </si>
  <si>
    <t>Quectel</t>
  </si>
  <si>
    <t>BC95</t>
  </si>
  <si>
    <t>supply range</t>
  </si>
  <si>
    <t>3,0-4,2V</t>
  </si>
  <si>
    <t>sleep</t>
  </si>
  <si>
    <t>current consumption (A)</t>
  </si>
  <si>
    <t>Tx</t>
  </si>
  <si>
    <t>Rx</t>
  </si>
  <si>
    <t>average</t>
  </si>
  <si>
    <t>Ah</t>
  </si>
  <si>
    <t>Used numbers from ublox SARA-N2,</t>
  </si>
  <si>
    <t>life time (years)</t>
  </si>
  <si>
    <t>active</t>
  </si>
  <si>
    <t>GSM/GPRS radio module</t>
  </si>
  <si>
    <t>active / idle</t>
  </si>
  <si>
    <t>power down</t>
  </si>
  <si>
    <t>Tx burst</t>
  </si>
  <si>
    <t>Used numbers from SIM900.</t>
  </si>
  <si>
    <t>NA, but assuming less than the sleep mode.</t>
  </si>
  <si>
    <t>Radio module controller</t>
  </si>
  <si>
    <t>Microchip</t>
  </si>
  <si>
    <t>ATxmega128A1</t>
  </si>
  <si>
    <t>Starting off with a fairly large and costly device. This not to be limited by any means during the pilot project.</t>
  </si>
  <si>
    <t>1,6-3,6V</t>
  </si>
  <si>
    <t>ADC</t>
  </si>
  <si>
    <t>USART</t>
  </si>
  <si>
    <t>battery self-discharge</t>
  </si>
  <si>
    <t>%/year</t>
  </si>
  <si>
    <t>Need super cap.</t>
  </si>
  <si>
    <t>duty cycle transmission burst</t>
  </si>
  <si>
    <t>ST</t>
  </si>
  <si>
    <t>M95M02</t>
  </si>
  <si>
    <t>1,8-5,5V</t>
  </si>
  <si>
    <t>4M write cycles</t>
  </si>
  <si>
    <t>External storage (256kB)</t>
  </si>
  <si>
    <t>sampling rate (ADC)</t>
  </si>
  <si>
    <t>sampling time (ADC)</t>
  </si>
  <si>
    <t>transmission rate (Radio module)</t>
  </si>
  <si>
    <t>transmission time (Radio module)</t>
  </si>
  <si>
    <t>transmission burst time (Radio module)</t>
  </si>
  <si>
    <t>Regulator</t>
  </si>
  <si>
    <t>Linear</t>
  </si>
  <si>
    <t>LTC3127</t>
  </si>
  <si>
    <t>efficiency &gt;90% between 20-300mA output current.</t>
  </si>
  <si>
    <t>NB IoT</t>
  </si>
  <si>
    <t>GSM/GPRS</t>
  </si>
  <si>
    <t>active @ 2MHz</t>
  </si>
  <si>
    <t>sleep / idle @ RTC and WDT</t>
  </si>
  <si>
    <t>regulator efficiency</t>
  </si>
  <si>
    <t>%</t>
  </si>
  <si>
    <t>Assuming everything runs on regulated power to avoid level shifters.</t>
  </si>
  <si>
    <t>single battery capacity including self-discharge and regulator efficiency</t>
  </si>
  <si>
    <t>load cell sensor</t>
  </si>
  <si>
    <t>iokeys</t>
  </si>
  <si>
    <t>RTL-150KN</t>
  </si>
  <si>
    <t>3,4V</t>
  </si>
  <si>
    <t>sensor average</t>
  </si>
  <si>
    <t>Cut the power totally. This will add startup time in addition to the wakeup time (several seconds), but might be ok for very low duty cycles. Find out what power down means in this case.</t>
  </si>
  <si>
    <t>start-up time (Radio module)</t>
  </si>
  <si>
    <t>#</t>
  </si>
  <si>
    <t>unit price</t>
  </si>
  <si>
    <t>total price</t>
  </si>
  <si>
    <t>M95 price</t>
  </si>
  <si>
    <t>M95</t>
  </si>
  <si>
    <t>measurement</t>
  </si>
  <si>
    <t>Strain / load cell.</t>
  </si>
  <si>
    <t>8 digital measurements covered in 1 byte.</t>
  </si>
  <si>
    <t>days</t>
  </si>
  <si>
    <t>4M writes is the limit =&gt; 80 seconds write intervals for 10 years is fine.</t>
  </si>
  <si>
    <t>wake-up time (Radio module)</t>
  </si>
  <si>
    <t>duty cycle wake-up</t>
  </si>
  <si>
    <t>duty cycle start-up</t>
  </si>
  <si>
    <t>Not specified.
In addition to the transmission time.</t>
  </si>
  <si>
    <t>600 seconds = 10 min.
900 seconds = 15 min.
It's the same rate that data is stored to the external memory.</t>
  </si>
  <si>
    <t>Radio average</t>
  </si>
  <si>
    <t>sensor + Radio active total</t>
  </si>
  <si>
    <t>sensor + Radio average total</t>
  </si>
  <si>
    <t>Analog Dev.</t>
  </si>
  <si>
    <t>1,6-3,5V</t>
  </si>
  <si>
    <t>2,4 - 3,7V</t>
  </si>
  <si>
    <t>17Ah in current design, self-discharge ~1%/year.</t>
  </si>
  <si>
    <t>Auxillary circuitry (resistors, protection, etc)</t>
  </si>
  <si>
    <t>Not included in any calculations yet.</t>
  </si>
  <si>
    <t>using the shelf-life parameter, most long life batteries don't guarantee longer than 10 years.
Additional margin for cold temperatures and TER.</t>
  </si>
  <si>
    <t>vdd</t>
  </si>
  <si>
    <t>vfout</t>
  </si>
  <si>
    <t>ivdd</t>
  </si>
  <si>
    <t>tot</t>
  </si>
  <si>
    <t>The time from power on and until the module is ready to send message.
Measurement done on m95 shows around 30s in total from startup until shut down.</t>
  </si>
  <si>
    <t>3,3-4,6V</t>
  </si>
  <si>
    <t>Assumptions so far:
bridge = 3,4V / 120 = 28mA
opa336 = 42uA/amp
LTC1100 = 4,5mA
Other/resistors/etc ~ 1mA
=&gt; tot ~ 34mA
Measurements give typ 3,2mA, so the bridge estimate is way off.</t>
  </si>
  <si>
    <t>Used numbers from ublox SARA-N2, typ 3,8V for BC95</t>
  </si>
  <si>
    <t># bytes tx ascii</t>
  </si>
  <si>
    <t>ANA0</t>
  </si>
  <si>
    <t>ANA1</t>
  </si>
  <si>
    <t>ANA2</t>
  </si>
  <si>
    <t>ANA3</t>
  </si>
  <si>
    <t>ANA4</t>
  </si>
  <si>
    <t>ANA5</t>
  </si>
  <si>
    <t>TIME</t>
  </si>
  <si>
    <t>TEMP</t>
  </si>
  <si>
    <t>VDD</t>
  </si>
  <si>
    <t>DIO</t>
  </si>
  <si>
    <t>definitions</t>
  </si>
  <si>
    <t>measurement (load cell)</t>
  </si>
  <si>
    <t>MIN</t>
  </si>
  <si>
    <t>YEAR</t>
  </si>
  <si>
    <t>MONTH</t>
  </si>
  <si>
    <t>DAY</t>
  </si>
  <si>
    <t>HOUR</t>
  </si>
  <si>
    <t>MINUTE</t>
  </si>
  <si>
    <t>SECOND</t>
  </si>
  <si>
    <t>STATUS</t>
  </si>
  <si>
    <t>position</t>
  </si>
  <si>
    <t>2 bytes counter value</t>
  </si>
  <si>
    <t>AVG</t>
  </si>
  <si>
    <t>MAX</t>
  </si>
  <si>
    <t>ACCU CNT</t>
  </si>
  <si>
    <t>TRAN_MAX</t>
  </si>
  <si>
    <t>PREV</t>
  </si>
  <si>
    <t>TBD</t>
  </si>
  <si>
    <t>CURRENT</t>
  </si>
  <si>
    <t># bytes tx hex</t>
  </si>
  <si>
    <t>12 bits analog</t>
  </si>
  <si>
    <t>12 bits digital</t>
  </si>
  <si>
    <t>Only 12 bits values are transferred, while 16 bits values are stored in external memory</t>
  </si>
  <si>
    <t>need only one byte in hex, but two simplifies coding</t>
  </si>
  <si>
    <t>adc</t>
  </si>
  <si>
    <t>ADCA</t>
  </si>
  <si>
    <t>ADCB</t>
  </si>
  <si>
    <t>adc channel</t>
  </si>
  <si>
    <t>ANA4 and ANA5 could not be done in parallel with ANA0 and ANA1</t>
  </si>
  <si>
    <t>adc pin</t>
  </si>
  <si>
    <t>TEMPSENSE</t>
  </si>
  <si>
    <t>BANDGAP</t>
  </si>
  <si>
    <t>bytes of data</t>
  </si>
  <si>
    <t>required external storage span</t>
  </si>
  <si>
    <t>required external storage capacity (60s tx rate)</t>
  </si>
  <si>
    <t>External storage write cycles (60s for 10 years)</t>
  </si>
  <si>
    <t>bytes, with 100s transfer rates is fine for the 256k external memory</t>
  </si>
  <si>
    <t># bytes in code</t>
  </si>
  <si>
    <t>only the 6 LSBs are transferred
7 = 
6 =
5 =
4 =
3 =
2 =
1 =
0 = RF_POWER_ON</t>
  </si>
  <si>
    <t>Regulator active all the time???</t>
  </si>
  <si>
    <t>GSM/GPRS with sleep mode</t>
  </si>
  <si>
    <t>average with power down</t>
  </si>
  <si>
    <t>average with sleep mode</t>
  </si>
  <si>
    <t>GSM/GPRS with power down</t>
  </si>
  <si>
    <t>Level shifter</t>
  </si>
  <si>
    <t>TI</t>
  </si>
  <si>
    <t>txb0106</t>
  </si>
  <si>
    <t>3,3V and 5,5V</t>
  </si>
  <si>
    <t>vbat</t>
  </si>
  <si>
    <t>vref = vbat/1,6</t>
  </si>
  <si>
    <t>vref = 1V</t>
  </si>
  <si>
    <t>Voltage reference</t>
  </si>
  <si>
    <t>TI?</t>
  </si>
  <si>
    <t>ref3320?</t>
  </si>
  <si>
    <t>2,3 - 5V</t>
  </si>
  <si>
    <t>vref ext = 2,048V</t>
  </si>
  <si>
    <t>vin min</t>
  </si>
  <si>
    <t>vin max</t>
  </si>
  <si>
    <t>total bandgap variation</t>
  </si>
  <si>
    <t xml:space="preserve"> +-5%</t>
  </si>
  <si>
    <t>vlsb max @ vref = vbat/1,6</t>
  </si>
  <si>
    <t>vlsb max @ vref = 1V</t>
  </si>
  <si>
    <t>vlsb max @ vref = 2,048V</t>
  </si>
  <si>
    <t xml:space="preserve">external reference variation </t>
  </si>
  <si>
    <t xml:space="preserve"> +-0,15%</t>
  </si>
  <si>
    <t>WDT</t>
  </si>
  <si>
    <t>tiny13a?</t>
  </si>
  <si>
    <t>MQTT topic</t>
  </si>
  <si>
    <t>LE</t>
  </si>
  <si>
    <t>A lot of Tx and Rx during power up due to re-connection to network and open TCP socket towards server.</t>
  </si>
  <si>
    <t>Assuming only one startup, then wakeup from sleep is faster than power up. Need to be confirmed.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</si>
</sst>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4" x14ac:knownFonts="1">
    <font>
      <sz val="11"/>
      <color theme="1"/>
      <name val="Calibri"/>
      <family val="2"/>
      <scheme val="minor"/>
    </font>
    <font>
      <sz val="11"/>
      <color rgb="FF9C5700"/>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7">
    <xf numFmtId="0" fontId="0" fillId="0" borderId="0" xfId="0"/>
    <xf numFmtId="11" fontId="0" fillId="0" borderId="0" xfId="0" applyNumberFormat="1"/>
    <xf numFmtId="11" fontId="0" fillId="0" borderId="0" xfId="0" applyNumberFormat="1" applyAlignment="1">
      <alignment wrapText="1"/>
    </xf>
    <xf numFmtId="11" fontId="2" fillId="3" borderId="0" xfId="2" applyNumberFormat="1"/>
    <xf numFmtId="0" fontId="0" fillId="0" borderId="0" xfId="0" applyAlignment="1">
      <alignment wrapText="1"/>
    </xf>
    <xf numFmtId="11" fontId="0" fillId="0" borderId="1" xfId="0" applyNumberFormat="1" applyBorder="1"/>
    <xf numFmtId="11" fontId="0" fillId="0" borderId="2" xfId="0" applyNumberFormat="1" applyBorder="1"/>
    <xf numFmtId="11" fontId="2" fillId="3" borderId="2" xfId="2" applyNumberFormat="1" applyBorder="1"/>
    <xf numFmtId="11" fontId="0" fillId="0" borderId="4" xfId="0" applyNumberFormat="1" applyBorder="1"/>
    <xf numFmtId="11" fontId="0" fillId="0" borderId="5" xfId="0" applyNumberFormat="1" applyBorder="1"/>
    <xf numFmtId="11" fontId="2" fillId="3" borderId="5" xfId="2" applyNumberFormat="1" applyBorder="1"/>
    <xf numFmtId="164" fontId="0" fillId="0" borderId="0" xfId="0" applyNumberFormat="1"/>
    <xf numFmtId="0" fontId="2" fillId="3" borderId="0" xfId="2"/>
    <xf numFmtId="11" fontId="0" fillId="0" borderId="0" xfId="0" applyNumberFormat="1" applyBorder="1"/>
    <xf numFmtId="11" fontId="0" fillId="0" borderId="7" xfId="0" applyNumberFormat="1" applyBorder="1"/>
    <xf numFmtId="164" fontId="3" fillId="4" borderId="0" xfId="3" applyNumberFormat="1"/>
    <xf numFmtId="11" fontId="0" fillId="0" borderId="3" xfId="0" applyNumberFormat="1" applyBorder="1"/>
    <xf numFmtId="11" fontId="0" fillId="0" borderId="8" xfId="0" applyNumberFormat="1" applyBorder="1"/>
    <xf numFmtId="11" fontId="0" fillId="0" borderId="6" xfId="0" applyNumberFormat="1" applyBorder="1"/>
    <xf numFmtId="11" fontId="0" fillId="0" borderId="0" xfId="0" applyNumberFormat="1" applyBorder="1" applyProtection="1">
      <protection locked="0" hidden="1"/>
    </xf>
    <xf numFmtId="11" fontId="2" fillId="3" borderId="0" xfId="2" applyNumberFormat="1" applyBorder="1" applyProtection="1">
      <protection locked="0" hidden="1"/>
    </xf>
    <xf numFmtId="11" fontId="0" fillId="0" borderId="0" xfId="0" applyNumberFormat="1" applyProtection="1">
      <protection locked="0" hidden="1"/>
    </xf>
    <xf numFmtId="11" fontId="0" fillId="0" borderId="0" xfId="0" applyNumberFormat="1" applyAlignment="1" applyProtection="1">
      <alignment wrapText="1"/>
      <protection locked="0" hidden="1"/>
    </xf>
    <xf numFmtId="11" fontId="1" fillId="2" borderId="0" xfId="1" applyNumberFormat="1" applyAlignment="1" applyProtection="1">
      <alignment wrapText="1"/>
      <protection locked="0" hidden="1"/>
    </xf>
    <xf numFmtId="0" fontId="0" fillId="0" borderId="0" xfId="0" applyProtection="1">
      <protection locked="0" hidden="1"/>
    </xf>
    <xf numFmtId="11" fontId="1" fillId="2" borderId="0" xfId="1" applyNumberFormat="1" applyProtection="1">
      <protection locked="0" hidden="1"/>
    </xf>
    <xf numFmtId="0" fontId="3" fillId="4" borderId="0" xfId="3" applyProtection="1">
      <protection locked="0" hidden="1"/>
    </xf>
    <xf numFmtId="11" fontId="0" fillId="0" borderId="1" xfId="0" applyNumberFormat="1" applyBorder="1" applyProtection="1">
      <protection locked="0" hidden="1"/>
    </xf>
    <xf numFmtId="11" fontId="0" fillId="0" borderId="2" xfId="0" applyNumberFormat="1" applyBorder="1" applyProtection="1">
      <protection locked="0" hidden="1"/>
    </xf>
    <xf numFmtId="11" fontId="2" fillId="3" borderId="2" xfId="2" applyNumberFormat="1" applyBorder="1" applyProtection="1">
      <protection locked="0" hidden="1"/>
    </xf>
    <xf numFmtId="11" fontId="0" fillId="0" borderId="3" xfId="0" applyNumberFormat="1" applyBorder="1" applyAlignment="1" applyProtection="1">
      <alignment wrapText="1"/>
      <protection locked="0" hidden="1"/>
    </xf>
    <xf numFmtId="11" fontId="0" fillId="0" borderId="7" xfId="0" applyNumberFormat="1" applyBorder="1" applyProtection="1">
      <protection locked="0" hidden="1"/>
    </xf>
    <xf numFmtId="11" fontId="0" fillId="0" borderId="8" xfId="0" applyNumberFormat="1" applyBorder="1" applyAlignment="1" applyProtection="1">
      <alignment wrapText="1"/>
      <protection locked="0" hidden="1"/>
    </xf>
    <xf numFmtId="11" fontId="0" fillId="0" borderId="4" xfId="0" applyNumberFormat="1" applyBorder="1" applyProtection="1">
      <protection locked="0" hidden="1"/>
    </xf>
    <xf numFmtId="11" fontId="0" fillId="0" borderId="5" xfId="0" applyNumberFormat="1" applyBorder="1" applyProtection="1">
      <protection locked="0" hidden="1"/>
    </xf>
    <xf numFmtId="11" fontId="2" fillId="3" borderId="5" xfId="2" applyNumberFormat="1" applyBorder="1" applyProtection="1">
      <protection locked="0" hidden="1"/>
    </xf>
    <xf numFmtId="11" fontId="0" fillId="0" borderId="6" xfId="0" applyNumberFormat="1" applyBorder="1" applyAlignment="1" applyProtection="1">
      <alignment wrapText="1"/>
      <protection locked="0" hidden="1"/>
    </xf>
  </cellXfs>
  <cellStyles count="4">
    <cellStyle name="Bad" xfId="3" builtinId="27"/>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2"/>
  <sheetViews>
    <sheetView tabSelected="1" workbookViewId="0">
      <pane ySplit="15" topLeftCell="A16" activePane="bottomLeft" state="frozen"/>
      <selection pane="bottomLeft" activeCell="C64" sqref="C64"/>
    </sheetView>
  </sheetViews>
  <sheetFormatPr defaultColWidth="9.1328125" defaultRowHeight="14.25" x14ac:dyDescent="0.45"/>
  <cols>
    <col min="1" max="1" width="39.1328125" style="1" customWidth="1"/>
    <col min="2" max="2" width="13.1328125" style="1" bestFit="1" customWidth="1"/>
    <col min="3" max="3" width="14.59765625" style="1" bestFit="1" customWidth="1"/>
    <col min="4" max="4" width="25.86328125" style="1" bestFit="1" customWidth="1"/>
    <col min="5" max="5" width="12.265625" style="1" bestFit="1" customWidth="1"/>
    <col min="6" max="6" width="23" style="1" bestFit="1" customWidth="1"/>
    <col min="7" max="7" width="20.3984375" style="1" bestFit="1" customWidth="1"/>
    <col min="8" max="8" width="56.1328125" style="2" customWidth="1"/>
    <col min="9" max="9" width="8.86328125" style="1" hidden="1" customWidth="1"/>
    <col min="10" max="12" width="0" style="1" hidden="1" customWidth="1"/>
    <col min="13" max="16384" width="9.1328125" style="1"/>
  </cols>
  <sheetData>
    <row r="2" spans="1:11" x14ac:dyDescent="0.45">
      <c r="A2" s="5" t="s">
        <v>46</v>
      </c>
      <c r="B2" s="6"/>
      <c r="C2" s="7">
        <v>5</v>
      </c>
      <c r="D2" s="16" t="s">
        <v>6</v>
      </c>
    </row>
    <row r="3" spans="1:11" hidden="1" x14ac:dyDescent="0.45">
      <c r="A3" s="14" t="s">
        <v>47</v>
      </c>
      <c r="B3" s="13"/>
      <c r="C3" s="13">
        <v>2E-3</v>
      </c>
      <c r="D3" s="17" t="s">
        <v>6</v>
      </c>
    </row>
    <row r="4" spans="1:11" ht="42.75" x14ac:dyDescent="0.45">
      <c r="A4" s="8" t="s">
        <v>48</v>
      </c>
      <c r="B4" s="9"/>
      <c r="C4" s="10">
        <v>600</v>
      </c>
      <c r="D4" s="18" t="s">
        <v>6</v>
      </c>
      <c r="H4" s="2" t="s">
        <v>84</v>
      </c>
    </row>
    <row r="5" spans="1:11" s="21" customFormat="1" hidden="1" x14ac:dyDescent="0.45">
      <c r="A5" s="19"/>
      <c r="B5" s="19"/>
      <c r="C5" s="20"/>
      <c r="D5" s="19"/>
      <c r="H5" s="22"/>
    </row>
    <row r="6" spans="1:11" s="21" customFormat="1" hidden="1" x14ac:dyDescent="0.45">
      <c r="A6" s="21" t="s">
        <v>49</v>
      </c>
      <c r="C6" s="21">
        <v>0.04</v>
      </c>
      <c r="D6" s="21" t="s">
        <v>6</v>
      </c>
      <c r="H6" s="22"/>
    </row>
    <row r="7" spans="1:11" s="21" customFormat="1" hidden="1" x14ac:dyDescent="0.45">
      <c r="A7" s="21" t="s">
        <v>50</v>
      </c>
      <c r="C7" s="21">
        <v>1E-3</v>
      </c>
      <c r="D7" s="21" t="s">
        <v>6</v>
      </c>
      <c r="H7" s="22" t="s">
        <v>39</v>
      </c>
    </row>
    <row r="8" spans="1:11" s="21" customFormat="1" ht="28.5" hidden="1" x14ac:dyDescent="0.45">
      <c r="A8" s="21" t="s">
        <v>80</v>
      </c>
      <c r="C8" s="21">
        <v>0.1</v>
      </c>
      <c r="D8" s="21" t="s">
        <v>6</v>
      </c>
      <c r="H8" s="22" t="s">
        <v>83</v>
      </c>
    </row>
    <row r="9" spans="1:11" s="21" customFormat="1" ht="71.25" hidden="1" x14ac:dyDescent="0.45">
      <c r="A9" s="21" t="s">
        <v>69</v>
      </c>
      <c r="C9" s="21">
        <v>30</v>
      </c>
      <c r="D9" s="21" t="s">
        <v>6</v>
      </c>
      <c r="H9" s="22" t="s">
        <v>99</v>
      </c>
    </row>
    <row r="10" spans="1:11" s="21" customFormat="1" hidden="1" x14ac:dyDescent="0.45">
      <c r="H10" s="22"/>
    </row>
    <row r="11" spans="1:11" s="21" customFormat="1" hidden="1" x14ac:dyDescent="0.45">
      <c r="A11" s="21" t="s">
        <v>7</v>
      </c>
      <c r="C11" s="21">
        <f>C3/C2</f>
        <v>4.0000000000000002E-4</v>
      </c>
      <c r="H11" s="22"/>
    </row>
    <row r="12" spans="1:11" s="21" customFormat="1" hidden="1" x14ac:dyDescent="0.45">
      <c r="A12" s="21" t="s">
        <v>8</v>
      </c>
      <c r="C12" s="21">
        <f>C6/C4</f>
        <v>6.666666666666667E-5</v>
      </c>
      <c r="H12" s="22"/>
    </row>
    <row r="13" spans="1:11" s="21" customFormat="1" hidden="1" x14ac:dyDescent="0.45">
      <c r="A13" s="21" t="s">
        <v>40</v>
      </c>
      <c r="C13" s="21">
        <f>C7/C4</f>
        <v>1.6666666666666667E-6</v>
      </c>
      <c r="H13" s="22"/>
    </row>
    <row r="14" spans="1:11" s="21" customFormat="1" hidden="1" x14ac:dyDescent="0.45">
      <c r="A14" s="21" t="s">
        <v>81</v>
      </c>
      <c r="C14" s="21">
        <f>C8/C4</f>
        <v>1.6666666666666669E-4</v>
      </c>
      <c r="H14" s="22"/>
    </row>
    <row r="15" spans="1:11" s="21" customFormat="1" hidden="1" x14ac:dyDescent="0.45">
      <c r="A15" s="21" t="s">
        <v>82</v>
      </c>
      <c r="C15" s="21">
        <f>C9/C4</f>
        <v>0.05</v>
      </c>
      <c r="H15" s="22"/>
      <c r="I15" s="21" t="s">
        <v>70</v>
      </c>
      <c r="J15" s="21" t="s">
        <v>71</v>
      </c>
      <c r="K15" s="21" t="s">
        <v>72</v>
      </c>
    </row>
    <row r="16" spans="1:11" s="21" customFormat="1" ht="57" hidden="1" x14ac:dyDescent="0.45">
      <c r="A16" s="21" t="s">
        <v>37</v>
      </c>
      <c r="C16" s="21">
        <v>10</v>
      </c>
      <c r="D16" s="21" t="s">
        <v>38</v>
      </c>
      <c r="H16" s="23" t="s">
        <v>94</v>
      </c>
    </row>
    <row r="17" spans="1:12" s="21" customFormat="1" hidden="1" x14ac:dyDescent="0.45">
      <c r="A17" s="21" t="s">
        <v>59</v>
      </c>
      <c r="C17" s="21">
        <v>90</v>
      </c>
      <c r="D17" s="21" t="s">
        <v>60</v>
      </c>
      <c r="H17" s="22" t="s">
        <v>61</v>
      </c>
    </row>
    <row r="18" spans="1:12" s="21" customFormat="1" ht="28.5" hidden="1" x14ac:dyDescent="0.45">
      <c r="A18" s="22" t="s">
        <v>62</v>
      </c>
      <c r="C18" s="21">
        <f>(17*(C17/100))*((1-(C16/100))^10)</f>
        <v>5.3347801335300025</v>
      </c>
      <c r="D18" s="21" t="s">
        <v>20</v>
      </c>
      <c r="E18" s="21" t="s">
        <v>90</v>
      </c>
      <c r="H18" s="22" t="s">
        <v>91</v>
      </c>
      <c r="I18" s="21">
        <v>1</v>
      </c>
      <c r="J18" s="21">
        <v>224</v>
      </c>
      <c r="K18" s="21">
        <f>I18*J18</f>
        <v>224</v>
      </c>
    </row>
    <row r="19" spans="1:12" s="21" customFormat="1" hidden="1" x14ac:dyDescent="0.45">
      <c r="H19" s="22"/>
    </row>
    <row r="20" spans="1:12" s="21" customFormat="1" hidden="1" x14ac:dyDescent="0.45">
      <c r="A20" s="21" t="s">
        <v>0</v>
      </c>
      <c r="B20" s="21" t="s">
        <v>10</v>
      </c>
      <c r="C20" s="21" t="s">
        <v>1</v>
      </c>
      <c r="D20" s="21" t="s">
        <v>2</v>
      </c>
      <c r="E20" s="21" t="s">
        <v>13</v>
      </c>
      <c r="F20" s="21" t="s">
        <v>16</v>
      </c>
      <c r="G20" s="21" t="s">
        <v>22</v>
      </c>
      <c r="H20" s="22" t="s">
        <v>4</v>
      </c>
    </row>
    <row r="21" spans="1:12" s="21" customFormat="1" hidden="1" x14ac:dyDescent="0.45">
      <c r="A21" s="21" t="s">
        <v>9</v>
      </c>
      <c r="B21" s="21" t="s">
        <v>11</v>
      </c>
      <c r="C21" s="21" t="s">
        <v>12</v>
      </c>
      <c r="D21" s="21" t="s">
        <v>17</v>
      </c>
      <c r="E21" s="21" t="s">
        <v>14</v>
      </c>
      <c r="F21" s="21">
        <v>0.22</v>
      </c>
      <c r="H21" s="22" t="s">
        <v>102</v>
      </c>
      <c r="I21" s="21">
        <v>1</v>
      </c>
      <c r="J21" s="21">
        <v>247</v>
      </c>
      <c r="K21" s="21">
        <f>I21*J21</f>
        <v>247</v>
      </c>
      <c r="L21" s="21" t="s">
        <v>73</v>
      </c>
    </row>
    <row r="22" spans="1:12" s="21" customFormat="1" hidden="1" x14ac:dyDescent="0.45">
      <c r="D22" s="21" t="s">
        <v>18</v>
      </c>
      <c r="F22" s="21">
        <v>0.02</v>
      </c>
      <c r="H22" s="22" t="s">
        <v>21</v>
      </c>
    </row>
    <row r="23" spans="1:12" s="21" customFormat="1" hidden="1" x14ac:dyDescent="0.45">
      <c r="D23" s="21" t="s">
        <v>27</v>
      </c>
      <c r="F23" s="21">
        <v>2</v>
      </c>
      <c r="H23" s="22" t="s">
        <v>28</v>
      </c>
    </row>
    <row r="24" spans="1:12" s="21" customFormat="1" hidden="1" x14ac:dyDescent="0.45">
      <c r="D24" s="21" t="s">
        <v>15</v>
      </c>
      <c r="F24" s="21">
        <v>5.0000000000000004E-6</v>
      </c>
      <c r="H24" s="22"/>
    </row>
    <row r="25" spans="1:12" s="21" customFormat="1" hidden="1" x14ac:dyDescent="0.45">
      <c r="D25" s="21" t="s">
        <v>26</v>
      </c>
      <c r="F25" s="21">
        <v>5.0000000000000004E-6</v>
      </c>
      <c r="H25" s="22" t="s">
        <v>29</v>
      </c>
    </row>
    <row r="26" spans="1:12" s="21" customFormat="1" hidden="1" x14ac:dyDescent="0.45">
      <c r="D26" s="21" t="s">
        <v>23</v>
      </c>
      <c r="F26" s="21">
        <v>2.1999999999999999E-2</v>
      </c>
      <c r="H26" s="22" t="s">
        <v>28</v>
      </c>
    </row>
    <row r="27" spans="1:12" s="21" customFormat="1" hidden="1" x14ac:dyDescent="0.45">
      <c r="D27" s="21" t="s">
        <v>19</v>
      </c>
      <c r="F27" s="21">
        <f>F24+(F26*$C$14)+(F21*$C$12)+(F23*$C$13)</f>
        <v>2.666666666666667E-5</v>
      </c>
      <c r="G27" s="21">
        <f>$C$18/F27/24/365</f>
        <v>22.837243722303089</v>
      </c>
      <c r="H27" s="22"/>
    </row>
    <row r="28" spans="1:12" s="21" customFormat="1" hidden="1" x14ac:dyDescent="0.45">
      <c r="A28" s="21" t="s">
        <v>24</v>
      </c>
      <c r="B28" s="21" t="s">
        <v>11</v>
      </c>
      <c r="C28" s="21" t="s">
        <v>74</v>
      </c>
      <c r="D28" s="21" t="s">
        <v>17</v>
      </c>
      <c r="E28" s="21" t="s">
        <v>100</v>
      </c>
      <c r="F28" s="21">
        <v>0.23400000000000001</v>
      </c>
      <c r="H28" s="22"/>
      <c r="I28" s="21">
        <v>1</v>
      </c>
      <c r="J28" s="21">
        <v>247</v>
      </c>
      <c r="K28" s="21">
        <f>I28*J28</f>
        <v>247</v>
      </c>
      <c r="L28" s="21" t="s">
        <v>74</v>
      </c>
    </row>
    <row r="29" spans="1:12" s="21" customFormat="1" hidden="1" x14ac:dyDescent="0.45">
      <c r="D29" s="21" t="s">
        <v>18</v>
      </c>
      <c r="F29" s="21">
        <v>0.217</v>
      </c>
      <c r="H29" s="22"/>
    </row>
    <row r="30" spans="1:12" s="21" customFormat="1" hidden="1" x14ac:dyDescent="0.45">
      <c r="D30" s="21" t="s">
        <v>27</v>
      </c>
      <c r="F30" s="21">
        <v>2</v>
      </c>
      <c r="H30" s="22"/>
    </row>
    <row r="31" spans="1:12" s="21" customFormat="1" hidden="1" x14ac:dyDescent="0.45">
      <c r="D31" s="21" t="s">
        <v>15</v>
      </c>
      <c r="F31" s="21">
        <v>1.2999999999999999E-3</v>
      </c>
      <c r="H31" s="22"/>
    </row>
    <row r="32" spans="1:12" s="21" customFormat="1" ht="42.75" hidden="1" x14ac:dyDescent="0.45">
      <c r="D32" s="21" t="s">
        <v>26</v>
      </c>
      <c r="F32" s="21">
        <v>1.4999999999999999E-4</v>
      </c>
      <c r="H32" s="23" t="s">
        <v>68</v>
      </c>
      <c r="I32" s="24"/>
    </row>
    <row r="33" spans="1:11" s="21" customFormat="1" hidden="1" x14ac:dyDescent="0.45">
      <c r="D33" s="21" t="s">
        <v>23</v>
      </c>
      <c r="F33" s="21">
        <v>2.1999999999999999E-2</v>
      </c>
      <c r="H33" s="22"/>
    </row>
    <row r="34" spans="1:11" s="21" customFormat="1" ht="28.5" hidden="1" x14ac:dyDescent="0.45">
      <c r="D34" s="21" t="s">
        <v>155</v>
      </c>
      <c r="F34" s="21">
        <f>F32+(F33*$C$14)+(F28*$C$12)+(F30*$C$13)+(F28*C15)</f>
        <v>1.1872600000000002E-2</v>
      </c>
      <c r="G34" s="21">
        <f>$C$18/F34/24/365</f>
        <v>5.1294001813257613E-2</v>
      </c>
      <c r="H34" s="22" t="s">
        <v>183</v>
      </c>
    </row>
    <row r="35" spans="1:11" s="21" customFormat="1" ht="28.5" hidden="1" x14ac:dyDescent="0.45">
      <c r="D35" s="21" t="s">
        <v>156</v>
      </c>
      <c r="F35" s="21">
        <f>F31+(F33*$C$14)+(F28*$C$12)+(F30*$C$13)</f>
        <v>1.3225999999999997E-3</v>
      </c>
      <c r="G35" s="21">
        <f>$C$18/F35/24/365</f>
        <v>0.46045150909427079</v>
      </c>
      <c r="H35" s="22" t="s">
        <v>184</v>
      </c>
    </row>
    <row r="36" spans="1:11" s="21" customFormat="1" ht="28.5" hidden="1" x14ac:dyDescent="0.45">
      <c r="A36" s="21" t="s">
        <v>30</v>
      </c>
      <c r="B36" s="21" t="s">
        <v>31</v>
      </c>
      <c r="C36" s="24" t="s">
        <v>32</v>
      </c>
      <c r="D36" s="21" t="s">
        <v>58</v>
      </c>
      <c r="E36" s="25" t="s">
        <v>34</v>
      </c>
      <c r="F36" s="21">
        <v>3.9999999999999998E-6</v>
      </c>
      <c r="H36" s="22" t="s">
        <v>33</v>
      </c>
      <c r="I36" s="21">
        <v>1</v>
      </c>
      <c r="J36" s="21">
        <v>70</v>
      </c>
      <c r="K36" s="21">
        <f>I36*J36</f>
        <v>70</v>
      </c>
    </row>
    <row r="37" spans="1:11" s="21" customFormat="1" hidden="1" x14ac:dyDescent="0.45">
      <c r="D37" s="21" t="s">
        <v>57</v>
      </c>
      <c r="F37" s="21">
        <v>1.4E-3</v>
      </c>
      <c r="H37" s="22"/>
    </row>
    <row r="38" spans="1:11" s="21" customFormat="1" hidden="1" x14ac:dyDescent="0.45">
      <c r="D38" s="21" t="s">
        <v>35</v>
      </c>
      <c r="F38" s="21">
        <v>3.0000000000000001E-3</v>
      </c>
      <c r="H38" s="22"/>
    </row>
    <row r="39" spans="1:11" s="21" customFormat="1" hidden="1" x14ac:dyDescent="0.45">
      <c r="D39" s="21" t="s">
        <v>36</v>
      </c>
      <c r="F39" s="21">
        <v>7.9999999999999996E-6</v>
      </c>
      <c r="H39" s="22"/>
    </row>
    <row r="40" spans="1:11" s="21" customFormat="1" hidden="1" x14ac:dyDescent="0.45">
      <c r="D40" s="21" t="s">
        <v>19</v>
      </c>
      <c r="F40" s="21">
        <f>F36+((F37+F38+F39)*C11)+((F37+F39)*(C12+C14))</f>
        <v>6.0917333333333339E-6</v>
      </c>
      <c r="G40" s="21">
        <f>$C$18/F40/24/365</f>
        <v>99.970424279036465</v>
      </c>
      <c r="H40" s="22"/>
    </row>
    <row r="41" spans="1:11" s="21" customFormat="1" hidden="1" x14ac:dyDescent="0.45">
      <c r="A41" s="21" t="s">
        <v>45</v>
      </c>
      <c r="B41" s="21" t="s">
        <v>41</v>
      </c>
      <c r="C41" s="21" t="s">
        <v>42</v>
      </c>
      <c r="D41" s="21" t="s">
        <v>15</v>
      </c>
      <c r="E41" s="21" t="s">
        <v>43</v>
      </c>
      <c r="F41" s="21">
        <v>5.0000000000000004E-6</v>
      </c>
      <c r="H41" s="22" t="s">
        <v>44</v>
      </c>
      <c r="I41" s="21">
        <v>1</v>
      </c>
      <c r="J41" s="21">
        <v>35</v>
      </c>
      <c r="K41" s="21">
        <f>I41*J41</f>
        <v>35</v>
      </c>
    </row>
    <row r="42" spans="1:11" s="21" customFormat="1" hidden="1" x14ac:dyDescent="0.45">
      <c r="D42" s="21" t="s">
        <v>25</v>
      </c>
      <c r="F42" s="21">
        <v>3.0000000000000001E-3</v>
      </c>
      <c r="H42" s="22"/>
    </row>
    <row r="43" spans="1:11" s="21" customFormat="1" hidden="1" x14ac:dyDescent="0.45">
      <c r="D43" s="21" t="s">
        <v>19</v>
      </c>
      <c r="F43" s="21">
        <f>F41+(F42*C12)</f>
        <v>5.2000000000000002E-6</v>
      </c>
      <c r="G43" s="21">
        <f>$C$18/F43/24/365</f>
        <v>117.11407037078509</v>
      </c>
      <c r="H43" s="22"/>
    </row>
    <row r="44" spans="1:11" s="21" customFormat="1" hidden="1" x14ac:dyDescent="0.45">
      <c r="A44" s="21" t="s">
        <v>51</v>
      </c>
      <c r="B44" s="21" t="s">
        <v>52</v>
      </c>
      <c r="C44" s="21" t="s">
        <v>53</v>
      </c>
      <c r="D44" s="21" t="s">
        <v>23</v>
      </c>
      <c r="E44" s="21" t="s">
        <v>43</v>
      </c>
      <c r="F44" s="21">
        <f>0.000035</f>
        <v>3.4999999999999997E-5</v>
      </c>
      <c r="H44" s="24" t="s">
        <v>54</v>
      </c>
      <c r="I44" s="21">
        <v>1</v>
      </c>
      <c r="J44" s="21">
        <v>55</v>
      </c>
      <c r="K44" s="21">
        <f>I44*J44</f>
        <v>55</v>
      </c>
    </row>
    <row r="45" spans="1:11" s="21" customFormat="1" hidden="1" x14ac:dyDescent="0.45">
      <c r="D45" s="21" t="s">
        <v>19</v>
      </c>
      <c r="F45" s="21">
        <f>F44*(C12+C14)</f>
        <v>8.166666666666667E-9</v>
      </c>
      <c r="G45" s="21">
        <f>$C$18/F45/24/365</f>
        <v>74570.591746295802</v>
      </c>
      <c r="H45" s="26" t="s">
        <v>153</v>
      </c>
    </row>
    <row r="46" spans="1:11" s="21" customFormat="1" ht="114" hidden="1" x14ac:dyDescent="0.45">
      <c r="A46" s="21" t="s">
        <v>63</v>
      </c>
      <c r="B46" s="21" t="s">
        <v>64</v>
      </c>
      <c r="C46" s="21" t="s">
        <v>65</v>
      </c>
      <c r="D46" s="21" t="s">
        <v>23</v>
      </c>
      <c r="E46" s="21" t="s">
        <v>66</v>
      </c>
      <c r="F46" s="21">
        <v>5.0000000000000001E-3</v>
      </c>
      <c r="H46" s="23" t="s">
        <v>101</v>
      </c>
    </row>
    <row r="47" spans="1:11" s="21" customFormat="1" hidden="1" x14ac:dyDescent="0.45">
      <c r="D47" s="21" t="s">
        <v>19</v>
      </c>
      <c r="F47" s="21">
        <f>F46*C11</f>
        <v>2.0000000000000003E-6</v>
      </c>
      <c r="G47" s="21">
        <f>$C$18/F47/24/365</f>
        <v>304.49658296404118</v>
      </c>
      <c r="H47" s="22"/>
    </row>
    <row r="48" spans="1:11" s="21" customFormat="1" hidden="1" x14ac:dyDescent="0.45">
      <c r="A48" s="21" t="s">
        <v>92</v>
      </c>
      <c r="D48" s="21" t="s">
        <v>19</v>
      </c>
      <c r="F48" s="21">
        <v>2.0000000000000002E-5</v>
      </c>
      <c r="G48" s="21">
        <f>$C$18/F48/24/365</f>
        <v>30.449658296404117</v>
      </c>
      <c r="H48" s="22"/>
    </row>
    <row r="49" spans="1:11" s="21" customFormat="1" hidden="1" x14ac:dyDescent="0.45">
      <c r="A49" s="21" t="s">
        <v>158</v>
      </c>
      <c r="B49" s="21" t="s">
        <v>159</v>
      </c>
      <c r="C49" s="21" t="s">
        <v>160</v>
      </c>
      <c r="D49" s="21" t="s">
        <v>19</v>
      </c>
      <c r="E49" s="21" t="s">
        <v>161</v>
      </c>
      <c r="F49" s="21">
        <v>3.9999999999999998E-6</v>
      </c>
      <c r="G49" s="21">
        <f>$C$18/F49/24/365</f>
        <v>152.24829148202065</v>
      </c>
      <c r="H49" s="22"/>
    </row>
    <row r="50" spans="1:11" s="21" customFormat="1" hidden="1" x14ac:dyDescent="0.45">
      <c r="A50" s="21" t="s">
        <v>165</v>
      </c>
      <c r="B50" s="21" t="s">
        <v>166</v>
      </c>
      <c r="C50" s="21" t="s">
        <v>167</v>
      </c>
      <c r="D50" s="21" t="s">
        <v>19</v>
      </c>
      <c r="E50" s="21" t="s">
        <v>168</v>
      </c>
      <c r="F50" s="21">
        <v>5.0000000000000004E-6</v>
      </c>
      <c r="G50" s="21">
        <f>$C$18/F50/24/365</f>
        <v>121.79863318561647</v>
      </c>
      <c r="H50" s="22"/>
    </row>
    <row r="51" spans="1:11" s="21" customFormat="1" hidden="1" x14ac:dyDescent="0.45">
      <c r="A51" s="21" t="s">
        <v>179</v>
      </c>
      <c r="C51" s="21" t="s">
        <v>180</v>
      </c>
      <c r="H51" s="22"/>
    </row>
    <row r="52" spans="1:11" s="21" customFormat="1" hidden="1" x14ac:dyDescent="0.45">
      <c r="H52" s="22"/>
    </row>
    <row r="53" spans="1:11" s="21" customFormat="1" hidden="1" x14ac:dyDescent="0.45">
      <c r="A53" s="21" t="s">
        <v>5</v>
      </c>
      <c r="B53" s="21" t="s">
        <v>88</v>
      </c>
      <c r="C53" s="21" t="s">
        <v>3</v>
      </c>
      <c r="D53" s="21" t="s">
        <v>23</v>
      </c>
      <c r="E53" s="21" t="s">
        <v>89</v>
      </c>
      <c r="F53" s="21">
        <v>1.2999999999999999E-5</v>
      </c>
      <c r="H53" s="23" t="s">
        <v>93</v>
      </c>
    </row>
    <row r="54" spans="1:11" s="21" customFormat="1" hidden="1" x14ac:dyDescent="0.45">
      <c r="D54" s="21" t="s">
        <v>15</v>
      </c>
      <c r="F54" s="21">
        <v>9.9999999999999995E-7</v>
      </c>
      <c r="H54" s="22"/>
    </row>
    <row r="55" spans="1:11" s="21" customFormat="1" hidden="1" x14ac:dyDescent="0.45">
      <c r="D55" s="21" t="s">
        <v>19</v>
      </c>
      <c r="F55" s="21">
        <f>F53</f>
        <v>1.2999999999999999E-5</v>
      </c>
      <c r="G55" s="21">
        <f>$C$18/F55/24/365</f>
        <v>46.845628148314034</v>
      </c>
      <c r="H55" s="22"/>
    </row>
    <row r="56" spans="1:11" s="21" customFormat="1" hidden="1" x14ac:dyDescent="0.45">
      <c r="H56" s="22"/>
    </row>
    <row r="57" spans="1:11" s="21" customFormat="1" hidden="1" x14ac:dyDescent="0.45">
      <c r="H57" s="22"/>
    </row>
    <row r="58" spans="1:11" s="21" customFormat="1" hidden="1" x14ac:dyDescent="0.45">
      <c r="H58" s="22"/>
    </row>
    <row r="59" spans="1:11" s="21" customFormat="1" hidden="1" x14ac:dyDescent="0.45">
      <c r="D59" s="21" t="s">
        <v>67</v>
      </c>
      <c r="F59" s="21">
        <f>F40+F43+F45+F47</f>
        <v>1.3299900000000001E-5</v>
      </c>
      <c r="G59" s="21">
        <f>$C$18/F59/24/365</f>
        <v>45.789304124698866</v>
      </c>
      <c r="H59" s="22"/>
    </row>
    <row r="60" spans="1:11" s="21" customFormat="1" hidden="1" x14ac:dyDescent="0.45">
      <c r="D60" s="21" t="s">
        <v>85</v>
      </c>
      <c r="F60" s="21">
        <f>F27+F40+F43+F45</f>
        <v>3.7966566666666663E-5</v>
      </c>
      <c r="G60" s="21">
        <f>$C$18/F60/24/365</f>
        <v>16.040248550121273</v>
      </c>
      <c r="H60" s="22" t="s">
        <v>55</v>
      </c>
    </row>
    <row r="61" spans="1:11" s="21" customFormat="1" hidden="1" x14ac:dyDescent="0.45">
      <c r="F61" s="21">
        <f>F34+F40+F43+F45</f>
        <v>1.1883899900000001E-2</v>
      </c>
      <c r="G61" s="21">
        <f>$C$18/F61/24/365</f>
        <v>5.1245228506854243E-2</v>
      </c>
      <c r="H61" s="22" t="s">
        <v>56</v>
      </c>
    </row>
    <row r="62" spans="1:11" s="21" customFormat="1" hidden="1" x14ac:dyDescent="0.45">
      <c r="D62" s="21" t="s">
        <v>86</v>
      </c>
      <c r="F62" s="21">
        <f>F21+F26+F37+F38+F42+F44+F46</f>
        <v>0.25443500000000002</v>
      </c>
      <c r="H62" s="22" t="s">
        <v>55</v>
      </c>
    </row>
    <row r="63" spans="1:11" s="21" customFormat="1" hidden="1" x14ac:dyDescent="0.45">
      <c r="F63" s="21">
        <f>F28+F33+F37+F38+F42+F44+F46</f>
        <v>0.26843500000000003</v>
      </c>
      <c r="H63" s="22" t="s">
        <v>56</v>
      </c>
    </row>
    <row r="64" spans="1:11" s="21" customFormat="1" x14ac:dyDescent="0.45">
      <c r="D64" s="27" t="s">
        <v>87</v>
      </c>
      <c r="E64" s="28"/>
      <c r="F64" s="28">
        <f>F27+F40+F43+F45+F47+F48</f>
        <v>5.9966566666666663E-5</v>
      </c>
      <c r="G64" s="29">
        <f>$C$18/F64/24/365</f>
        <v>10.155544994150896</v>
      </c>
      <c r="H64" s="30" t="s">
        <v>55</v>
      </c>
      <c r="K64" s="21">
        <f>K18+K21+K36+K41+K44</f>
        <v>631</v>
      </c>
    </row>
    <row r="65" spans="1:11" s="21" customFormat="1" x14ac:dyDescent="0.45">
      <c r="D65" s="31"/>
      <c r="E65" s="19"/>
      <c r="F65" s="19">
        <f>F34+F40+F43+F45+F47+F48</f>
        <v>1.1905899900000001E-2</v>
      </c>
      <c r="G65" s="20">
        <f>$C$18/F65/24/365</f>
        <v>5.1150536376345847E-2</v>
      </c>
      <c r="H65" s="32" t="s">
        <v>157</v>
      </c>
    </row>
    <row r="66" spans="1:11" s="21" customFormat="1" x14ac:dyDescent="0.45">
      <c r="D66" s="33"/>
      <c r="E66" s="34"/>
      <c r="F66" s="34">
        <f>F35+F40+F43+F45+F47+F48</f>
        <v>1.3558998999999997E-3</v>
      </c>
      <c r="G66" s="35">
        <f>$C$18/F66/24/365</f>
        <v>0.44914316014632244</v>
      </c>
      <c r="H66" s="36" t="s">
        <v>154</v>
      </c>
    </row>
    <row r="69" spans="1:11" x14ac:dyDescent="0.45">
      <c r="A69"/>
      <c r="B69"/>
      <c r="C69"/>
      <c r="D69"/>
      <c r="E69"/>
      <c r="F69"/>
      <c r="G69"/>
      <c r="H69"/>
      <c r="I69"/>
      <c r="J69"/>
      <c r="K69"/>
    </row>
    <row r="70" spans="1:11" x14ac:dyDescent="0.45">
      <c r="A70"/>
      <c r="B70"/>
      <c r="C70"/>
      <c r="D70"/>
      <c r="E70"/>
      <c r="F70"/>
      <c r="G70"/>
      <c r="H70"/>
      <c r="I70"/>
      <c r="J70"/>
      <c r="K70"/>
    </row>
    <row r="71" spans="1:11" x14ac:dyDescent="0.45">
      <c r="A71"/>
      <c r="B71"/>
      <c r="C71"/>
      <c r="D71"/>
      <c r="E71"/>
      <c r="F71"/>
      <c r="G71"/>
      <c r="H71"/>
      <c r="I71"/>
      <c r="J71"/>
      <c r="K71"/>
    </row>
    <row r="72" spans="1:11" x14ac:dyDescent="0.45">
      <c r="A72"/>
      <c r="B72"/>
      <c r="C72"/>
      <c r="D72"/>
      <c r="E72"/>
      <c r="F72"/>
      <c r="G72"/>
      <c r="H72"/>
      <c r="I72"/>
      <c r="J72"/>
      <c r="K72"/>
    </row>
    <row r="73" spans="1:11" x14ac:dyDescent="0.45">
      <c r="A73"/>
      <c r="B73"/>
      <c r="C73"/>
      <c r="D73"/>
      <c r="E73"/>
      <c r="F73"/>
      <c r="G73"/>
      <c r="H73"/>
      <c r="I73"/>
      <c r="J73"/>
      <c r="K73"/>
    </row>
    <row r="74" spans="1:11" x14ac:dyDescent="0.45">
      <c r="A74"/>
      <c r="B74"/>
      <c r="C74"/>
      <c r="D74"/>
      <c r="E74"/>
      <c r="F74"/>
      <c r="G74"/>
      <c r="H74"/>
      <c r="I74"/>
      <c r="J74"/>
      <c r="K74"/>
    </row>
    <row r="75" spans="1:11" x14ac:dyDescent="0.45">
      <c r="A75"/>
      <c r="B75"/>
      <c r="C75"/>
      <c r="D75"/>
      <c r="E75"/>
      <c r="F75"/>
      <c r="G75"/>
      <c r="H75"/>
      <c r="I75"/>
      <c r="J75"/>
      <c r="K75"/>
    </row>
    <row r="76" spans="1:11" x14ac:dyDescent="0.45">
      <c r="A76"/>
      <c r="B76"/>
      <c r="C76"/>
      <c r="D76"/>
      <c r="E76"/>
      <c r="F76"/>
      <c r="G76"/>
      <c r="H76"/>
      <c r="I76"/>
      <c r="J76"/>
      <c r="K76"/>
    </row>
    <row r="77" spans="1:11" x14ac:dyDescent="0.45">
      <c r="A77"/>
      <c r="B77"/>
      <c r="C77"/>
      <c r="D77"/>
      <c r="E77"/>
      <c r="F77"/>
      <c r="G77"/>
      <c r="H77"/>
      <c r="I77"/>
      <c r="J77"/>
      <c r="K77"/>
    </row>
    <row r="78" spans="1:11" x14ac:dyDescent="0.45">
      <c r="A78"/>
      <c r="B78"/>
      <c r="C78"/>
      <c r="D78"/>
      <c r="E78"/>
      <c r="F78"/>
      <c r="G78"/>
      <c r="H78"/>
      <c r="I78"/>
      <c r="J78"/>
      <c r="K78"/>
    </row>
    <row r="79" spans="1:11" x14ac:dyDescent="0.45">
      <c r="A79"/>
      <c r="B79"/>
      <c r="C79"/>
      <c r="D79"/>
      <c r="E79"/>
      <c r="F79"/>
      <c r="G79"/>
      <c r="H79"/>
      <c r="I79"/>
      <c r="J79"/>
      <c r="K79"/>
    </row>
    <row r="80" spans="1:11" x14ac:dyDescent="0.45">
      <c r="A80"/>
      <c r="B80"/>
      <c r="C80"/>
      <c r="D80"/>
      <c r="E80"/>
      <c r="F80"/>
      <c r="G80"/>
      <c r="H80"/>
      <c r="I80"/>
      <c r="J80"/>
      <c r="K80"/>
    </row>
    <row r="81" spans="1:11" x14ac:dyDescent="0.45">
      <c r="A81"/>
      <c r="B81"/>
      <c r="C81"/>
      <c r="D81"/>
      <c r="E81"/>
      <c r="F81"/>
      <c r="G81"/>
      <c r="H81"/>
      <c r="I81"/>
      <c r="J81"/>
      <c r="K81"/>
    </row>
    <row r="82" spans="1:11" x14ac:dyDescent="0.45">
      <c r="A82"/>
      <c r="B82"/>
      <c r="C82"/>
      <c r="D82"/>
      <c r="E82"/>
      <c r="F82"/>
      <c r="G82"/>
      <c r="H82"/>
      <c r="I82"/>
      <c r="J82"/>
      <c r="K82"/>
    </row>
  </sheetData>
  <sheetProtection algorithmName="SHA-512" hashValue="WQqh5Q4s3ORnUqh91HHBFQw/woUzyk+pj+wgRmeA0lNh1fE5aD6e8YwzNjyHwe/5vMEUCwiKUu0TSarB9vihUA==" saltValue="rDLkYYHXK2C92Y/UAjlJPw==" spinCount="100000" sheet="1" scenarios="1"/>
  <protectedRanges>
    <protectedRange sqref="C2:C4" name="Range1"/>
  </protectedRange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opLeftCell="A1048576" workbookViewId="0">
      <selection sqref="A1:XFD1048576"/>
    </sheetView>
  </sheetViews>
  <sheetFormatPr defaultRowHeight="14.25" zeroHeight="1" x14ac:dyDescent="0.45"/>
  <cols>
    <col min="1" max="1" width="11" bestFit="1" customWidth="1"/>
    <col min="3" max="3" width="10.73046875" bestFit="1" customWidth="1"/>
    <col min="4" max="4" width="19.59765625" bestFit="1" customWidth="1"/>
    <col min="5" max="5" width="6" bestFit="1" customWidth="1"/>
    <col min="6" max="6" width="11.3984375" bestFit="1" customWidth="1"/>
    <col min="7" max="7" width="11.3984375" customWidth="1"/>
    <col min="8" max="8" width="43.1328125" bestFit="1" customWidth="1"/>
    <col min="9" max="9" width="14.265625" bestFit="1" customWidth="1"/>
    <col min="10" max="10" width="13.265625" bestFit="1" customWidth="1"/>
    <col min="11" max="11" width="13.86328125" bestFit="1" customWidth="1"/>
    <col min="12" max="12" width="57.265625" customWidth="1"/>
  </cols>
  <sheetData>
    <row r="1" spans="1:12" hidden="1" x14ac:dyDescent="0.45">
      <c r="A1" t="s">
        <v>181</v>
      </c>
      <c r="B1" t="s">
        <v>124</v>
      </c>
      <c r="C1" t="s">
        <v>114</v>
      </c>
      <c r="D1" t="s">
        <v>75</v>
      </c>
      <c r="E1" t="s">
        <v>138</v>
      </c>
      <c r="F1" t="s">
        <v>141</v>
      </c>
      <c r="G1" t="s">
        <v>143</v>
      </c>
      <c r="H1" t="s">
        <v>115</v>
      </c>
      <c r="I1" t="s">
        <v>151</v>
      </c>
      <c r="J1" t="s">
        <v>133</v>
      </c>
      <c r="K1" t="s">
        <v>103</v>
      </c>
    </row>
    <row r="2" spans="1:12" hidden="1" x14ac:dyDescent="0.45">
      <c r="A2" t="s">
        <v>182</v>
      </c>
      <c r="B2">
        <v>0</v>
      </c>
      <c r="C2" t="s">
        <v>104</v>
      </c>
      <c r="D2" t="s">
        <v>134</v>
      </c>
      <c r="E2" t="s">
        <v>139</v>
      </c>
      <c r="F2">
        <v>0</v>
      </c>
      <c r="G2">
        <v>0</v>
      </c>
      <c r="H2" t="s">
        <v>132</v>
      </c>
      <c r="I2">
        <v>2</v>
      </c>
      <c r="J2">
        <f>I2</f>
        <v>2</v>
      </c>
      <c r="K2">
        <v>4</v>
      </c>
      <c r="L2" t="s">
        <v>76</v>
      </c>
    </row>
    <row r="3" spans="1:12" hidden="1" x14ac:dyDescent="0.45">
      <c r="A3" t="s">
        <v>182</v>
      </c>
      <c r="B3">
        <v>1</v>
      </c>
      <c r="C3" t="s">
        <v>105</v>
      </c>
      <c r="D3" t="s">
        <v>134</v>
      </c>
      <c r="E3" t="s">
        <v>139</v>
      </c>
      <c r="F3">
        <v>0</v>
      </c>
      <c r="G3">
        <v>1</v>
      </c>
      <c r="H3" t="s">
        <v>130</v>
      </c>
      <c r="I3">
        <v>2</v>
      </c>
      <c r="J3">
        <f t="shared" ref="J3:J11" si="0">I3</f>
        <v>2</v>
      </c>
      <c r="K3">
        <v>4</v>
      </c>
    </row>
    <row r="4" spans="1:12" hidden="1" x14ac:dyDescent="0.45">
      <c r="A4" t="s">
        <v>182</v>
      </c>
      <c r="B4">
        <v>2</v>
      </c>
      <c r="C4" t="s">
        <v>106</v>
      </c>
      <c r="D4" t="s">
        <v>134</v>
      </c>
      <c r="E4" t="s">
        <v>139</v>
      </c>
      <c r="F4">
        <v>0</v>
      </c>
      <c r="G4">
        <v>2</v>
      </c>
      <c r="H4" t="s">
        <v>126</v>
      </c>
      <c r="I4">
        <v>2</v>
      </c>
      <c r="J4">
        <f t="shared" si="0"/>
        <v>2</v>
      </c>
      <c r="K4">
        <v>4</v>
      </c>
    </row>
    <row r="5" spans="1:12" hidden="1" x14ac:dyDescent="0.45">
      <c r="A5" t="s">
        <v>182</v>
      </c>
      <c r="B5">
        <v>3</v>
      </c>
      <c r="C5" t="s">
        <v>107</v>
      </c>
      <c r="D5" t="s">
        <v>134</v>
      </c>
      <c r="E5" t="s">
        <v>139</v>
      </c>
      <c r="F5">
        <v>0</v>
      </c>
      <c r="G5">
        <v>3</v>
      </c>
      <c r="H5" t="s">
        <v>116</v>
      </c>
      <c r="I5">
        <v>2</v>
      </c>
      <c r="J5">
        <f t="shared" si="0"/>
        <v>2</v>
      </c>
      <c r="K5">
        <v>4</v>
      </c>
    </row>
    <row r="6" spans="1:12" hidden="1" x14ac:dyDescent="0.45">
      <c r="A6" t="s">
        <v>182</v>
      </c>
      <c r="B6">
        <v>4</v>
      </c>
      <c r="C6" t="s">
        <v>108</v>
      </c>
      <c r="D6" t="s">
        <v>134</v>
      </c>
      <c r="E6" t="s">
        <v>139</v>
      </c>
      <c r="F6">
        <v>0</v>
      </c>
      <c r="G6">
        <v>4</v>
      </c>
      <c r="H6" t="s">
        <v>127</v>
      </c>
      <c r="I6">
        <v>2</v>
      </c>
      <c r="J6">
        <f t="shared" si="0"/>
        <v>2</v>
      </c>
      <c r="K6">
        <v>4</v>
      </c>
      <c r="L6" t="s">
        <v>142</v>
      </c>
    </row>
    <row r="7" spans="1:12" hidden="1" x14ac:dyDescent="0.45">
      <c r="A7" t="s">
        <v>182</v>
      </c>
      <c r="B7">
        <v>5</v>
      </c>
      <c r="C7" t="s">
        <v>109</v>
      </c>
      <c r="D7" t="s">
        <v>134</v>
      </c>
      <c r="E7" t="s">
        <v>139</v>
      </c>
      <c r="F7">
        <v>0</v>
      </c>
      <c r="G7">
        <v>5</v>
      </c>
      <c r="H7" t="s">
        <v>129</v>
      </c>
      <c r="I7">
        <v>2</v>
      </c>
      <c r="J7">
        <f t="shared" si="0"/>
        <v>2</v>
      </c>
      <c r="K7">
        <v>4</v>
      </c>
      <c r="L7" t="s">
        <v>142</v>
      </c>
    </row>
    <row r="8" spans="1:12" hidden="1" x14ac:dyDescent="0.45">
      <c r="A8" t="s">
        <v>182</v>
      </c>
      <c r="B8">
        <v>6</v>
      </c>
      <c r="C8" t="s">
        <v>111</v>
      </c>
      <c r="D8" t="s">
        <v>134</v>
      </c>
      <c r="E8" t="s">
        <v>140</v>
      </c>
      <c r="F8">
        <v>0</v>
      </c>
      <c r="G8" t="s">
        <v>144</v>
      </c>
      <c r="H8" t="s">
        <v>131</v>
      </c>
      <c r="I8">
        <v>2</v>
      </c>
      <c r="J8">
        <f t="shared" si="0"/>
        <v>2</v>
      </c>
      <c r="K8">
        <v>4</v>
      </c>
      <c r="L8" s="4"/>
    </row>
    <row r="9" spans="1:12" hidden="1" x14ac:dyDescent="0.45">
      <c r="A9" t="s">
        <v>182</v>
      </c>
      <c r="B9">
        <v>7</v>
      </c>
      <c r="C9" t="s">
        <v>112</v>
      </c>
      <c r="D9" t="s">
        <v>134</v>
      </c>
      <c r="E9" t="s">
        <v>140</v>
      </c>
      <c r="F9">
        <v>1</v>
      </c>
      <c r="G9" t="s">
        <v>145</v>
      </c>
      <c r="H9" t="s">
        <v>131</v>
      </c>
      <c r="I9">
        <v>2</v>
      </c>
      <c r="J9">
        <f t="shared" si="0"/>
        <v>2</v>
      </c>
      <c r="K9">
        <v>4</v>
      </c>
      <c r="L9" s="4"/>
    </row>
    <row r="10" spans="1:12" hidden="1" x14ac:dyDescent="0.45">
      <c r="A10" t="s">
        <v>182</v>
      </c>
      <c r="B10">
        <v>8</v>
      </c>
      <c r="C10" t="s">
        <v>113</v>
      </c>
      <c r="D10" t="s">
        <v>135</v>
      </c>
      <c r="H10" t="s">
        <v>131</v>
      </c>
      <c r="I10">
        <v>2</v>
      </c>
      <c r="J10">
        <f t="shared" si="0"/>
        <v>2</v>
      </c>
      <c r="K10">
        <v>4</v>
      </c>
      <c r="L10" s="4" t="s">
        <v>77</v>
      </c>
    </row>
    <row r="11" spans="1:12" hidden="1" x14ac:dyDescent="0.45">
      <c r="A11" t="s">
        <v>182</v>
      </c>
      <c r="B11">
        <v>9</v>
      </c>
      <c r="C11" t="s">
        <v>110</v>
      </c>
      <c r="D11" t="s">
        <v>125</v>
      </c>
      <c r="H11" t="s">
        <v>128</v>
      </c>
      <c r="I11">
        <v>2</v>
      </c>
      <c r="J11">
        <f t="shared" si="0"/>
        <v>2</v>
      </c>
      <c r="K11">
        <v>4</v>
      </c>
      <c r="L11" t="s">
        <v>136</v>
      </c>
    </row>
    <row r="12" spans="1:12" hidden="1" x14ac:dyDescent="0.45">
      <c r="A12" t="s">
        <v>182</v>
      </c>
      <c r="B12">
        <v>10</v>
      </c>
      <c r="C12" t="s">
        <v>117</v>
      </c>
      <c r="H12" t="s">
        <v>131</v>
      </c>
      <c r="I12">
        <v>2</v>
      </c>
      <c r="J12">
        <v>1</v>
      </c>
      <c r="K12">
        <v>2</v>
      </c>
    </row>
    <row r="13" spans="1:12" hidden="1" x14ac:dyDescent="0.45">
      <c r="A13" t="s">
        <v>182</v>
      </c>
      <c r="B13">
        <v>11</v>
      </c>
      <c r="C13" t="s">
        <v>118</v>
      </c>
      <c r="H13" t="s">
        <v>131</v>
      </c>
      <c r="I13">
        <v>2</v>
      </c>
      <c r="J13">
        <v>1</v>
      </c>
      <c r="K13">
        <v>2</v>
      </c>
      <c r="L13" t="s">
        <v>137</v>
      </c>
    </row>
    <row r="14" spans="1:12" hidden="1" x14ac:dyDescent="0.45">
      <c r="A14" t="s">
        <v>182</v>
      </c>
      <c r="B14">
        <v>12</v>
      </c>
      <c r="C14" t="s">
        <v>119</v>
      </c>
      <c r="H14" t="s">
        <v>131</v>
      </c>
      <c r="I14">
        <v>2</v>
      </c>
      <c r="J14">
        <v>1</v>
      </c>
      <c r="K14">
        <v>2</v>
      </c>
    </row>
    <row r="15" spans="1:12" hidden="1" x14ac:dyDescent="0.45">
      <c r="A15" t="s">
        <v>182</v>
      </c>
      <c r="B15">
        <v>13</v>
      </c>
      <c r="C15" t="s">
        <v>120</v>
      </c>
      <c r="H15" t="s">
        <v>131</v>
      </c>
      <c r="I15">
        <v>2</v>
      </c>
      <c r="J15">
        <v>1</v>
      </c>
      <c r="K15">
        <v>2</v>
      </c>
    </row>
    <row r="16" spans="1:12" hidden="1" x14ac:dyDescent="0.45">
      <c r="A16" t="s">
        <v>182</v>
      </c>
      <c r="B16">
        <v>14</v>
      </c>
      <c r="C16" t="s">
        <v>121</v>
      </c>
      <c r="H16" t="s">
        <v>131</v>
      </c>
      <c r="I16">
        <v>2</v>
      </c>
      <c r="J16">
        <v>1</v>
      </c>
      <c r="K16">
        <v>2</v>
      </c>
    </row>
    <row r="17" spans="1:12" hidden="1" x14ac:dyDescent="0.45">
      <c r="A17" t="s">
        <v>182</v>
      </c>
      <c r="B17">
        <v>15</v>
      </c>
      <c r="C17" t="s">
        <v>122</v>
      </c>
      <c r="H17" t="s">
        <v>131</v>
      </c>
      <c r="I17">
        <v>2</v>
      </c>
      <c r="J17">
        <v>1</v>
      </c>
      <c r="K17">
        <v>2</v>
      </c>
    </row>
    <row r="18" spans="1:12" ht="128.25" hidden="1" x14ac:dyDescent="0.45">
      <c r="A18" t="s">
        <v>182</v>
      </c>
      <c r="B18">
        <v>16</v>
      </c>
      <c r="C18" t="s">
        <v>123</v>
      </c>
      <c r="H18" t="s">
        <v>131</v>
      </c>
      <c r="I18">
        <v>2</v>
      </c>
      <c r="J18">
        <v>1</v>
      </c>
      <c r="K18">
        <v>2</v>
      </c>
      <c r="L18" s="4" t="s">
        <v>152</v>
      </c>
    </row>
    <row r="19" spans="1:12" hidden="1" x14ac:dyDescent="0.45"/>
    <row r="20" spans="1:12" hidden="1" x14ac:dyDescent="0.45">
      <c r="H20" t="s">
        <v>98</v>
      </c>
      <c r="J20" s="12">
        <f>SUM(J2:J19)</f>
        <v>27</v>
      </c>
      <c r="K20" s="12">
        <f>SUM(K2:K19)</f>
        <v>54</v>
      </c>
      <c r="L20" t="s">
        <v>146</v>
      </c>
    </row>
    <row r="21" spans="1:12" hidden="1" x14ac:dyDescent="0.45"/>
    <row r="22" spans="1:12" hidden="1" x14ac:dyDescent="0.45"/>
    <row r="23" spans="1:12" hidden="1" x14ac:dyDescent="0.45"/>
    <row r="24" spans="1:12" hidden="1" x14ac:dyDescent="0.45">
      <c r="J24" s="1"/>
      <c r="K24" s="1"/>
    </row>
    <row r="25" spans="1:12" hidden="1" x14ac:dyDescent="0.45">
      <c r="J25" s="1"/>
      <c r="K25" s="1"/>
    </row>
    <row r="26" spans="1:12" hidden="1" x14ac:dyDescent="0.45">
      <c r="C26" t="s">
        <v>147</v>
      </c>
      <c r="J26" s="3">
        <v>10</v>
      </c>
      <c r="K26" s="1"/>
      <c r="L26" t="s">
        <v>78</v>
      </c>
    </row>
    <row r="27" spans="1:12" hidden="1" x14ac:dyDescent="0.45">
      <c r="C27" t="s">
        <v>148</v>
      </c>
      <c r="J27" s="3">
        <f>J20*J26*24*3600/60</f>
        <v>388800</v>
      </c>
      <c r="K27" s="1"/>
      <c r="L27" t="s">
        <v>150</v>
      </c>
    </row>
    <row r="28" spans="1:12" hidden="1" x14ac:dyDescent="0.45">
      <c r="C28" t="s">
        <v>149</v>
      </c>
      <c r="J28" s="3">
        <f>(3600*24*365*10)/60</f>
        <v>5256000</v>
      </c>
      <c r="K28" s="1"/>
      <c r="L28" t="s">
        <v>79</v>
      </c>
    </row>
  </sheetData>
  <sheetProtection algorithmName="SHA-512" hashValue="Q+aILW7Bb+zBK8tm1JGmEfWXWiBi9aD/tXUCfdvWqI7ttpgwRJ4+z8lepcHIXkCkcRsH6Zy7uSQ446nNkvhpeA==" saltValue="2Pa7k5EhgtVwUE1bxyeiN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
  <sheetViews>
    <sheetView topLeftCell="A1048576" workbookViewId="0">
      <selection activeCell="A7" sqref="A1:XFD1048576"/>
    </sheetView>
  </sheetViews>
  <sheetFormatPr defaultColWidth="9.1328125" defaultRowHeight="14.25" zeroHeight="1" x14ac:dyDescent="0.45"/>
  <cols>
    <col min="1" max="1" width="9.59765625" style="11" bestFit="1" customWidth="1"/>
    <col min="2" max="2" width="13.86328125" style="11" bestFit="1" customWidth="1"/>
    <col min="3" max="3" width="10.265625" style="11" bestFit="1" customWidth="1"/>
    <col min="4" max="4" width="15.73046875" style="11" bestFit="1" customWidth="1"/>
    <col min="5" max="6" width="9.59765625" style="11" bestFit="1" customWidth="1"/>
    <col min="7" max="7" width="24.59765625" style="11" bestFit="1" customWidth="1"/>
    <col min="8" max="8" width="19.3984375" style="11" bestFit="1" customWidth="1"/>
    <col min="9" max="9" width="23.1328125" style="11" bestFit="1" customWidth="1"/>
    <col min="10" max="16384" width="9.1328125" style="11"/>
  </cols>
  <sheetData>
    <row r="1" spans="1:22" hidden="1" x14ac:dyDescent="0.45">
      <c r="A1" s="11" t="s">
        <v>162</v>
      </c>
      <c r="B1" s="11" t="s">
        <v>163</v>
      </c>
      <c r="C1" s="11" t="s">
        <v>164</v>
      </c>
      <c r="D1" s="11" t="s">
        <v>169</v>
      </c>
      <c r="E1" s="11" t="s">
        <v>170</v>
      </c>
      <c r="F1" s="11" t="s">
        <v>171</v>
      </c>
      <c r="G1" s="11" t="s">
        <v>174</v>
      </c>
      <c r="H1" s="11" t="s">
        <v>175</v>
      </c>
      <c r="I1" s="11" t="s">
        <v>176</v>
      </c>
      <c r="J1" s="11" t="s">
        <v>35</v>
      </c>
      <c r="T1" s="11" t="s">
        <v>95</v>
      </c>
      <c r="U1" s="11" t="s">
        <v>96</v>
      </c>
      <c r="V1" s="11" t="s">
        <v>97</v>
      </c>
    </row>
    <row r="2" spans="1:22" hidden="1" x14ac:dyDescent="0.45">
      <c r="A2" s="11">
        <v>3.7</v>
      </c>
      <c r="B2" s="11">
        <f>A2/1.6</f>
        <v>2.3125</v>
      </c>
      <c r="C2" s="15">
        <v>1</v>
      </c>
      <c r="D2" s="11">
        <v>2.048</v>
      </c>
      <c r="E2" s="11">
        <v>1</v>
      </c>
      <c r="F2" s="11">
        <v>2</v>
      </c>
      <c r="G2" s="11">
        <f>F2/B2/4096</f>
        <v>2.1114864864864866E-4</v>
      </c>
      <c r="H2" s="11">
        <f>F2/C2/4096</f>
        <v>4.8828125E-4</v>
      </c>
      <c r="I2" s="11">
        <f>F2/D2/4096</f>
        <v>2.384185791015625E-4</v>
      </c>
      <c r="T2" s="11">
        <v>3.1970000000000001</v>
      </c>
      <c r="U2" s="11">
        <v>0.99099999999999999</v>
      </c>
    </row>
    <row r="3" spans="1:22" hidden="1" x14ac:dyDescent="0.45">
      <c r="A3" s="11">
        <v>3.6</v>
      </c>
      <c r="B3" s="11">
        <f t="shared" ref="B3:B17" si="0">A3/1.6</f>
        <v>2.25</v>
      </c>
      <c r="C3" s="15">
        <v>1</v>
      </c>
      <c r="D3" s="11">
        <v>2.048</v>
      </c>
      <c r="E3" s="11">
        <v>1</v>
      </c>
      <c r="F3" s="11">
        <v>2</v>
      </c>
      <c r="G3" s="11">
        <f t="shared" ref="G3:G17" si="1">F3/B3/4096</f>
        <v>2.1701388888888888E-4</v>
      </c>
      <c r="H3" s="11">
        <f t="shared" ref="H3:H17" si="2">F3/C3/4096</f>
        <v>4.8828125E-4</v>
      </c>
      <c r="I3" s="11">
        <f t="shared" ref="I3:I17" si="3">F3/D3/4096</f>
        <v>2.384185791015625E-4</v>
      </c>
      <c r="T3" s="11">
        <v>3.1040000000000001</v>
      </c>
      <c r="U3" s="11">
        <v>0.99099999999999999</v>
      </c>
    </row>
    <row r="4" spans="1:22" hidden="1" x14ac:dyDescent="0.45">
      <c r="A4" s="11">
        <v>3.5</v>
      </c>
      <c r="B4" s="11">
        <f t="shared" si="0"/>
        <v>2.1875</v>
      </c>
      <c r="C4" s="15">
        <v>1</v>
      </c>
      <c r="D4" s="11">
        <v>2.048</v>
      </c>
      <c r="E4" s="11">
        <v>1</v>
      </c>
      <c r="F4" s="11">
        <v>2</v>
      </c>
      <c r="G4" s="11">
        <f t="shared" si="1"/>
        <v>2.2321428571428571E-4</v>
      </c>
      <c r="H4" s="11">
        <f t="shared" si="2"/>
        <v>4.8828125E-4</v>
      </c>
      <c r="I4" s="11">
        <f t="shared" si="3"/>
        <v>2.384185791015625E-4</v>
      </c>
      <c r="T4" s="11">
        <v>3.274</v>
      </c>
      <c r="U4" s="11">
        <v>0.99099999999999999</v>
      </c>
      <c r="V4" s="11">
        <v>3.0999999999999999E-3</v>
      </c>
    </row>
    <row r="5" spans="1:22" hidden="1" x14ac:dyDescent="0.45">
      <c r="A5" s="11">
        <v>3.4</v>
      </c>
      <c r="B5" s="11">
        <f t="shared" si="0"/>
        <v>2.125</v>
      </c>
      <c r="C5" s="15">
        <v>1</v>
      </c>
      <c r="D5" s="11">
        <v>2.048</v>
      </c>
      <c r="E5" s="11">
        <v>1</v>
      </c>
      <c r="F5" s="11">
        <v>2</v>
      </c>
      <c r="G5" s="11">
        <f t="shared" si="1"/>
        <v>2.2977941176470588E-4</v>
      </c>
      <c r="H5" s="11">
        <f t="shared" si="2"/>
        <v>4.8828125E-4</v>
      </c>
      <c r="I5" s="11">
        <f t="shared" si="3"/>
        <v>2.384185791015625E-4</v>
      </c>
      <c r="T5" s="11">
        <v>3.4</v>
      </c>
      <c r="U5" s="11">
        <v>0.99099999999999999</v>
      </c>
      <c r="V5" s="11">
        <v>3.2000000000000002E-3</v>
      </c>
    </row>
    <row r="6" spans="1:22" hidden="1" x14ac:dyDescent="0.45">
      <c r="A6" s="11">
        <v>3.3</v>
      </c>
      <c r="B6" s="11">
        <f t="shared" si="0"/>
        <v>2.0624999999999996</v>
      </c>
      <c r="C6" s="15">
        <v>1</v>
      </c>
      <c r="D6" s="11">
        <v>2.048</v>
      </c>
      <c r="E6" s="11">
        <v>1</v>
      </c>
      <c r="F6" s="11">
        <v>2</v>
      </c>
      <c r="G6" s="11">
        <f t="shared" si="1"/>
        <v>2.367424242424243E-4</v>
      </c>
      <c r="H6" s="11">
        <f t="shared" si="2"/>
        <v>4.8828125E-4</v>
      </c>
      <c r="I6" s="11">
        <f t="shared" si="3"/>
        <v>2.384185791015625E-4</v>
      </c>
    </row>
    <row r="7" spans="1:22" hidden="1" x14ac:dyDescent="0.45">
      <c r="A7" s="11">
        <v>3.2</v>
      </c>
      <c r="B7" s="11">
        <f t="shared" si="0"/>
        <v>2</v>
      </c>
      <c r="C7" s="15">
        <v>1</v>
      </c>
      <c r="D7" s="11">
        <v>2.048</v>
      </c>
      <c r="E7" s="11">
        <v>1</v>
      </c>
      <c r="F7" s="11">
        <v>2</v>
      </c>
      <c r="G7" s="11">
        <f t="shared" si="1"/>
        <v>2.44140625E-4</v>
      </c>
      <c r="H7" s="11">
        <f t="shared" si="2"/>
        <v>4.8828125E-4</v>
      </c>
      <c r="I7" s="11">
        <f t="shared" si="3"/>
        <v>2.384185791015625E-4</v>
      </c>
    </row>
    <row r="8" spans="1:22" hidden="1" x14ac:dyDescent="0.45">
      <c r="A8" s="11">
        <v>3.1</v>
      </c>
      <c r="B8" s="15">
        <f t="shared" si="0"/>
        <v>1.9375</v>
      </c>
      <c r="C8" s="15">
        <v>1</v>
      </c>
      <c r="D8" s="11">
        <v>2.048</v>
      </c>
      <c r="E8" s="11">
        <v>1</v>
      </c>
      <c r="F8" s="11">
        <v>2</v>
      </c>
      <c r="G8" s="11">
        <f t="shared" si="1"/>
        <v>2.5201612903225806E-4</v>
      </c>
      <c r="H8" s="11">
        <f t="shared" si="2"/>
        <v>4.8828125E-4</v>
      </c>
      <c r="I8" s="11">
        <f t="shared" si="3"/>
        <v>2.384185791015625E-4</v>
      </c>
    </row>
    <row r="9" spans="1:22" hidden="1" x14ac:dyDescent="0.45">
      <c r="A9" s="11">
        <v>3</v>
      </c>
      <c r="B9" s="15">
        <f t="shared" si="0"/>
        <v>1.875</v>
      </c>
      <c r="C9" s="15">
        <v>1</v>
      </c>
      <c r="D9" s="11">
        <v>2.048</v>
      </c>
      <c r="E9" s="11">
        <v>1</v>
      </c>
      <c r="F9" s="11">
        <v>2</v>
      </c>
      <c r="G9" s="11">
        <f t="shared" si="1"/>
        <v>2.6041666666666666E-4</v>
      </c>
      <c r="H9" s="11">
        <f t="shared" si="2"/>
        <v>4.8828125E-4</v>
      </c>
      <c r="I9" s="11">
        <f t="shared" si="3"/>
        <v>2.384185791015625E-4</v>
      </c>
    </row>
    <row r="10" spans="1:22" hidden="1" x14ac:dyDescent="0.45">
      <c r="A10" s="11">
        <v>2.9</v>
      </c>
      <c r="B10" s="15">
        <f t="shared" si="0"/>
        <v>1.8124999999999998</v>
      </c>
      <c r="C10" s="15">
        <v>1</v>
      </c>
      <c r="D10" s="11">
        <v>2.048</v>
      </c>
      <c r="E10" s="11">
        <v>1</v>
      </c>
      <c r="F10" s="11">
        <v>2</v>
      </c>
      <c r="G10" s="11">
        <f t="shared" si="1"/>
        <v>2.6939655172413798E-4</v>
      </c>
      <c r="H10" s="11">
        <f t="shared" si="2"/>
        <v>4.8828125E-4</v>
      </c>
      <c r="I10" s="11">
        <f t="shared" si="3"/>
        <v>2.384185791015625E-4</v>
      </c>
    </row>
    <row r="11" spans="1:22" hidden="1" x14ac:dyDescent="0.45">
      <c r="A11" s="11">
        <v>2.8</v>
      </c>
      <c r="B11" s="15">
        <f t="shared" si="0"/>
        <v>1.7499999999999998</v>
      </c>
      <c r="C11" s="15">
        <v>1</v>
      </c>
      <c r="D11" s="11">
        <v>2.048</v>
      </c>
      <c r="E11" s="11">
        <v>1</v>
      </c>
      <c r="F11" s="11">
        <v>2</v>
      </c>
      <c r="G11" s="11">
        <f t="shared" si="1"/>
        <v>2.7901785714285718E-4</v>
      </c>
      <c r="H11" s="11">
        <f t="shared" si="2"/>
        <v>4.8828125E-4</v>
      </c>
      <c r="I11" s="11">
        <f t="shared" si="3"/>
        <v>2.384185791015625E-4</v>
      </c>
    </row>
    <row r="12" spans="1:22" hidden="1" x14ac:dyDescent="0.45">
      <c r="A12" s="11">
        <v>2.7</v>
      </c>
      <c r="B12" s="15">
        <f t="shared" si="0"/>
        <v>1.6875</v>
      </c>
      <c r="C12" s="15">
        <v>1</v>
      </c>
      <c r="D12" s="11">
        <v>2.048</v>
      </c>
      <c r="E12" s="11">
        <v>1</v>
      </c>
      <c r="F12" s="11">
        <v>2</v>
      </c>
      <c r="G12" s="11">
        <f t="shared" si="1"/>
        <v>2.8935185185185184E-4</v>
      </c>
      <c r="H12" s="11">
        <f t="shared" si="2"/>
        <v>4.8828125E-4</v>
      </c>
      <c r="I12" s="11">
        <f t="shared" si="3"/>
        <v>2.384185791015625E-4</v>
      </c>
    </row>
    <row r="13" spans="1:22" hidden="1" x14ac:dyDescent="0.45">
      <c r="A13" s="11">
        <v>2.6</v>
      </c>
      <c r="B13" s="15">
        <f t="shared" si="0"/>
        <v>1.625</v>
      </c>
      <c r="C13" s="15">
        <v>1</v>
      </c>
      <c r="D13" s="11">
        <v>2.048</v>
      </c>
      <c r="E13" s="11">
        <v>1</v>
      </c>
      <c r="F13" s="11">
        <v>2</v>
      </c>
      <c r="G13" s="11">
        <f t="shared" si="1"/>
        <v>3.0048076923076925E-4</v>
      </c>
      <c r="H13" s="11">
        <f t="shared" si="2"/>
        <v>4.8828125E-4</v>
      </c>
      <c r="I13" s="11">
        <f t="shared" si="3"/>
        <v>2.384185791015625E-4</v>
      </c>
    </row>
    <row r="14" spans="1:22" hidden="1" x14ac:dyDescent="0.45">
      <c r="A14" s="11">
        <v>2.5</v>
      </c>
      <c r="B14" s="15">
        <f t="shared" si="0"/>
        <v>1.5625</v>
      </c>
      <c r="C14" s="15">
        <v>1</v>
      </c>
      <c r="D14" s="11">
        <v>2.048</v>
      </c>
      <c r="E14" s="11">
        <v>1</v>
      </c>
      <c r="F14" s="11">
        <v>2</v>
      </c>
      <c r="G14" s="11">
        <f t="shared" si="1"/>
        <v>3.1250000000000001E-4</v>
      </c>
      <c r="H14" s="11">
        <f t="shared" si="2"/>
        <v>4.8828125E-4</v>
      </c>
      <c r="I14" s="11">
        <f t="shared" si="3"/>
        <v>2.384185791015625E-4</v>
      </c>
    </row>
    <row r="15" spans="1:22" hidden="1" x14ac:dyDescent="0.45">
      <c r="A15" s="11">
        <v>2.4</v>
      </c>
      <c r="B15" s="15">
        <f t="shared" si="0"/>
        <v>1.4999999999999998</v>
      </c>
      <c r="C15" s="15">
        <v>1</v>
      </c>
      <c r="D15" s="11">
        <v>2.048</v>
      </c>
      <c r="E15" s="11">
        <v>1</v>
      </c>
      <c r="F15" s="11">
        <v>2</v>
      </c>
      <c r="G15" s="11">
        <f t="shared" si="1"/>
        <v>3.2552083333333337E-4</v>
      </c>
      <c r="H15" s="11">
        <f t="shared" si="2"/>
        <v>4.8828125E-4</v>
      </c>
      <c r="I15" s="11">
        <f t="shared" si="3"/>
        <v>2.384185791015625E-4</v>
      </c>
    </row>
    <row r="16" spans="1:22" hidden="1" x14ac:dyDescent="0.45">
      <c r="A16" s="11">
        <v>2.2999999999999998</v>
      </c>
      <c r="B16" s="15">
        <f t="shared" si="0"/>
        <v>1.4374999999999998</v>
      </c>
      <c r="C16" s="15">
        <v>1</v>
      </c>
      <c r="D16" s="11">
        <v>2.048</v>
      </c>
      <c r="E16" s="11">
        <v>1</v>
      </c>
      <c r="F16" s="11">
        <v>2</v>
      </c>
      <c r="G16" s="11">
        <f t="shared" si="1"/>
        <v>3.3967391304347831E-4</v>
      </c>
      <c r="H16" s="11">
        <f t="shared" si="2"/>
        <v>4.8828125E-4</v>
      </c>
      <c r="I16" s="11">
        <f t="shared" si="3"/>
        <v>2.384185791015625E-4</v>
      </c>
    </row>
    <row r="17" spans="1:9" hidden="1" x14ac:dyDescent="0.45">
      <c r="A17" s="11">
        <v>2.2000000000000002</v>
      </c>
      <c r="B17" s="15">
        <f t="shared" si="0"/>
        <v>1.375</v>
      </c>
      <c r="C17" s="15">
        <v>1</v>
      </c>
      <c r="D17" s="15">
        <v>2</v>
      </c>
      <c r="E17" s="11">
        <v>1</v>
      </c>
      <c r="F17" s="11">
        <v>2</v>
      </c>
      <c r="G17" s="11">
        <f t="shared" si="1"/>
        <v>3.5511363636363637E-4</v>
      </c>
      <c r="H17" s="11">
        <f t="shared" si="2"/>
        <v>4.8828125E-4</v>
      </c>
      <c r="I17" s="11">
        <f t="shared" si="3"/>
        <v>2.44140625E-4</v>
      </c>
    </row>
    <row r="18" spans="1:9" hidden="1" x14ac:dyDescent="0.45"/>
    <row r="19" spans="1:9" hidden="1" x14ac:dyDescent="0.45"/>
    <row r="20" spans="1:9" hidden="1" x14ac:dyDescent="0.45"/>
    <row r="21" spans="1:9" hidden="1" x14ac:dyDescent="0.45">
      <c r="A21" s="11" t="s">
        <v>172</v>
      </c>
      <c r="D21" s="11" t="s">
        <v>173</v>
      </c>
    </row>
    <row r="22" spans="1:9" hidden="1" x14ac:dyDescent="0.45">
      <c r="A22" s="11" t="s">
        <v>177</v>
      </c>
      <c r="D22" s="11" t="s">
        <v>178</v>
      </c>
    </row>
  </sheetData>
  <sheetProtection algorithmName="SHA-512" hashValue="bF4ZYmIFXN2Q5KDGti335NXw54e3l0W2JH0aG66FQOAiPT6AhhmbTt7uF2zIoeMPfEjqNLvIAUcECEjzKgB5Qg==" saltValue="D3eBTi6KL1iaG1nvJhxzY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and lifetime</vt:lpstr>
      <vt:lpstr>data format and storage</vt:lpstr>
      <vt:lpstr>ADC measurements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Rune Herheim</dc:creator>
  <cp:lastModifiedBy>Jan Rune Herheim</cp:lastModifiedBy>
  <dcterms:created xsi:type="dcterms:W3CDTF">2017-05-22T07:27:09Z</dcterms:created>
  <dcterms:modified xsi:type="dcterms:W3CDTF">2017-08-24T18:44:38Z</dcterms:modified>
</cp:coreProperties>
</file>