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L:\Autonomic Medicine\Dysmorphology Photos\Facial recognition project\cchs-prediction\data\documents\"/>
    </mc:Choice>
  </mc:AlternateContent>
  <xr:revisionPtr revIDLastSave="0" documentId="13_ncr:1_{44B06C80-E1FF-4F86-A13A-3E448358F276}" xr6:coauthVersionLast="45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demographics" sheetId="10" r:id="rId1"/>
    <sheet name="scratch work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0" l="1"/>
  <c r="G29" i="10"/>
  <c r="G30" i="10"/>
  <c r="G31" i="10"/>
  <c r="G32" i="10"/>
  <c r="G33" i="10"/>
  <c r="G34" i="10"/>
  <c r="G35" i="10"/>
  <c r="G27" i="10"/>
  <c r="G16" i="10"/>
  <c r="G17" i="10"/>
  <c r="G18" i="10"/>
  <c r="G19" i="10"/>
  <c r="G20" i="10"/>
  <c r="G22" i="10"/>
  <c r="G15" i="10"/>
  <c r="F4" i="10"/>
  <c r="F5" i="10"/>
  <c r="F6" i="10"/>
  <c r="F7" i="10"/>
  <c r="F8" i="10"/>
  <c r="F9" i="10"/>
  <c r="F10" i="10"/>
  <c r="F11" i="10"/>
  <c r="F3" i="10"/>
  <c r="N17" i="10"/>
  <c r="K15" i="10"/>
  <c r="F36" i="10"/>
  <c r="E36" i="10"/>
  <c r="F24" i="10"/>
  <c r="E24" i="10"/>
  <c r="N16" i="10" s="1"/>
  <c r="E12" i="10"/>
  <c r="N15" i="10" s="1"/>
  <c r="L30" i="9" l="1"/>
  <c r="L31" i="9"/>
  <c r="L32" i="9"/>
  <c r="L33" i="9"/>
  <c r="L34" i="9"/>
  <c r="L35" i="9"/>
  <c r="L36" i="9"/>
  <c r="L37" i="9"/>
  <c r="L29" i="9"/>
  <c r="M38" i="9"/>
  <c r="L17" i="9"/>
  <c r="L18" i="9"/>
  <c r="L19" i="9"/>
  <c r="L20" i="9"/>
  <c r="L21" i="9"/>
  <c r="L23" i="9"/>
  <c r="L16" i="9"/>
  <c r="L25" i="9" s="1"/>
  <c r="J25" i="9" l="1"/>
  <c r="O30" i="9"/>
  <c r="O29" i="9"/>
  <c r="O28" i="9"/>
  <c r="J12" i="9" l="1"/>
  <c r="J13" i="9" s="1"/>
  <c r="J38" i="9"/>
  <c r="N25" i="9"/>
  <c r="N12" i="9"/>
  <c r="K17" i="9"/>
  <c r="K18" i="9"/>
  <c r="K19" i="9"/>
  <c r="K20" i="9"/>
  <c r="K21" i="9"/>
  <c r="K23" i="9"/>
  <c r="K16" i="9"/>
  <c r="K30" i="9"/>
  <c r="K36" i="9"/>
  <c r="K37" i="9"/>
  <c r="K29" i="9"/>
  <c r="K35" i="9"/>
  <c r="K34" i="9"/>
  <c r="K33" i="9"/>
  <c r="K32" i="9"/>
  <c r="K31" i="9"/>
  <c r="L12" i="9"/>
  <c r="D39" i="9"/>
  <c r="D26" i="9"/>
  <c r="D13" i="9"/>
  <c r="J42" i="9"/>
  <c r="J41" i="9"/>
  <c r="T8" i="9"/>
  <c r="W12" i="9"/>
  <c r="W11" i="9"/>
  <c r="P6" i="9"/>
  <c r="Y17" i="9"/>
  <c r="V4" i="9"/>
  <c r="R3" i="9"/>
  <c r="S4" i="9"/>
  <c r="R16" i="9"/>
  <c r="P10" i="9"/>
  <c r="R10" i="9"/>
  <c r="R9" i="9"/>
  <c r="Q7" i="9"/>
  <c r="K4" i="9"/>
  <c r="L8" i="9" s="1"/>
  <c r="M8" i="9" s="1"/>
  <c r="K5" i="9"/>
  <c r="K6" i="9"/>
  <c r="K7" i="9"/>
  <c r="K8" i="9"/>
  <c r="K9" i="9"/>
  <c r="K10" i="9"/>
  <c r="K11" i="9"/>
  <c r="K3" i="9"/>
  <c r="Q3" i="9"/>
  <c r="P3" i="9"/>
  <c r="P2" i="9"/>
  <c r="T7" i="9"/>
  <c r="R6" i="9"/>
  <c r="J39" i="9" l="1"/>
  <c r="J26" i="9"/>
  <c r="L5" i="9"/>
  <c r="M5" i="9" s="1"/>
  <c r="L7" i="9"/>
  <c r="M7" i="9" s="1"/>
  <c r="L4" i="9"/>
  <c r="M4" i="9" s="1"/>
  <c r="L6" i="9"/>
  <c r="M6" i="9" s="1"/>
  <c r="L3" i="9"/>
  <c r="M3" i="9" s="1"/>
  <c r="L11" i="9"/>
  <c r="L10" i="9"/>
  <c r="M10" i="9" s="1"/>
  <c r="L9" i="9"/>
  <c r="M9" i="9" s="1"/>
  <c r="I12" i="9"/>
  <c r="I25" i="9"/>
  <c r="L38" i="9" l="1"/>
  <c r="X5" i="9"/>
  <c r="AC17" i="9"/>
  <c r="AC5" i="9"/>
  <c r="Z15" i="9"/>
  <c r="AA9" i="9"/>
  <c r="N19" i="10" l="1"/>
  <c r="M19" i="10"/>
  <c r="J19" i="10"/>
  <c r="O17" i="10"/>
  <c r="L17" i="10"/>
  <c r="O16" i="10"/>
  <c r="K16" i="10"/>
  <c r="L16" i="10" s="1"/>
  <c r="O15" i="10"/>
  <c r="L15" i="10"/>
  <c r="V18" i="9"/>
  <c r="V17" i="9"/>
  <c r="V16" i="9"/>
  <c r="T20" i="9"/>
  <c r="S18" i="9"/>
  <c r="H38" i="9"/>
  <c r="F38" i="9"/>
  <c r="Q20" i="9"/>
  <c r="K19" i="10" l="1"/>
  <c r="S17" i="9"/>
  <c r="S16" i="9" l="1"/>
  <c r="R20" i="9"/>
  <c r="U20" i="9"/>
  <c r="M22" i="9" l="1"/>
  <c r="M24" i="9"/>
  <c r="M2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tc={B2E821B5-F69B-4F8F-B02E-9C3778E53374}</author>
  </authors>
  <commentList>
    <comment ref="E2" authorId="0" shapeId="0" xr:uid="{B2E821B5-F69B-4F8F-B02E-9C3778E5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82 patients</t>
      </text>
    </comment>
  </commentList>
</comments>
</file>

<file path=xl/sharedStrings.xml><?xml version="1.0" encoding="utf-8"?>
<sst xmlns="http://schemas.openxmlformats.org/spreadsheetml/2006/main" count="140" uniqueCount="46">
  <si>
    <t>0-1y</t>
  </si>
  <si>
    <t>African American</t>
  </si>
  <si>
    <t>Other</t>
  </si>
  <si>
    <t>12-14y</t>
  </si>
  <si>
    <t>15-17y</t>
  </si>
  <si>
    <t>18-25y</t>
  </si>
  <si>
    <t>2-3y</t>
  </si>
  <si>
    <t>26-35y</t>
  </si>
  <si>
    <t>4-5y</t>
  </si>
  <si>
    <t>6-8y</t>
  </si>
  <si>
    <t>9-11y</t>
  </si>
  <si>
    <t>UNKNOWN</t>
  </si>
  <si>
    <t>Row Labels</t>
  </si>
  <si>
    <t>TOTALS</t>
  </si>
  <si>
    <t xml:space="preserve">Caucasian </t>
  </si>
  <si>
    <t>Grand total</t>
  </si>
  <si>
    <t>CCHS patients</t>
  </si>
  <si>
    <t>CAUCASIAN</t>
  </si>
  <si>
    <t>AFRICAN AMERICAN</t>
  </si>
  <si>
    <t>OTHER</t>
  </si>
  <si>
    <t>CCHS</t>
  </si>
  <si>
    <t>UTK</t>
  </si>
  <si>
    <t>Original UTK</t>
  </si>
  <si>
    <t>number of patients per age group</t>
  </si>
  <si>
    <t># of patients to age advance</t>
  </si>
  <si>
    <t>PROPORTIONS OF PATIENTS</t>
  </si>
  <si>
    <t>CCHS photographs</t>
  </si>
  <si>
    <t>PROPORTIONS OF PHOTOGRAPHS</t>
  </si>
  <si>
    <t>Control</t>
  </si>
  <si>
    <t>FGNET (82 patients, 911 photos)</t>
  </si>
  <si>
    <t>helper col, proportions</t>
  </si>
  <si>
    <t># of UTK photos to use</t>
  </si>
  <si>
    <t>FGNET to use</t>
  </si>
  <si>
    <t>re-counted controls</t>
  </si>
  <si>
    <t>Control subjects to use (UTK, FGNET)</t>
  </si>
  <si>
    <t>Control photographs to use (UTK, FGNET, age-advanced)</t>
  </si>
  <si>
    <t xml:space="preserve"> </t>
  </si>
  <si>
    <t># age advancing to use</t>
  </si>
  <si>
    <t># age advancing / patient</t>
  </si>
  <si>
    <t># of age advancing photos to use</t>
  </si>
  <si>
    <t># of age advancing to take out</t>
  </si>
  <si>
    <t>TODO: circle back to AA photos to reduce # of patients in case NN shows less precise results</t>
  </si>
  <si>
    <t>FGNET</t>
  </si>
  <si>
    <t>Artificial Photos</t>
  </si>
  <si>
    <t>Age-Advanced Patients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</si>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</sst>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"/>
  </numFmts>
  <fonts count="20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  <scheme val="minor"/>
    </font>
    <font>
      <b/>
      <sz val="13"/>
      <color theme="3"/>
      <name val="Times New Roman"/>
      <family val="2"/>
      <scheme val="minor"/>
    </font>
    <font>
      <b/>
      <sz val="11"/>
      <color theme="3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5700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rgb="FFFA7D00"/>
      <name val="Times New Roman"/>
      <family val="2"/>
      <scheme val="minor"/>
    </font>
    <font>
      <sz val="11"/>
      <color rgb="FFFA7D00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i/>
      <sz val="11"/>
      <color rgb="FF7F7F7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-0.14999847407452621"/>
        <bgColor indexed="64"/>
      </patternFill>
    </fill>
    <fill>
      <patternFill patternType="solid">
        <fgColor theme="6" tint="-0.14999847407452621"/>
        <bgColor theme="4" tint="0.79998168889431442"/>
      </patternFill>
    </fill>
    <fill>
      <patternFill patternType="solid">
        <fgColor theme="6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" fontId="0" fillId="41" borderId="0" xfId="0" applyNumberForma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1" fontId="18" fillId="33" borderId="0" xfId="0" applyNumberFormat="1" applyFont="1" applyFill="1" applyBorder="1" applyAlignment="1">
      <alignment horizontal="center" vertical="center"/>
    </xf>
    <xf numFmtId="1" fontId="0" fillId="37" borderId="0" xfId="0" applyNumberFormat="1" applyFill="1" applyBorder="1" applyAlignment="1">
      <alignment horizontal="center" vertical="center"/>
    </xf>
    <xf numFmtId="0" fontId="16" fillId="35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8" fillId="37" borderId="12" xfId="0" applyFon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 wrapText="1"/>
    </xf>
    <xf numFmtId="0" fontId="16" fillId="35" borderId="17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/>
    </xf>
    <xf numFmtId="1" fontId="0" fillId="41" borderId="10" xfId="0" applyNumberForma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1" fontId="18" fillId="33" borderId="11" xfId="0" applyNumberFormat="1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 wrapText="1"/>
    </xf>
    <xf numFmtId="0" fontId="16" fillId="40" borderId="17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1" fontId="18" fillId="36" borderId="15" xfId="0" applyNumberFormat="1" applyFont="1" applyFill="1" applyBorder="1" applyAlignment="1">
      <alignment horizontal="center" vertical="center"/>
    </xf>
    <xf numFmtId="0" fontId="0" fillId="39" borderId="11" xfId="0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1" fontId="18" fillId="33" borderId="15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 wrapText="1"/>
    </xf>
    <xf numFmtId="166" fontId="0" fillId="37" borderId="0" xfId="0" applyNumberFormat="1" applyFill="1" applyBorder="1" applyAlignment="1">
      <alignment horizontal="center" vertical="center"/>
    </xf>
    <xf numFmtId="166" fontId="0" fillId="42" borderId="0" xfId="0" applyNumberFormat="1" applyFill="1" applyBorder="1" applyAlignment="1">
      <alignment horizontal="center" vertical="center"/>
    </xf>
    <xf numFmtId="0" fontId="18" fillId="43" borderId="15" xfId="0" applyFont="1" applyFill="1" applyBorder="1" applyAlignment="1">
      <alignment horizontal="center" vertical="center"/>
    </xf>
    <xf numFmtId="1" fontId="0" fillId="44" borderId="0" xfId="0" applyNumberFormat="1" applyFill="1" applyBorder="1" applyAlignment="1">
      <alignment horizontal="center" vertical="center"/>
    </xf>
    <xf numFmtId="0" fontId="18" fillId="44" borderId="15" xfId="0" applyFont="1" applyFill="1" applyBorder="1" applyAlignment="1">
      <alignment horizontal="center" vertical="center"/>
    </xf>
    <xf numFmtId="166" fontId="0" fillId="44" borderId="0" xfId="0" applyNumberFormat="1" applyFill="1" applyBorder="1" applyAlignment="1">
      <alignment horizontal="center" vertical="center"/>
    </xf>
    <xf numFmtId="1" fontId="18" fillId="44" borderId="15" xfId="0" applyNumberFormat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 wrapText="1"/>
    </xf>
    <xf numFmtId="1" fontId="18" fillId="44" borderId="0" xfId="0" applyNumberFormat="1" applyFont="1" applyFill="1" applyBorder="1" applyAlignment="1">
      <alignment horizontal="center" vertical="center"/>
    </xf>
    <xf numFmtId="0" fontId="18" fillId="44" borderId="0" xfId="0" applyFont="1" applyFill="1" applyBorder="1" applyAlignment="1">
      <alignment horizontal="center" vertical="center"/>
    </xf>
    <xf numFmtId="165" fontId="18" fillId="45" borderId="0" xfId="0" applyNumberFormat="1" applyFont="1" applyFill="1" applyBorder="1" applyAlignment="1">
      <alignment horizontal="center" vertical="center"/>
    </xf>
    <xf numFmtId="0" fontId="18" fillId="45" borderId="0" xfId="0" applyFont="1" applyFill="1" applyBorder="1" applyAlignment="1">
      <alignment horizontal="center" vertical="center"/>
    </xf>
    <xf numFmtId="2" fontId="18" fillId="33" borderId="15" xfId="0" applyNumberFormat="1" applyFont="1" applyFill="1" applyBorder="1" applyAlignment="1">
      <alignment horizontal="center" vertical="center"/>
    </xf>
    <xf numFmtId="2" fontId="0" fillId="37" borderId="0" xfId="0" applyNumberFormat="1" applyFill="1" applyBorder="1" applyAlignment="1">
      <alignment horizontal="center" vertical="center"/>
    </xf>
    <xf numFmtId="1" fontId="18" fillId="46" borderId="15" xfId="0" applyNumberFormat="1" applyFont="1" applyFill="1" applyBorder="1" applyAlignment="1">
      <alignment horizontal="center" vertical="center"/>
    </xf>
    <xf numFmtId="2" fontId="0" fillId="47" borderId="0" xfId="0" applyNumberForma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16" fillId="40" borderId="16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18" fillId="39" borderId="11" xfId="0" applyFont="1" applyFill="1" applyBorder="1" applyAlignment="1">
      <alignment horizontal="center" vertical="center"/>
    </xf>
    <xf numFmtId="1" fontId="18" fillId="39" borderId="11" xfId="0" applyNumberFormat="1" applyFont="1" applyFill="1" applyBorder="1" applyAlignment="1">
      <alignment horizontal="center" vertical="center"/>
    </xf>
    <xf numFmtId="166" fontId="0" fillId="39" borderId="10" xfId="0" applyNumberFormat="1" applyFill="1" applyBorder="1" applyAlignment="1">
      <alignment horizontal="center" vertical="center"/>
    </xf>
    <xf numFmtId="166" fontId="0" fillId="39" borderId="10" xfId="0" quotePrefix="1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E2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Caucasian photos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CCHS</c:v>
          </c:tx>
          <c:spPr>
            <a:solidFill>
              <a:srgbClr val="4E2A84"/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work'!$D$3:$D$11</c:f>
              <c:numCache>
                <c:formatCode>General</c:formatCode>
                <c:ptCount val="9"/>
                <c:pt idx="0">
                  <c:v>81</c:v>
                </c:pt>
                <c:pt idx="1">
                  <c:v>93</c:v>
                </c:pt>
                <c:pt idx="2">
                  <c:v>59</c:v>
                </c:pt>
                <c:pt idx="3">
                  <c:v>92</c:v>
                </c:pt>
                <c:pt idx="4">
                  <c:v>86</c:v>
                </c:pt>
                <c:pt idx="5">
                  <c:v>59</c:v>
                </c:pt>
                <c:pt idx="6">
                  <c:v>48</c:v>
                </c:pt>
                <c:pt idx="7">
                  <c:v>55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E-4977-9AFE-A389130BA259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work'!$F$3:$F$11</c:f>
              <c:numCache>
                <c:formatCode>0</c:formatCode>
                <c:ptCount val="9"/>
                <c:pt idx="0">
                  <c:v>197.70967741935485</c:v>
                </c:pt>
                <c:pt idx="1">
                  <c:v>227</c:v>
                </c:pt>
                <c:pt idx="2">
                  <c:v>144.01075268817203</c:v>
                </c:pt>
                <c:pt idx="3">
                  <c:v>224.55913978494624</c:v>
                </c:pt>
                <c:pt idx="4">
                  <c:v>209.91397849462365</c:v>
                </c:pt>
                <c:pt idx="5">
                  <c:v>144.01075268817203</c:v>
                </c:pt>
                <c:pt idx="6">
                  <c:v>117.16129032258064</c:v>
                </c:pt>
                <c:pt idx="7">
                  <c:v>134.24731182795699</c:v>
                </c:pt>
                <c:pt idx="8">
                  <c:v>34.172043010752688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E-4977-9AFE-A389130B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87759"/>
        <c:axId val="559679855"/>
      </c:barChart>
      <c:catAx>
        <c:axId val="5596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9855"/>
        <c:crosses val="autoZero"/>
        <c:auto val="1"/>
        <c:lblAlgn val="ctr"/>
        <c:lblOffset val="100"/>
        <c:noMultiLvlLbl val="0"/>
      </c:catAx>
      <c:valAx>
        <c:axId val="5596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African American photos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CCHS</c:v>
          </c:tx>
          <c:spPr>
            <a:solidFill>
              <a:srgbClr val="4E2A84"/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work'!$D$16:$D$24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4-485A-86DF-8FF10C7FCC15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work'!$F$16:$F$24</c:f>
              <c:numCache>
                <c:formatCode>0</c:formatCode>
                <c:ptCount val="9"/>
                <c:pt idx="0">
                  <c:v>32.375</c:v>
                </c:pt>
                <c:pt idx="1">
                  <c:v>37</c:v>
                </c:pt>
                <c:pt idx="2">
                  <c:v>18.5</c:v>
                </c:pt>
                <c:pt idx="3">
                  <c:v>37</c:v>
                </c:pt>
                <c:pt idx="4">
                  <c:v>18.5</c:v>
                </c:pt>
                <c:pt idx="5">
                  <c:v>9.25</c:v>
                </c:pt>
                <c:pt idx="6">
                  <c:v>0</c:v>
                </c:pt>
                <c:pt idx="7">
                  <c:v>4.625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4-485A-86DF-8FF10C7F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87759"/>
        <c:axId val="559679855"/>
      </c:barChart>
      <c:catAx>
        <c:axId val="5596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9855"/>
        <c:crosses val="autoZero"/>
        <c:auto val="1"/>
        <c:lblAlgn val="ctr"/>
        <c:lblOffset val="100"/>
        <c:noMultiLvlLbl val="0"/>
      </c:catAx>
      <c:valAx>
        <c:axId val="5596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photos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CCHS</c:v>
          </c:tx>
          <c:spPr>
            <a:solidFill>
              <a:srgbClr val="4E2A84"/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work'!$D$29:$D$37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D-4642-B3BF-3B352A98406E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'scratch work'!$C$3:$C$11</c:f>
              <c:strCache>
                <c:ptCount val="9"/>
                <c:pt idx="0">
                  <c:v>0-1y</c:v>
                </c:pt>
                <c:pt idx="1">
                  <c:v>2-3y</c:v>
                </c:pt>
                <c:pt idx="2">
                  <c:v>4-5y</c:v>
                </c:pt>
                <c:pt idx="3">
                  <c:v>6-8y</c:v>
                </c:pt>
                <c:pt idx="4">
                  <c:v>9-11y</c:v>
                </c:pt>
                <c:pt idx="5">
                  <c:v>12-14y</c:v>
                </c:pt>
                <c:pt idx="6">
                  <c:v>15-17y</c:v>
                </c:pt>
                <c:pt idx="7">
                  <c:v>18-25y</c:v>
                </c:pt>
                <c:pt idx="8">
                  <c:v>26-35y</c:v>
                </c:pt>
              </c:strCache>
            </c:strRef>
          </c:cat>
          <c:val>
            <c:numRef>
              <c:f>'scratch work'!$F$29:$F$37</c:f>
              <c:numCache>
                <c:formatCode>0</c:formatCode>
                <c:ptCount val="9"/>
                <c:pt idx="0">
                  <c:v>32</c:v>
                </c:pt>
                <c:pt idx="1">
                  <c:v>43</c:v>
                </c:pt>
                <c:pt idx="2">
                  <c:v>64</c:v>
                </c:pt>
                <c:pt idx="3">
                  <c:v>51</c:v>
                </c:pt>
                <c:pt idx="4">
                  <c:v>37</c:v>
                </c:pt>
                <c:pt idx="5">
                  <c:v>53</c:v>
                </c:pt>
                <c:pt idx="6">
                  <c:v>27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D-4642-B3BF-3B352A98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87759"/>
        <c:axId val="559679855"/>
      </c:barChart>
      <c:catAx>
        <c:axId val="5596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9855"/>
        <c:crosses val="autoZero"/>
        <c:auto val="1"/>
        <c:lblAlgn val="ctr"/>
        <c:lblOffset val="100"/>
        <c:noMultiLvlLbl val="0"/>
      </c:catAx>
      <c:valAx>
        <c:axId val="5596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race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CCHS</c:v>
          </c:tx>
          <c:spPr>
            <a:solidFill>
              <a:srgbClr val="4E2A84"/>
            </a:solidFill>
            <a:ln>
              <a:noFill/>
            </a:ln>
            <a:effectLst/>
          </c:spPr>
          <c:invertIfNegative val="0"/>
          <c:cat>
            <c:strRef>
              <c:f>'scratch work'!$P$16:$P$19</c:f>
              <c:strCache>
                <c:ptCount val="4"/>
                <c:pt idx="0">
                  <c:v>Caucasian </c:v>
                </c:pt>
                <c:pt idx="1">
                  <c:v>African American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'scratch work'!$Q$16:$Q$19</c:f>
              <c:numCache>
                <c:formatCode>General</c:formatCode>
                <c:ptCount val="4"/>
                <c:pt idx="0">
                  <c:v>91</c:v>
                </c:pt>
                <c:pt idx="1">
                  <c:v>9</c:v>
                </c:pt>
                <c:pt idx="2">
                  <c:v>13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5-41D3-A34C-6B2C9EF8BBAF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'scratch work'!$P$16:$P$19</c:f>
              <c:strCache>
                <c:ptCount val="4"/>
                <c:pt idx="0">
                  <c:v>Caucasian </c:v>
                </c:pt>
                <c:pt idx="1">
                  <c:v>African American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'scratch work'!$R$16:$R$19</c:f>
              <c:numCache>
                <c:formatCode>0</c:formatCode>
                <c:ptCount val="4"/>
                <c:pt idx="0">
                  <c:v>1336</c:v>
                </c:pt>
                <c:pt idx="1">
                  <c:v>139</c:v>
                </c:pt>
                <c:pt idx="2" formatCode="General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5-41D3-A34C-6B2C9EF8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393023"/>
        <c:axId val="829392607"/>
      </c:barChart>
      <c:catAx>
        <c:axId val="8293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92607"/>
        <c:crosses val="autoZero"/>
        <c:auto val="1"/>
        <c:lblAlgn val="ctr"/>
        <c:lblOffset val="100"/>
        <c:noMultiLvlLbl val="0"/>
      </c:catAx>
      <c:valAx>
        <c:axId val="829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race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CCHS</c:v>
          </c:tx>
          <c:spPr>
            <a:solidFill>
              <a:srgbClr val="4E2A84"/>
            </a:solidFill>
            <a:ln>
              <a:noFill/>
            </a:ln>
            <a:effectLst/>
          </c:spPr>
          <c:invertIfNegative val="0"/>
          <c:cat>
            <c:strRef>
              <c:f>'scratch work'!$P$16:$P$19</c:f>
              <c:strCache>
                <c:ptCount val="4"/>
                <c:pt idx="0">
                  <c:v>Caucasian </c:v>
                </c:pt>
                <c:pt idx="1">
                  <c:v>African American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'scratch work'!$T$16:$T$19</c:f>
              <c:numCache>
                <c:formatCode>General</c:formatCode>
                <c:ptCount val="4"/>
                <c:pt idx="0">
                  <c:v>587</c:v>
                </c:pt>
                <c:pt idx="1">
                  <c:v>34</c:v>
                </c:pt>
                <c:pt idx="2">
                  <c:v>120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834-8A66-629FA50BFE01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'scratch work'!$P$16:$P$19</c:f>
              <c:strCache>
                <c:ptCount val="4"/>
                <c:pt idx="0">
                  <c:v>Caucasian </c:v>
                </c:pt>
                <c:pt idx="1">
                  <c:v>African American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'scratch work'!$U$16:$U$19</c:f>
              <c:numCache>
                <c:formatCode>0</c:formatCode>
                <c:ptCount val="4"/>
                <c:pt idx="0">
                  <c:v>1769</c:v>
                </c:pt>
                <c:pt idx="1">
                  <c:v>170</c:v>
                </c:pt>
                <c:pt idx="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E-4834-8A66-629FA50B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989775"/>
        <c:axId val="665988111"/>
      </c:barChart>
      <c:catAx>
        <c:axId val="6659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8111"/>
        <c:crosses val="autoZero"/>
        <c:auto val="1"/>
        <c:lblAlgn val="ctr"/>
        <c:lblOffset val="100"/>
        <c:noMultiLvlLbl val="0"/>
      </c:catAx>
      <c:valAx>
        <c:axId val="6659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1255980</xdr:colOff>
      <xdr:row>22</xdr:row>
      <xdr:rowOff>147204</xdr:rowOff>
    </xdr:from>
    <xdr:to>
      <xdr:col>27</xdr:col>
      <xdr:colOff>532987</xdr:colOff>
      <xdr:row>36</xdr:row>
      <xdr:rowOff>53273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1E7D8-8E9F-40ED-A7FE-5DB13203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544439</xdr:colOff>
      <xdr:row>7</xdr:row>
      <xdr:rowOff>35565</xdr:rowOff>
    </xdr:from>
    <xdr:to>
      <xdr:col>28</xdr:col>
      <xdr:colOff>590827</xdr:colOff>
      <xdr:row>18</xdr:row>
      <xdr:rowOff>140526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22C9A-BED1-4142-B3EC-ACEF6FE0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9896</xdr:colOff>
      <xdr:row>39</xdr:row>
      <xdr:rowOff>14844</xdr:rowOff>
    </xdr:from>
    <xdr:to>
      <xdr:col>19</xdr:col>
      <xdr:colOff>865909</xdr:colOff>
      <xdr:row>54</xdr:row>
      <xdr:rowOff>86096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1D24C9-D941-4315-9AF5-3A2E1E62C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870857</xdr:colOff>
      <xdr:row>27</xdr:row>
      <xdr:rowOff>642254</xdr:rowOff>
    </xdr:from>
    <xdr:to>
      <xdr:col>24</xdr:col>
      <xdr:colOff>366156</xdr:colOff>
      <xdr:row>44</xdr:row>
      <xdr:rowOff>10883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9250AE-6C44-4C7B-8D3C-464236CD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189108</xdr:colOff>
      <xdr:row>24</xdr:row>
      <xdr:rowOff>97816</xdr:rowOff>
    </xdr:from>
    <xdr:to>
      <xdr:col>19</xdr:col>
      <xdr:colOff>325489</xdr:colOff>
      <xdr:row>38</xdr:row>
      <xdr:rowOff>834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D2C1A-9873-46CA-A404-452121F1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ttal, Angeli" id="{61A1E307-C966-4E4D-A3E6-F270D6FBD800}" userId="S::anmittal@luriechildrens.org::86b2c33b-a827-4f9c-b3b2-02065575ed22" providerId="AD"/>
</personList>
</file>

<file path=xl/theme/theme1.xml><?xml version="1.0" encoding="utf-8"?>
<a:theme xmlns:a="http://schemas.openxmlformats.org/drawingml/2006/main" name="Theme1">
  <a:themeElements>
    <a:clrScheme name="GG Bridge 2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0CC99"/>
      </a:accent1>
      <a:accent2>
        <a:srgbClr val="3333CC"/>
      </a:accent2>
      <a:accent3>
        <a:srgbClr val="FFFFFF"/>
      </a:accent3>
      <a:accent4>
        <a:srgbClr val="000000"/>
      </a:accent4>
      <a:accent5>
        <a:srgbClr val="AAE2CA"/>
      </a:accent5>
      <a:accent6>
        <a:srgbClr val="2D2DB9"/>
      </a:accent6>
      <a:hlink>
        <a:srgbClr val="CCCCFF"/>
      </a:hlink>
      <a:folHlink>
        <a:srgbClr val="B2B2B2"/>
      </a:folHlink>
    </a:clrScheme>
    <a:fontScheme name="GG Bridge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  <a:spAutoFit/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Times New Roman" pitchFamily="18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  <a:spAutoFit/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Times New Roman" pitchFamily="18" charset="0"/>
          </a:defRPr>
        </a:defPPr>
      </a:lstStyle>
    </a:lnDef>
  </a:objectDefaults>
  <a:extraClrSchemeLst>
    <a:extraClrScheme>
      <a:clrScheme name="GG Bridge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GG Bridge 2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CC99"/>
        </a:accent1>
        <a:accent2>
          <a:srgbClr val="3333CC"/>
        </a:accent2>
        <a:accent3>
          <a:srgbClr val="FFFFFF"/>
        </a:accent3>
        <a:accent4>
          <a:srgbClr val="000000"/>
        </a:accent4>
        <a:accent5>
          <a:srgbClr val="AAE2CA"/>
        </a:accent5>
        <a:accent6>
          <a:srgbClr val="2D2DB9"/>
        </a:accent6>
        <a:hlink>
          <a:srgbClr val="CCCCFF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GG Bridge 3">
        <a:dk1>
          <a:srgbClr val="000000"/>
        </a:dk1>
        <a:lt1>
          <a:srgbClr val="FFFFFF"/>
        </a:lt1>
        <a:dk2>
          <a:srgbClr val="000000"/>
        </a:dk2>
        <a:lt2>
          <a:srgbClr val="333333"/>
        </a:lt2>
        <a:accent1>
          <a:srgbClr val="DDDDDD"/>
        </a:accent1>
        <a:accent2>
          <a:srgbClr val="808080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37373"/>
        </a:accent6>
        <a:hlink>
          <a:srgbClr val="4D4D4D"/>
        </a:hlink>
        <a:folHlink>
          <a:srgbClr val="EAEAE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GG Bridge 4">
        <a:dk1>
          <a:srgbClr val="000000"/>
        </a:dk1>
        <a:lt1>
          <a:srgbClr val="FFFFCC"/>
        </a:lt1>
        <a:dk2>
          <a:srgbClr val="808000"/>
        </a:dk2>
        <a:lt2>
          <a:srgbClr val="666633"/>
        </a:lt2>
        <a:accent1>
          <a:srgbClr val="339933"/>
        </a:accent1>
        <a:accent2>
          <a:srgbClr val="800000"/>
        </a:accent2>
        <a:accent3>
          <a:srgbClr val="FFFFE2"/>
        </a:accent3>
        <a:accent4>
          <a:srgbClr val="000000"/>
        </a:accent4>
        <a:accent5>
          <a:srgbClr val="ADCAAD"/>
        </a:accent5>
        <a:accent6>
          <a:srgbClr val="730000"/>
        </a:accent6>
        <a:hlink>
          <a:srgbClr val="0033CC"/>
        </a:hlink>
        <a:folHlink>
          <a:srgbClr val="FFCC6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GG Bridge 5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FFCC66"/>
        </a:accent1>
        <a:accent2>
          <a:srgbClr val="0000FF"/>
        </a:accent2>
        <a:accent3>
          <a:srgbClr val="FFFFFF"/>
        </a:accent3>
        <a:accent4>
          <a:srgbClr val="000000"/>
        </a:accent4>
        <a:accent5>
          <a:srgbClr val="FFE2B8"/>
        </a:accent5>
        <a:accent6>
          <a:srgbClr val="0000E7"/>
        </a:accent6>
        <a:hlink>
          <a:srgbClr val="CC00CC"/>
        </a:hlink>
        <a:folHlink>
          <a:srgbClr val="C0C0C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GG Bridge 6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C0C0C0"/>
        </a:accent1>
        <a:accent2>
          <a:srgbClr val="0066FF"/>
        </a:accent2>
        <a:accent3>
          <a:srgbClr val="FFFFFF"/>
        </a:accent3>
        <a:accent4>
          <a:srgbClr val="000000"/>
        </a:accent4>
        <a:accent5>
          <a:srgbClr val="DCDCDC"/>
        </a:accent5>
        <a:accent6>
          <a:srgbClr val="005CE7"/>
        </a:accent6>
        <a:hlink>
          <a:srgbClr val="FF0000"/>
        </a:hlink>
        <a:folHlink>
          <a:srgbClr val="00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GG Bridge 7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399FF"/>
        </a:accent1>
        <a:accent2>
          <a:srgbClr val="99FFCC"/>
        </a:accent2>
        <a:accent3>
          <a:srgbClr val="FFFFFF"/>
        </a:accent3>
        <a:accent4>
          <a:srgbClr val="000000"/>
        </a:accent4>
        <a:accent5>
          <a:srgbClr val="ADCAFF"/>
        </a:accent5>
        <a:accent6>
          <a:srgbClr val="8AE7B9"/>
        </a:accent6>
        <a:hlink>
          <a:srgbClr val="CC00CC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heme1" id="{23F21A9E-8D5B-4CB6-943E-BE7244899787}" vid="{5DF18E08-7BAA-4401-ACF0-B89D22FE5C44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1-09-10T14:31:15.59" personId="{61A1E307-C966-4E4D-A3E6-F270D6FBD800}" id="{B2E821B5-F69B-4F8F-B02E-9C3778E53374}">
    <text>82 patients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B465-9D31-47F1-B23A-F31C4B7BD385}">
  <sheetPr>
    <pageSetUpPr fitToPage="1"/>
  </sheetPr>
  <dimension ref="B1:O51"/>
  <sheetViews>
    <sheetView zoomScale="77" zoomScaleNormal="70" workbookViewId="0">
      <selection activeCell="H22" sqref="H22"/>
    </sheetView>
  </sheetViews>
  <sheetFormatPr defaultColWidth="10.5703125" defaultRowHeight="15" x14ac:dyDescent="0.25"/>
  <cols>
    <col min="1" max="1" width="10.5703125" style="14"/>
    <col min="2" max="2" width="21.85546875" style="14" bestFit="1" customWidth="1"/>
    <col min="3" max="3" width="10.5703125" style="14"/>
    <col min="4" max="4" width="15.28515625" style="4" customWidth="1"/>
    <col min="5" max="5" width="10.7109375" style="4" customWidth="1"/>
    <col min="6" max="6" width="16.7109375" style="4" customWidth="1"/>
    <col min="7" max="7" width="18.140625" style="4" bestFit="1" customWidth="1"/>
    <col min="8" max="8" width="10.5703125" style="4"/>
    <col min="9" max="9" width="14.42578125" style="14" bestFit="1" customWidth="1"/>
    <col min="10" max="11" width="10.5703125" style="14"/>
    <col min="12" max="13" width="15.5703125" style="14" customWidth="1"/>
    <col min="14" max="14" width="13.140625" style="14" customWidth="1"/>
    <col min="15" max="15" width="20" style="14" customWidth="1"/>
    <col min="16" max="16384" width="10.5703125" style="14"/>
  </cols>
  <sheetData>
    <row r="1" spans="2:15" s="4" customFormat="1" ht="32.1" customHeight="1" x14ac:dyDescent="0.25"/>
    <row r="2" spans="2:15" s="13" customFormat="1" ht="57" x14ac:dyDescent="0.25">
      <c r="B2" s="19" t="s">
        <v>17</v>
      </c>
      <c r="C2" s="20" t="s">
        <v>20</v>
      </c>
      <c r="D2" s="20" t="s">
        <v>21</v>
      </c>
      <c r="E2" s="20" t="s">
        <v>42</v>
      </c>
      <c r="F2" s="27" t="s">
        <v>27</v>
      </c>
      <c r="G2" s="4"/>
      <c r="H2" s="4"/>
    </row>
    <row r="3" spans="2:15" x14ac:dyDescent="0.25">
      <c r="B3" s="22" t="s">
        <v>0</v>
      </c>
      <c r="C3" s="7">
        <v>81</v>
      </c>
      <c r="D3" s="6">
        <v>206.87096774193549</v>
      </c>
      <c r="E3" s="6">
        <v>37</v>
      </c>
      <c r="F3" s="59">
        <f>SUM(D3:E3)/C3</f>
        <v>3.010752688172043</v>
      </c>
    </row>
    <row r="4" spans="2:15" x14ac:dyDescent="0.25">
      <c r="B4" s="22" t="s">
        <v>6</v>
      </c>
      <c r="C4" s="7">
        <v>93</v>
      </c>
      <c r="D4" s="6">
        <v>227</v>
      </c>
      <c r="E4" s="6">
        <v>53</v>
      </c>
      <c r="F4" s="59">
        <f t="shared" ref="F4:F11" si="0">SUM(D4:E4)/C4</f>
        <v>3.010752688172043</v>
      </c>
    </row>
    <row r="5" spans="2:15" x14ac:dyDescent="0.25">
      <c r="B5" s="22" t="s">
        <v>8</v>
      </c>
      <c r="C5" s="7">
        <v>59</v>
      </c>
      <c r="D5" s="6">
        <v>132.63440860215053</v>
      </c>
      <c r="E5" s="6">
        <v>45</v>
      </c>
      <c r="F5" s="59">
        <f t="shared" si="0"/>
        <v>3.010752688172043</v>
      </c>
    </row>
    <row r="6" spans="2:15" x14ac:dyDescent="0.25">
      <c r="B6" s="22" t="s">
        <v>9</v>
      </c>
      <c r="C6" s="7">
        <v>92</v>
      </c>
      <c r="D6" s="6">
        <v>215.98924731182797</v>
      </c>
      <c r="E6" s="6">
        <v>61</v>
      </c>
      <c r="F6" s="59">
        <f t="shared" si="0"/>
        <v>3.010752688172043</v>
      </c>
    </row>
    <row r="7" spans="2:15" x14ac:dyDescent="0.25">
      <c r="B7" s="22" t="s">
        <v>10</v>
      </c>
      <c r="C7" s="7">
        <v>86</v>
      </c>
      <c r="D7" s="6">
        <v>204.92473118279571</v>
      </c>
      <c r="E7" s="6">
        <v>54</v>
      </c>
      <c r="F7" s="59">
        <f t="shared" si="0"/>
        <v>3.010752688172043</v>
      </c>
    </row>
    <row r="8" spans="2:15" x14ac:dyDescent="0.25">
      <c r="B8" s="22" t="s">
        <v>3</v>
      </c>
      <c r="C8" s="7">
        <v>59</v>
      </c>
      <c r="D8" s="6">
        <v>120.63440860215053</v>
      </c>
      <c r="E8" s="6">
        <v>57</v>
      </c>
      <c r="F8" s="59">
        <f t="shared" si="0"/>
        <v>3.010752688172043</v>
      </c>
      <c r="I8" s="15"/>
      <c r="J8" s="4"/>
      <c r="K8" s="4"/>
      <c r="L8" s="4"/>
      <c r="M8" s="4"/>
      <c r="N8" s="4"/>
    </row>
    <row r="9" spans="2:15" x14ac:dyDescent="0.25">
      <c r="B9" s="22" t="s">
        <v>4</v>
      </c>
      <c r="C9" s="7">
        <v>48</v>
      </c>
      <c r="D9" s="6">
        <v>84.51612903225805</v>
      </c>
      <c r="E9" s="6">
        <v>60</v>
      </c>
      <c r="F9" s="59">
        <f t="shared" si="0"/>
        <v>3.0107526881720426</v>
      </c>
      <c r="I9" s="15"/>
      <c r="J9" s="4"/>
      <c r="K9" s="4"/>
      <c r="L9" s="4"/>
      <c r="M9" s="4"/>
      <c r="N9" s="4"/>
    </row>
    <row r="10" spans="2:15" x14ac:dyDescent="0.25">
      <c r="B10" s="22" t="s">
        <v>5</v>
      </c>
      <c r="C10" s="7">
        <v>55</v>
      </c>
      <c r="D10" s="6">
        <v>59.591397849462368</v>
      </c>
      <c r="E10" s="6">
        <v>106</v>
      </c>
      <c r="F10" s="59">
        <f t="shared" si="0"/>
        <v>3.010752688172043</v>
      </c>
      <c r="I10" s="15"/>
      <c r="J10" s="4"/>
      <c r="K10" s="4"/>
      <c r="L10" s="4"/>
      <c r="M10" s="4"/>
      <c r="N10" s="4"/>
    </row>
    <row r="11" spans="2:15" x14ac:dyDescent="0.25">
      <c r="B11" s="22" t="s">
        <v>7</v>
      </c>
      <c r="C11" s="7">
        <v>14</v>
      </c>
      <c r="D11" s="6">
        <v>0</v>
      </c>
      <c r="E11" s="6">
        <v>42</v>
      </c>
      <c r="F11" s="59">
        <f t="shared" si="0"/>
        <v>3</v>
      </c>
      <c r="I11" s="15"/>
      <c r="J11" s="4"/>
      <c r="K11" s="4"/>
      <c r="L11" s="4"/>
      <c r="M11" s="4"/>
      <c r="N11" s="4"/>
    </row>
    <row r="12" spans="2:15" x14ac:dyDescent="0.25">
      <c r="B12" s="36" t="s">
        <v>13</v>
      </c>
      <c r="C12" s="24">
        <v>587</v>
      </c>
      <c r="D12" s="34">
        <v>1254</v>
      </c>
      <c r="E12" s="34">
        <f>SUM(E3:E11)</f>
        <v>515</v>
      </c>
      <c r="F12" s="57"/>
      <c r="G12" s="5"/>
      <c r="I12" s="16"/>
    </row>
    <row r="13" spans="2:15" x14ac:dyDescent="0.25">
      <c r="B13" s="15"/>
      <c r="D13" s="14"/>
      <c r="E13" s="14"/>
      <c r="F13" s="14"/>
      <c r="G13" s="14"/>
      <c r="I13" s="15"/>
      <c r="J13" s="4"/>
      <c r="K13" s="4"/>
      <c r="L13" s="4"/>
      <c r="M13" s="4"/>
      <c r="N13" s="4"/>
    </row>
    <row r="14" spans="2:15" ht="85.5" x14ac:dyDescent="0.25">
      <c r="B14" s="19" t="s">
        <v>18</v>
      </c>
      <c r="C14" s="20" t="s">
        <v>20</v>
      </c>
      <c r="D14" s="20" t="s">
        <v>21</v>
      </c>
      <c r="E14" s="20" t="s">
        <v>43</v>
      </c>
      <c r="F14" s="20" t="s">
        <v>44</v>
      </c>
      <c r="G14" s="27" t="s">
        <v>27</v>
      </c>
      <c r="H14" s="14"/>
      <c r="I14" s="26" t="s">
        <v>12</v>
      </c>
      <c r="J14" s="20" t="s">
        <v>16</v>
      </c>
      <c r="K14" s="20" t="s">
        <v>34</v>
      </c>
      <c r="L14" s="54" t="s">
        <v>25</v>
      </c>
      <c r="M14" s="20" t="s">
        <v>26</v>
      </c>
      <c r="N14" s="20" t="s">
        <v>35</v>
      </c>
      <c r="O14" s="27" t="s">
        <v>27</v>
      </c>
    </row>
    <row r="15" spans="2:15" x14ac:dyDescent="0.25">
      <c r="B15" s="22" t="s">
        <v>0</v>
      </c>
      <c r="C15" s="7">
        <v>7</v>
      </c>
      <c r="D15" s="6">
        <v>30</v>
      </c>
      <c r="E15" s="6">
        <v>5</v>
      </c>
      <c r="F15" s="6">
        <v>10</v>
      </c>
      <c r="G15" s="59">
        <f>SUM(D15:E15)/C15</f>
        <v>5</v>
      </c>
      <c r="H15" s="14"/>
      <c r="I15" s="28" t="s">
        <v>14</v>
      </c>
      <c r="J15" s="14">
        <v>91</v>
      </c>
      <c r="K15" s="17">
        <f>D12+82</f>
        <v>1336</v>
      </c>
      <c r="L15" s="53">
        <f>K15/J15</f>
        <v>14.681318681318681</v>
      </c>
      <c r="M15" s="4">
        <v>587</v>
      </c>
      <c r="N15" s="17">
        <f>SUM(D12:E12)</f>
        <v>1769</v>
      </c>
      <c r="O15" s="29">
        <f>N15/M15</f>
        <v>3.0136286201022147</v>
      </c>
    </row>
    <row r="16" spans="2:15" x14ac:dyDescent="0.25">
      <c r="B16" s="22" t="s">
        <v>6</v>
      </c>
      <c r="C16" s="7">
        <v>8</v>
      </c>
      <c r="D16" s="6">
        <v>35</v>
      </c>
      <c r="E16" s="6">
        <v>5</v>
      </c>
      <c r="F16" s="6">
        <v>0</v>
      </c>
      <c r="G16" s="59">
        <f t="shared" ref="G16:G23" si="1">SUM(D16:E16)/C16</f>
        <v>5</v>
      </c>
      <c r="H16" s="14"/>
      <c r="I16" s="28" t="s">
        <v>1</v>
      </c>
      <c r="J16" s="14">
        <v>9</v>
      </c>
      <c r="K16" s="17">
        <f>D24</f>
        <v>139</v>
      </c>
      <c r="L16" s="53">
        <f>K16/J16</f>
        <v>15.444444444444445</v>
      </c>
      <c r="M16" s="4">
        <v>34</v>
      </c>
      <c r="N16" s="17">
        <f>SUM(D24:E24)</f>
        <v>170</v>
      </c>
      <c r="O16" s="29">
        <f>N16/M16</f>
        <v>5</v>
      </c>
    </row>
    <row r="17" spans="2:15" x14ac:dyDescent="0.25">
      <c r="B17" s="22" t="s">
        <v>8</v>
      </c>
      <c r="C17" s="7">
        <v>4</v>
      </c>
      <c r="D17" s="6">
        <v>17</v>
      </c>
      <c r="E17" s="6">
        <v>3</v>
      </c>
      <c r="F17" s="6">
        <v>0</v>
      </c>
      <c r="G17" s="59">
        <f t="shared" si="1"/>
        <v>5</v>
      </c>
      <c r="H17" s="14"/>
      <c r="I17" s="28" t="s">
        <v>2</v>
      </c>
      <c r="J17" s="14">
        <v>13</v>
      </c>
      <c r="K17" s="14">
        <v>216</v>
      </c>
      <c r="L17" s="53">
        <f>K17/J17</f>
        <v>16.615384615384617</v>
      </c>
      <c r="M17" s="4">
        <v>120</v>
      </c>
      <c r="N17" s="17">
        <f>SUM(D36:E36)</f>
        <v>358</v>
      </c>
      <c r="O17" s="29">
        <f>N17/M17</f>
        <v>2.9833333333333334</v>
      </c>
    </row>
    <row r="18" spans="2:15" x14ac:dyDescent="0.25">
      <c r="B18" s="22" t="s">
        <v>9</v>
      </c>
      <c r="C18" s="7">
        <v>8</v>
      </c>
      <c r="D18" s="6">
        <v>34</v>
      </c>
      <c r="E18" s="6">
        <v>6</v>
      </c>
      <c r="F18" s="6">
        <v>0</v>
      </c>
      <c r="G18" s="59">
        <f t="shared" si="1"/>
        <v>5</v>
      </c>
      <c r="H18" s="14"/>
      <c r="I18" s="28" t="s">
        <v>11</v>
      </c>
      <c r="J18" s="14">
        <v>31</v>
      </c>
      <c r="L18" s="53"/>
      <c r="M18" s="4">
        <v>58</v>
      </c>
      <c r="O18" s="29"/>
    </row>
    <row r="19" spans="2:15" x14ac:dyDescent="0.25">
      <c r="B19" s="22" t="s">
        <v>10</v>
      </c>
      <c r="C19" s="7">
        <v>4</v>
      </c>
      <c r="D19" s="6">
        <v>17</v>
      </c>
      <c r="E19" s="6">
        <v>3</v>
      </c>
      <c r="F19" s="6">
        <v>0</v>
      </c>
      <c r="G19" s="59">
        <f t="shared" si="1"/>
        <v>5</v>
      </c>
      <c r="H19" s="14"/>
      <c r="I19" s="30" t="s">
        <v>15</v>
      </c>
      <c r="J19" s="55">
        <f>SUM(J15:J18)</f>
        <v>144</v>
      </c>
      <c r="K19" s="31">
        <f>SUM(K15:K17)</f>
        <v>1691</v>
      </c>
      <c r="L19" s="56"/>
      <c r="M19" s="31">
        <f>SUM(M15:M18)</f>
        <v>799</v>
      </c>
      <c r="N19" s="31">
        <f>SUM(N15:N18)</f>
        <v>2297</v>
      </c>
      <c r="O19" s="32"/>
    </row>
    <row r="20" spans="2:15" x14ac:dyDescent="0.25">
      <c r="B20" s="22" t="s">
        <v>3</v>
      </c>
      <c r="C20" s="7">
        <v>2</v>
      </c>
      <c r="D20" s="6">
        <v>6</v>
      </c>
      <c r="E20" s="6">
        <v>3</v>
      </c>
      <c r="F20" s="6">
        <v>0</v>
      </c>
      <c r="G20" s="59">
        <f t="shared" si="1"/>
        <v>4.5</v>
      </c>
      <c r="H20" s="14"/>
    </row>
    <row r="21" spans="2:15" x14ac:dyDescent="0.25">
      <c r="B21" s="22" t="s">
        <v>4</v>
      </c>
      <c r="C21" s="7">
        <v>0</v>
      </c>
      <c r="D21" s="6">
        <v>0</v>
      </c>
      <c r="E21" s="6">
        <v>0</v>
      </c>
      <c r="F21" s="6">
        <v>0</v>
      </c>
      <c r="G21" s="60" t="s">
        <v>45</v>
      </c>
      <c r="H21" s="14"/>
    </row>
    <row r="22" spans="2:15" x14ac:dyDescent="0.25">
      <c r="B22" s="22" t="s">
        <v>5</v>
      </c>
      <c r="C22" s="7">
        <v>1</v>
      </c>
      <c r="D22" s="6">
        <v>0</v>
      </c>
      <c r="E22" s="6">
        <v>6</v>
      </c>
      <c r="F22" s="6">
        <v>0</v>
      </c>
      <c r="G22" s="59">
        <f t="shared" si="1"/>
        <v>6</v>
      </c>
      <c r="H22" s="14"/>
    </row>
    <row r="23" spans="2:15" x14ac:dyDescent="0.25">
      <c r="B23" s="22" t="s">
        <v>7</v>
      </c>
      <c r="C23" s="7">
        <v>0</v>
      </c>
      <c r="D23" s="6">
        <v>0</v>
      </c>
      <c r="E23" s="6">
        <v>0</v>
      </c>
      <c r="F23" s="6">
        <v>0</v>
      </c>
      <c r="G23" s="60" t="s">
        <v>45</v>
      </c>
      <c r="H23" s="14"/>
      <c r="K23" s="4"/>
      <c r="L23" s="4"/>
      <c r="M23" s="4"/>
      <c r="N23" s="4"/>
    </row>
    <row r="24" spans="2:15" x14ac:dyDescent="0.25">
      <c r="B24" s="36" t="s">
        <v>13</v>
      </c>
      <c r="C24" s="24">
        <v>34</v>
      </c>
      <c r="D24" s="34">
        <v>139</v>
      </c>
      <c r="E24" s="34">
        <f>SUM(E15:E23)</f>
        <v>31</v>
      </c>
      <c r="F24" s="34">
        <f>SUM(F15:F23)</f>
        <v>10</v>
      </c>
      <c r="G24" s="58"/>
      <c r="H24" s="14"/>
      <c r="K24" s="4"/>
      <c r="L24" s="4"/>
      <c r="M24" s="4"/>
      <c r="N24" s="4"/>
    </row>
    <row r="25" spans="2:15" x14ac:dyDescent="0.25">
      <c r="B25" s="15"/>
      <c r="C25" s="4"/>
      <c r="D25" s="5"/>
      <c r="E25" s="5"/>
      <c r="F25" s="5"/>
      <c r="G25" s="5"/>
      <c r="H25" s="14"/>
      <c r="K25" s="4"/>
      <c r="L25" s="4"/>
      <c r="M25" s="4"/>
      <c r="N25" s="4"/>
    </row>
    <row r="26" spans="2:15" ht="57" x14ac:dyDescent="0.25">
      <c r="B26" s="19" t="s">
        <v>19</v>
      </c>
      <c r="C26" s="20" t="s">
        <v>20</v>
      </c>
      <c r="D26" s="20" t="s">
        <v>21</v>
      </c>
      <c r="E26" s="20" t="s">
        <v>43</v>
      </c>
      <c r="F26" s="20" t="s">
        <v>44</v>
      </c>
      <c r="G26" s="27" t="s">
        <v>27</v>
      </c>
      <c r="H26" s="14"/>
      <c r="K26" s="4"/>
      <c r="L26" s="4"/>
      <c r="M26" s="4"/>
      <c r="N26" s="4"/>
    </row>
    <row r="27" spans="2:15" x14ac:dyDescent="0.25">
      <c r="B27" s="22" t="s">
        <v>0</v>
      </c>
      <c r="C27" s="7">
        <v>12</v>
      </c>
      <c r="D27" s="6">
        <v>25</v>
      </c>
      <c r="E27" s="6">
        <v>12</v>
      </c>
      <c r="F27" s="6">
        <v>12</v>
      </c>
      <c r="G27" s="59">
        <f>SUM(D27:E27)/C27</f>
        <v>3.0833333333333335</v>
      </c>
      <c r="H27" s="14"/>
      <c r="K27" s="4"/>
      <c r="L27" s="4"/>
      <c r="M27" s="4"/>
      <c r="N27" s="4"/>
    </row>
    <row r="28" spans="2:15" x14ac:dyDescent="0.25">
      <c r="B28" s="22" t="s">
        <v>6</v>
      </c>
      <c r="C28" s="7">
        <v>16</v>
      </c>
      <c r="D28" s="6">
        <v>23</v>
      </c>
      <c r="E28" s="6">
        <v>25</v>
      </c>
      <c r="F28" s="6">
        <v>5</v>
      </c>
      <c r="G28" s="59">
        <f t="shared" ref="G28:G35" si="2">SUM(D28:E28)/C28</f>
        <v>3</v>
      </c>
      <c r="H28" s="14"/>
      <c r="K28" s="4"/>
      <c r="L28" s="4"/>
      <c r="M28" s="4"/>
      <c r="N28" s="4"/>
    </row>
    <row r="29" spans="2:15" x14ac:dyDescent="0.25">
      <c r="B29" s="22" t="s">
        <v>8</v>
      </c>
      <c r="C29" s="7">
        <v>24</v>
      </c>
      <c r="D29" s="6">
        <v>57</v>
      </c>
      <c r="E29" s="6">
        <v>14</v>
      </c>
      <c r="F29" s="6">
        <v>0</v>
      </c>
      <c r="G29" s="59">
        <f t="shared" si="2"/>
        <v>2.9583333333333335</v>
      </c>
      <c r="H29" s="14"/>
      <c r="K29" s="4"/>
      <c r="L29" s="4"/>
      <c r="M29" s="4"/>
      <c r="N29" s="4"/>
    </row>
    <row r="30" spans="2:15" x14ac:dyDescent="0.25">
      <c r="B30" s="22" t="s">
        <v>9</v>
      </c>
      <c r="C30" s="7">
        <v>19</v>
      </c>
      <c r="D30" s="6">
        <v>28</v>
      </c>
      <c r="E30" s="6">
        <v>29</v>
      </c>
      <c r="F30" s="6">
        <v>0</v>
      </c>
      <c r="G30" s="59">
        <f t="shared" si="2"/>
        <v>3</v>
      </c>
      <c r="H30" s="14"/>
      <c r="K30" s="4"/>
      <c r="L30" s="4"/>
      <c r="M30" s="4"/>
      <c r="N30" s="4"/>
    </row>
    <row r="31" spans="2:15" x14ac:dyDescent="0.25">
      <c r="B31" s="22" t="s">
        <v>10</v>
      </c>
      <c r="C31" s="7">
        <v>14</v>
      </c>
      <c r="D31" s="6">
        <v>26</v>
      </c>
      <c r="E31" s="6">
        <v>16</v>
      </c>
      <c r="F31" s="6">
        <v>0</v>
      </c>
      <c r="G31" s="59">
        <f t="shared" si="2"/>
        <v>3</v>
      </c>
      <c r="H31" s="14"/>
      <c r="K31" s="4"/>
      <c r="L31" s="4"/>
      <c r="M31" s="4"/>
      <c r="N31" s="4"/>
    </row>
    <row r="32" spans="2:15" x14ac:dyDescent="0.25">
      <c r="B32" s="22" t="s">
        <v>3</v>
      </c>
      <c r="C32" s="7">
        <v>20</v>
      </c>
      <c r="D32" s="6">
        <v>45</v>
      </c>
      <c r="E32" s="6">
        <v>15</v>
      </c>
      <c r="F32" s="6">
        <v>0</v>
      </c>
      <c r="G32" s="59">
        <f t="shared" si="2"/>
        <v>3</v>
      </c>
      <c r="H32" s="14"/>
      <c r="K32" s="4"/>
      <c r="L32" s="4"/>
      <c r="M32" s="4"/>
      <c r="N32" s="4"/>
    </row>
    <row r="33" spans="2:14" x14ac:dyDescent="0.25">
      <c r="B33" s="22" t="s">
        <v>4</v>
      </c>
      <c r="C33" s="7">
        <v>10</v>
      </c>
      <c r="D33" s="6">
        <v>4</v>
      </c>
      <c r="E33" s="6">
        <v>25</v>
      </c>
      <c r="F33" s="6">
        <v>0</v>
      </c>
      <c r="G33" s="59">
        <f t="shared" si="2"/>
        <v>2.9</v>
      </c>
      <c r="H33" s="14"/>
      <c r="K33" s="4"/>
      <c r="L33" s="4"/>
      <c r="M33" s="4"/>
      <c r="N33" s="4"/>
    </row>
    <row r="34" spans="2:14" x14ac:dyDescent="0.25">
      <c r="B34" s="22" t="s">
        <v>5</v>
      </c>
      <c r="C34" s="7">
        <v>2</v>
      </c>
      <c r="D34" s="6">
        <v>0</v>
      </c>
      <c r="E34" s="6">
        <v>6</v>
      </c>
      <c r="F34" s="6">
        <v>0</v>
      </c>
      <c r="G34" s="59">
        <f t="shared" si="2"/>
        <v>3</v>
      </c>
      <c r="I34" s="4"/>
      <c r="J34" s="4"/>
      <c r="K34" s="4"/>
      <c r="L34" s="4"/>
      <c r="M34" s="4"/>
      <c r="N34" s="4"/>
    </row>
    <row r="35" spans="2:14" x14ac:dyDescent="0.25">
      <c r="B35" s="22" t="s">
        <v>7</v>
      </c>
      <c r="C35" s="7">
        <v>3</v>
      </c>
      <c r="D35" s="6">
        <v>8</v>
      </c>
      <c r="E35" s="6">
        <v>0</v>
      </c>
      <c r="F35" s="6">
        <v>0</v>
      </c>
      <c r="G35" s="59">
        <f t="shared" si="2"/>
        <v>2.6666666666666665</v>
      </c>
      <c r="I35" s="4"/>
      <c r="J35" s="4"/>
      <c r="K35" s="4"/>
      <c r="L35" s="4"/>
      <c r="M35" s="4"/>
      <c r="N35" s="4"/>
    </row>
    <row r="36" spans="2:14" x14ac:dyDescent="0.25">
      <c r="B36" s="36" t="s">
        <v>13</v>
      </c>
      <c r="C36" s="24">
        <v>120</v>
      </c>
      <c r="D36" s="24">
        <v>216</v>
      </c>
      <c r="E36" s="34">
        <f>SUM(E27:E35)</f>
        <v>142</v>
      </c>
      <c r="F36" s="34">
        <f>SUM(F27:F35)</f>
        <v>17</v>
      </c>
      <c r="G36" s="58"/>
      <c r="I36" s="5"/>
      <c r="J36" s="4"/>
      <c r="L36" s="4"/>
      <c r="M36" s="4"/>
      <c r="N36" s="4"/>
    </row>
    <row r="37" spans="2:14" x14ac:dyDescent="0.25">
      <c r="B37" s="15"/>
      <c r="D37" s="14"/>
      <c r="E37" s="14"/>
      <c r="F37" s="14"/>
      <c r="G37" s="14"/>
      <c r="I37" s="4"/>
      <c r="J37" s="4"/>
      <c r="L37" s="4"/>
      <c r="M37" s="4"/>
      <c r="N37" s="4"/>
    </row>
    <row r="38" spans="2:14" x14ac:dyDescent="0.25">
      <c r="D38" s="14"/>
      <c r="E38" s="14"/>
      <c r="F38" s="14"/>
      <c r="G38" s="14"/>
      <c r="I38" s="4"/>
      <c r="J38" s="4"/>
      <c r="K38" s="4"/>
      <c r="L38" s="4"/>
      <c r="M38" s="4"/>
      <c r="N38" s="4"/>
    </row>
    <row r="39" spans="2:14" x14ac:dyDescent="0.25">
      <c r="D39" s="14"/>
      <c r="E39" s="14"/>
      <c r="F39" s="14"/>
      <c r="G39" s="14"/>
      <c r="I39" s="12"/>
      <c r="J39" s="16"/>
      <c r="K39" s="18"/>
      <c r="L39" s="4"/>
      <c r="M39" s="4"/>
      <c r="N39" s="4"/>
    </row>
    <row r="40" spans="2:14" x14ac:dyDescent="0.25">
      <c r="D40" s="14"/>
      <c r="E40" s="14"/>
      <c r="F40" s="14"/>
      <c r="G40" s="14"/>
      <c r="I40" s="4"/>
      <c r="J40" s="4"/>
      <c r="K40" s="4"/>
      <c r="L40" s="4"/>
      <c r="M40" s="4"/>
      <c r="N40" s="4"/>
    </row>
    <row r="41" spans="2:14" x14ac:dyDescent="0.25">
      <c r="D41" s="14"/>
      <c r="E41" s="14"/>
      <c r="F41" s="14"/>
      <c r="G41" s="14"/>
      <c r="I41" s="4"/>
      <c r="J41" s="4"/>
      <c r="K41" s="4"/>
      <c r="L41" s="4"/>
      <c r="M41" s="4"/>
      <c r="N41" s="4"/>
    </row>
    <row r="42" spans="2:14" x14ac:dyDescent="0.25">
      <c r="D42" s="14"/>
      <c r="E42" s="14"/>
      <c r="F42" s="14"/>
      <c r="G42" s="14"/>
      <c r="I42" s="4"/>
      <c r="J42" s="4"/>
      <c r="K42" s="4"/>
      <c r="L42" s="4"/>
      <c r="M42" s="4"/>
      <c r="N42" s="4"/>
    </row>
    <row r="43" spans="2:14" x14ac:dyDescent="0.25">
      <c r="D43" s="14"/>
      <c r="E43" s="14"/>
      <c r="F43" s="14"/>
      <c r="G43" s="14"/>
      <c r="I43" s="4"/>
      <c r="J43" s="4"/>
      <c r="K43" s="4"/>
      <c r="L43" s="4"/>
      <c r="M43" s="4"/>
      <c r="N43" s="4"/>
    </row>
    <row r="44" spans="2:14" x14ac:dyDescent="0.25">
      <c r="D44" s="14"/>
      <c r="E44" s="14"/>
      <c r="F44" s="14"/>
      <c r="G44" s="14"/>
      <c r="I44" s="15"/>
      <c r="J44" s="5"/>
      <c r="K44" s="4"/>
      <c r="L44" s="4"/>
      <c r="M44" s="4"/>
      <c r="N44" s="4"/>
    </row>
    <row r="45" spans="2:14" x14ac:dyDescent="0.25">
      <c r="D45" s="14"/>
      <c r="E45" s="14"/>
      <c r="F45" s="14"/>
      <c r="G45" s="14"/>
      <c r="I45" s="4"/>
      <c r="J45" s="4"/>
      <c r="K45" s="4"/>
      <c r="L45" s="4"/>
      <c r="M45" s="4"/>
      <c r="N45" s="4"/>
    </row>
    <row r="46" spans="2:14" x14ac:dyDescent="0.25">
      <c r="I46" s="4"/>
      <c r="J46" s="4"/>
      <c r="K46" s="4"/>
      <c r="L46" s="4"/>
      <c r="M46" s="4"/>
      <c r="N46" s="4"/>
    </row>
    <row r="47" spans="2:14" x14ac:dyDescent="0.25">
      <c r="I47" s="4"/>
      <c r="J47" s="4"/>
      <c r="K47" s="4"/>
      <c r="L47" s="4"/>
      <c r="M47" s="4"/>
      <c r="N47" s="4"/>
    </row>
    <row r="48" spans="2:14" x14ac:dyDescent="0.25">
      <c r="I48" s="4"/>
      <c r="J48" s="4"/>
      <c r="K48" s="4"/>
      <c r="L48" s="4"/>
      <c r="M48" s="4"/>
      <c r="N48" s="4"/>
    </row>
    <row r="49" spans="6:14" x14ac:dyDescent="0.25">
      <c r="I49" s="4"/>
      <c r="J49" s="4"/>
      <c r="K49" s="4"/>
      <c r="L49" s="4"/>
      <c r="M49" s="4"/>
      <c r="N49" s="4"/>
    </row>
    <row r="50" spans="6:14" x14ac:dyDescent="0.25">
      <c r="F50" s="14"/>
      <c r="G50" s="14"/>
      <c r="H50" s="14"/>
    </row>
    <row r="51" spans="6:14" x14ac:dyDescent="0.25">
      <c r="F51" s="14"/>
      <c r="G51" s="14"/>
      <c r="H51" s="14"/>
    </row>
  </sheetData>
  <pageMargins left="0.7" right="0.7" top="0.75" bottom="0.75" header="0.3" footer="0.3"/>
  <pageSetup scale="5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0C8-E111-4201-8021-47A9E3EFE34F}">
  <sheetPr>
    <pageSetUpPr fitToPage="1"/>
  </sheetPr>
  <dimension ref="C1:AD54"/>
  <sheetViews>
    <sheetView tabSelected="1" topLeftCell="C1" zoomScale="80" zoomScaleNormal="80" workbookViewId="0">
      <selection activeCell="N26" sqref="N26"/>
    </sheetView>
  </sheetViews>
  <sheetFormatPr defaultColWidth="10.5703125" defaultRowHeight="15" x14ac:dyDescent="0.25"/>
  <cols>
    <col min="1" max="2" width="10.5703125" style="14"/>
    <col min="3" max="3" width="21.85546875" style="14" bestFit="1" customWidth="1"/>
    <col min="4" max="4" width="10.5703125" style="14"/>
    <col min="5" max="5" width="10.7109375" style="14" customWidth="1"/>
    <col min="6" max="6" width="15.28515625" style="4" customWidth="1"/>
    <col min="7" max="7" width="10.7109375" style="4" hidden="1" customWidth="1"/>
    <col min="8" max="13" width="10.7109375" style="4" customWidth="1"/>
    <col min="14" max="15" width="10.5703125" style="4"/>
    <col min="16" max="16" width="14.42578125" style="14" bestFit="1" customWidth="1"/>
    <col min="17" max="18" width="10.5703125" style="14"/>
    <col min="19" max="20" width="15.5703125" style="14" customWidth="1"/>
    <col min="21" max="21" width="13.140625" style="14" customWidth="1"/>
    <col min="22" max="22" width="20" style="14" customWidth="1"/>
    <col min="23" max="16384" width="10.5703125" style="14"/>
  </cols>
  <sheetData>
    <row r="1" spans="3:30" s="4" customFormat="1" ht="32.1" customHeight="1" x14ac:dyDescent="0.25"/>
    <row r="2" spans="3:30" s="13" customFormat="1" ht="71.25" x14ac:dyDescent="0.25">
      <c r="C2" s="19" t="s">
        <v>17</v>
      </c>
      <c r="D2" s="20" t="s">
        <v>20</v>
      </c>
      <c r="E2" s="20" t="s">
        <v>22</v>
      </c>
      <c r="F2" s="21" t="s">
        <v>28</v>
      </c>
      <c r="G2" s="11"/>
      <c r="H2" s="11"/>
      <c r="I2" s="20" t="s">
        <v>29</v>
      </c>
      <c r="J2" s="20" t="s">
        <v>32</v>
      </c>
      <c r="K2" s="20" t="s">
        <v>30</v>
      </c>
      <c r="L2" s="20" t="s">
        <v>33</v>
      </c>
      <c r="M2" s="21" t="s">
        <v>31</v>
      </c>
      <c r="N2" s="21" t="s">
        <v>40</v>
      </c>
      <c r="O2" s="4"/>
      <c r="P2" s="13">
        <f>82*6</f>
        <v>492</v>
      </c>
    </row>
    <row r="3" spans="3:30" x14ac:dyDescent="0.25">
      <c r="C3" s="22" t="s">
        <v>0</v>
      </c>
      <c r="D3" s="7">
        <v>81</v>
      </c>
      <c r="E3" s="1">
        <v>322</v>
      </c>
      <c r="F3" s="23">
        <v>197.70967741935485</v>
      </c>
      <c r="G3" s="3"/>
      <c r="H3" s="3"/>
      <c r="I3" s="10">
        <v>72</v>
      </c>
      <c r="J3" s="10">
        <v>37</v>
      </c>
      <c r="K3" s="37">
        <f>(J3+E3)/D3</f>
        <v>4.4320987654320989</v>
      </c>
      <c r="L3" s="42">
        <f>$K$4*D3</f>
        <v>243.87096774193549</v>
      </c>
      <c r="M3" s="33">
        <f>L3-J3</f>
        <v>206.87096774193549</v>
      </c>
      <c r="N3" s="33"/>
      <c r="P3" s="14">
        <f>492*2</f>
        <v>984</v>
      </c>
      <c r="Q3" s="14">
        <f>416+73</f>
        <v>489</v>
      </c>
      <c r="R3" s="14">
        <f>530/82</f>
        <v>6.4634146341463419</v>
      </c>
      <c r="AC3" s="12"/>
      <c r="AD3" s="12"/>
    </row>
    <row r="4" spans="3:30" x14ac:dyDescent="0.25">
      <c r="C4" s="22" t="s">
        <v>6</v>
      </c>
      <c r="D4" s="7">
        <v>93</v>
      </c>
      <c r="E4" s="1">
        <v>227</v>
      </c>
      <c r="F4" s="23">
        <v>227</v>
      </c>
      <c r="G4" s="3"/>
      <c r="H4" s="3"/>
      <c r="I4" s="10">
        <v>85</v>
      </c>
      <c r="J4" s="10">
        <v>53</v>
      </c>
      <c r="K4" s="38">
        <f t="shared" ref="K4:K11" si="0">(J4+E4)/D4</f>
        <v>3.010752688172043</v>
      </c>
      <c r="L4" s="42">
        <f t="shared" ref="L4:L11" si="1">$K$4*D4</f>
        <v>280</v>
      </c>
      <c r="M4" s="33">
        <f t="shared" ref="M4:M10" si="2">L4-J4</f>
        <v>227</v>
      </c>
      <c r="N4" s="33"/>
      <c r="S4" s="14">
        <f>530+1254</f>
        <v>1784</v>
      </c>
      <c r="V4" s="14">
        <f>34/9</f>
        <v>3.7777777777777777</v>
      </c>
      <c r="AC4" s="4"/>
      <c r="AD4" s="4"/>
    </row>
    <row r="5" spans="3:30" x14ac:dyDescent="0.25">
      <c r="C5" s="22" t="s">
        <v>8</v>
      </c>
      <c r="D5" s="7">
        <v>59</v>
      </c>
      <c r="E5" s="1">
        <v>186</v>
      </c>
      <c r="F5" s="23">
        <v>144.01075268817203</v>
      </c>
      <c r="G5" s="3"/>
      <c r="H5" s="3"/>
      <c r="I5" s="10">
        <v>82</v>
      </c>
      <c r="J5" s="10">
        <v>45</v>
      </c>
      <c r="K5" s="37">
        <f t="shared" si="0"/>
        <v>3.9152542372881354</v>
      </c>
      <c r="L5" s="42">
        <f t="shared" si="1"/>
        <v>177.63440860215053</v>
      </c>
      <c r="M5" s="33">
        <f t="shared" si="2"/>
        <v>132.63440860215053</v>
      </c>
      <c r="N5" s="33"/>
      <c r="X5" s="14">
        <f>17/13</f>
        <v>1.3076923076923077</v>
      </c>
      <c r="AC5" s="4">
        <f>587/91</f>
        <v>6.4505494505494507</v>
      </c>
      <c r="AD5" s="4">
        <v>6</v>
      </c>
    </row>
    <row r="6" spans="3:30" x14ac:dyDescent="0.25">
      <c r="C6" s="22" t="s">
        <v>9</v>
      </c>
      <c r="D6" s="7">
        <v>92</v>
      </c>
      <c r="E6" s="1">
        <v>306</v>
      </c>
      <c r="F6" s="23">
        <v>224.55913978494624</v>
      </c>
      <c r="G6" s="3"/>
      <c r="H6" s="3"/>
      <c r="I6" s="10">
        <v>115</v>
      </c>
      <c r="J6" s="10">
        <v>61</v>
      </c>
      <c r="K6" s="37">
        <f t="shared" si="0"/>
        <v>3.9891304347826089</v>
      </c>
      <c r="L6" s="42">
        <f t="shared" si="1"/>
        <v>276.98924731182797</v>
      </c>
      <c r="M6" s="33">
        <f t="shared" si="2"/>
        <v>215.98924731182797</v>
      </c>
      <c r="N6" s="33"/>
      <c r="P6" s="14">
        <f>530/82</f>
        <v>6.4634146341463419</v>
      </c>
      <c r="R6" s="14">
        <f>911/82</f>
        <v>11.109756097560975</v>
      </c>
      <c r="AC6" s="4"/>
      <c r="AD6" s="4"/>
    </row>
    <row r="7" spans="3:30" x14ac:dyDescent="0.25">
      <c r="C7" s="22" t="s">
        <v>10</v>
      </c>
      <c r="D7" s="7">
        <v>86</v>
      </c>
      <c r="E7" s="1">
        <v>291</v>
      </c>
      <c r="F7" s="23">
        <v>209.91397849462365</v>
      </c>
      <c r="G7" s="3"/>
      <c r="H7" s="3"/>
      <c r="I7" s="10">
        <v>96</v>
      </c>
      <c r="J7" s="10">
        <v>54</v>
      </c>
      <c r="K7" s="37">
        <f t="shared" si="0"/>
        <v>4.0116279069767442</v>
      </c>
      <c r="L7" s="42">
        <f t="shared" si="1"/>
        <v>258.92473118279571</v>
      </c>
      <c r="M7" s="33">
        <f t="shared" si="2"/>
        <v>204.92473118279571</v>
      </c>
      <c r="N7" s="33"/>
      <c r="Q7" s="14">
        <f>587/91</f>
        <v>6.4505494505494507</v>
      </c>
      <c r="T7" s="14">
        <f>80/17</f>
        <v>4.7058823529411766</v>
      </c>
      <c r="AC7" s="4"/>
      <c r="AD7" s="4"/>
    </row>
    <row r="8" spans="3:30" x14ac:dyDescent="0.25">
      <c r="C8" s="22" t="s">
        <v>3</v>
      </c>
      <c r="D8" s="7">
        <v>59</v>
      </c>
      <c r="E8" s="1">
        <v>243</v>
      </c>
      <c r="F8" s="23">
        <v>144.01075268817203</v>
      </c>
      <c r="G8" s="3"/>
      <c r="H8" s="3"/>
      <c r="I8" s="10">
        <v>101</v>
      </c>
      <c r="J8" s="10">
        <v>57</v>
      </c>
      <c r="K8" s="37">
        <f t="shared" si="0"/>
        <v>5.0847457627118642</v>
      </c>
      <c r="L8" s="42">
        <f t="shared" si="1"/>
        <v>177.63440860215053</v>
      </c>
      <c r="M8" s="33">
        <f t="shared" si="2"/>
        <v>120.63440860215053</v>
      </c>
      <c r="N8" s="33"/>
      <c r="P8" s="15"/>
      <c r="Q8" s="4"/>
      <c r="R8" s="4"/>
      <c r="S8" s="4"/>
      <c r="T8" s="4">
        <f>34/9</f>
        <v>3.7777777777777777</v>
      </c>
      <c r="U8" s="4"/>
      <c r="AC8" s="4"/>
      <c r="AD8" s="4"/>
    </row>
    <row r="9" spans="3:30" x14ac:dyDescent="0.25">
      <c r="C9" s="22" t="s">
        <v>4</v>
      </c>
      <c r="D9" s="7">
        <v>48</v>
      </c>
      <c r="E9" s="1">
        <v>367</v>
      </c>
      <c r="F9" s="23">
        <v>117.16129032258064</v>
      </c>
      <c r="G9" s="3"/>
      <c r="H9" s="3"/>
      <c r="I9" s="10">
        <v>93</v>
      </c>
      <c r="J9" s="10">
        <v>60</v>
      </c>
      <c r="K9" s="37">
        <f t="shared" si="0"/>
        <v>8.8958333333333339</v>
      </c>
      <c r="L9" s="42">
        <f t="shared" si="1"/>
        <v>144.51612903225805</v>
      </c>
      <c r="M9" s="33">
        <f t="shared" si="2"/>
        <v>84.51612903225805</v>
      </c>
      <c r="N9" s="33"/>
      <c r="P9" s="15"/>
      <c r="Q9" s="4"/>
      <c r="R9" s="4">
        <f>530/82</f>
        <v>6.4634146341463419</v>
      </c>
      <c r="S9" s="4"/>
      <c r="T9" s="4"/>
      <c r="U9" s="4"/>
      <c r="AA9" s="14">
        <f>80/17</f>
        <v>4.7058823529411766</v>
      </c>
      <c r="AC9" s="4"/>
      <c r="AD9" s="4"/>
    </row>
    <row r="10" spans="3:30" x14ac:dyDescent="0.25">
      <c r="C10" s="22" t="s">
        <v>5</v>
      </c>
      <c r="D10" s="7">
        <v>55</v>
      </c>
      <c r="E10" s="1">
        <v>1039</v>
      </c>
      <c r="F10" s="23">
        <v>134.24731182795699</v>
      </c>
      <c r="G10" s="3"/>
      <c r="H10" s="3"/>
      <c r="I10" s="10">
        <v>167</v>
      </c>
      <c r="J10" s="10">
        <v>106</v>
      </c>
      <c r="K10" s="37">
        <f t="shared" si="0"/>
        <v>20.818181818181817</v>
      </c>
      <c r="L10" s="42">
        <f t="shared" si="1"/>
        <v>165.59139784946237</v>
      </c>
      <c r="M10" s="33">
        <f t="shared" si="2"/>
        <v>59.591397849462368</v>
      </c>
      <c r="N10" s="33"/>
      <c r="P10" s="15">
        <f>1433+530</f>
        <v>1963</v>
      </c>
      <c r="Q10" s="4"/>
      <c r="R10" s="4">
        <f>530-492</f>
        <v>38</v>
      </c>
      <c r="S10" s="4"/>
      <c r="T10" s="4"/>
      <c r="U10" s="4"/>
      <c r="AC10" s="4"/>
      <c r="AD10" s="4"/>
    </row>
    <row r="11" spans="3:30" x14ac:dyDescent="0.25">
      <c r="C11" s="22" t="s">
        <v>7</v>
      </c>
      <c r="D11" s="7">
        <v>14</v>
      </c>
      <c r="E11" s="1">
        <v>2352</v>
      </c>
      <c r="F11" s="23">
        <v>34.172043010752688</v>
      </c>
      <c r="G11" s="3"/>
      <c r="H11" s="3"/>
      <c r="I11" s="10">
        <v>100</v>
      </c>
      <c r="J11" s="10">
        <v>57</v>
      </c>
      <c r="K11" s="37">
        <f t="shared" si="0"/>
        <v>172.07142857142858</v>
      </c>
      <c r="L11" s="42">
        <f t="shared" si="1"/>
        <v>42.1505376344086</v>
      </c>
      <c r="M11" s="33">
        <v>0</v>
      </c>
      <c r="N11" s="33">
        <v>-15</v>
      </c>
      <c r="P11" s="15"/>
      <c r="Q11" s="4"/>
      <c r="R11" s="4"/>
      <c r="S11" s="4"/>
      <c r="T11" s="4"/>
      <c r="U11" s="4"/>
      <c r="W11" s="14">
        <f>82+10+17</f>
        <v>109</v>
      </c>
      <c r="AC11" s="4"/>
      <c r="AD11" s="4"/>
    </row>
    <row r="12" spans="3:30" x14ac:dyDescent="0.25">
      <c r="C12" s="36" t="s">
        <v>13</v>
      </c>
      <c r="D12" s="39">
        <v>587</v>
      </c>
      <c r="E12" s="24">
        <v>5333</v>
      </c>
      <c r="F12" s="25">
        <v>1432.7849462365591</v>
      </c>
      <c r="G12" s="8"/>
      <c r="H12" s="8"/>
      <c r="I12" s="34">
        <f>SUM(I3:I11)</f>
        <v>911</v>
      </c>
      <c r="J12" s="34">
        <f>SUM(J3:J11)-15</f>
        <v>515</v>
      </c>
      <c r="K12" s="34"/>
      <c r="L12" s="51">
        <f>1254+530-15</f>
        <v>1769</v>
      </c>
      <c r="M12" s="25">
        <v>1254</v>
      </c>
      <c r="N12" s="25">
        <f>SUM(N3:N11)</f>
        <v>-15</v>
      </c>
      <c r="P12" s="16"/>
      <c r="S12" s="14" t="s">
        <v>36</v>
      </c>
      <c r="W12" s="14">
        <f>109/3</f>
        <v>36.333333333333336</v>
      </c>
      <c r="AC12" s="4"/>
      <c r="AD12" s="4"/>
    </row>
    <row r="13" spans="3:30" ht="28.5" x14ac:dyDescent="0.25">
      <c r="C13" s="44" t="s">
        <v>38</v>
      </c>
      <c r="D13" s="48">
        <f>D12/Q16</f>
        <v>6.4505494505494507</v>
      </c>
      <c r="E13" s="8"/>
      <c r="F13" s="9"/>
      <c r="G13" s="8"/>
      <c r="H13" s="8"/>
      <c r="I13" s="9"/>
      <c r="J13" s="47">
        <f>J12/82</f>
        <v>6.2804878048780486</v>
      </c>
      <c r="K13" s="9"/>
      <c r="L13" s="45"/>
      <c r="M13" s="9"/>
      <c r="P13" s="16"/>
      <c r="S13" s="14" t="s">
        <v>41</v>
      </c>
      <c r="AC13" s="4"/>
      <c r="AD13" s="4"/>
    </row>
    <row r="14" spans="3:30" x14ac:dyDescent="0.25">
      <c r="C14" s="15"/>
      <c r="F14" s="14"/>
      <c r="G14" s="14"/>
      <c r="H14" s="14"/>
      <c r="I14" s="14"/>
      <c r="K14" s="14"/>
      <c r="L14" s="14"/>
      <c r="P14" s="15"/>
      <c r="Q14" s="4"/>
      <c r="R14" s="4"/>
      <c r="S14" s="4"/>
      <c r="T14" s="4"/>
      <c r="U14" s="4"/>
      <c r="AC14" s="5"/>
      <c r="AD14" s="5"/>
    </row>
    <row r="15" spans="3:30" ht="85.5" x14ac:dyDescent="0.25">
      <c r="C15" s="19" t="s">
        <v>18</v>
      </c>
      <c r="D15" s="20" t="s">
        <v>20</v>
      </c>
      <c r="E15" s="20" t="s">
        <v>22</v>
      </c>
      <c r="F15" s="21" t="s">
        <v>28</v>
      </c>
      <c r="G15" s="11"/>
      <c r="H15" s="11"/>
      <c r="I15" s="20" t="s">
        <v>24</v>
      </c>
      <c r="J15" s="20" t="s">
        <v>39</v>
      </c>
      <c r="K15" s="20" t="s">
        <v>30</v>
      </c>
      <c r="L15" s="20" t="s">
        <v>33</v>
      </c>
      <c r="M15" s="21" t="s">
        <v>31</v>
      </c>
      <c r="N15" s="21" t="s">
        <v>40</v>
      </c>
      <c r="O15" s="14"/>
      <c r="P15" s="26" t="s">
        <v>12</v>
      </c>
      <c r="Q15" s="26" t="s">
        <v>16</v>
      </c>
      <c r="R15" s="20" t="s">
        <v>34</v>
      </c>
      <c r="S15" s="27" t="s">
        <v>25</v>
      </c>
      <c r="T15" s="20" t="s">
        <v>26</v>
      </c>
      <c r="U15" s="20" t="s">
        <v>35</v>
      </c>
      <c r="V15" s="27" t="s">
        <v>27</v>
      </c>
      <c r="Z15" s="14">
        <f>320/240</f>
        <v>1.3333333333333333</v>
      </c>
    </row>
    <row r="16" spans="3:30" x14ac:dyDescent="0.25">
      <c r="C16" s="22" t="s">
        <v>0</v>
      </c>
      <c r="D16" s="7">
        <v>7</v>
      </c>
      <c r="E16" s="10">
        <v>35</v>
      </c>
      <c r="F16" s="23">
        <v>32.375</v>
      </c>
      <c r="G16" s="3"/>
      <c r="H16" s="3"/>
      <c r="I16" s="10">
        <v>10</v>
      </c>
      <c r="J16" s="52">
        <v>5</v>
      </c>
      <c r="K16" s="37">
        <f>(J16+F16)/D16</f>
        <v>5.3392857142857144</v>
      </c>
      <c r="L16" s="40">
        <f>SUM(M16,J16)</f>
        <v>35</v>
      </c>
      <c r="M16" s="33">
        <v>30</v>
      </c>
      <c r="N16" s="33"/>
      <c r="O16" s="14"/>
      <c r="P16" s="28" t="s">
        <v>14</v>
      </c>
      <c r="Q16" s="35">
        <v>91</v>
      </c>
      <c r="R16" s="17">
        <f>1254+82</f>
        <v>1336</v>
      </c>
      <c r="S16" s="29">
        <f>R16/Q16</f>
        <v>14.681318681318681</v>
      </c>
      <c r="T16" s="4">
        <v>587</v>
      </c>
      <c r="U16" s="17">
        <v>1769</v>
      </c>
      <c r="V16" s="29">
        <f>U16/T16</f>
        <v>3.0136286201022147</v>
      </c>
      <c r="AC16" s="12"/>
      <c r="AD16" s="12"/>
    </row>
    <row r="17" spans="3:30" x14ac:dyDescent="0.25">
      <c r="C17" s="22" t="s">
        <v>6</v>
      </c>
      <c r="D17" s="7">
        <v>8</v>
      </c>
      <c r="E17" s="1">
        <v>37</v>
      </c>
      <c r="F17" s="23">
        <v>37</v>
      </c>
      <c r="G17" s="3"/>
      <c r="H17" s="3"/>
      <c r="I17" s="10">
        <v>0</v>
      </c>
      <c r="J17" s="52">
        <v>5</v>
      </c>
      <c r="K17" s="37">
        <f t="shared" ref="K17:K23" si="3">(J17+F17)/D17</f>
        <v>5.25</v>
      </c>
      <c r="L17" s="40">
        <f t="shared" ref="L17:L23" si="4">SUM(M17,J17)</f>
        <v>40</v>
      </c>
      <c r="M17" s="33">
        <v>35</v>
      </c>
      <c r="N17" s="33"/>
      <c r="O17" s="14"/>
      <c r="P17" s="28" t="s">
        <v>1</v>
      </c>
      <c r="Q17" s="35">
        <v>9</v>
      </c>
      <c r="R17" s="17">
        <v>139</v>
      </c>
      <c r="S17" s="29">
        <f>R17/Q17</f>
        <v>15.444444444444445</v>
      </c>
      <c r="T17" s="4">
        <v>34</v>
      </c>
      <c r="U17" s="17">
        <v>170</v>
      </c>
      <c r="V17" s="29">
        <f>U17/T17</f>
        <v>5</v>
      </c>
      <c r="Y17" s="14">
        <f>34/9</f>
        <v>3.7777777777777777</v>
      </c>
      <c r="AC17" s="4">
        <f>34/9</f>
        <v>3.7777777777777777</v>
      </c>
      <c r="AD17" s="4">
        <v>3</v>
      </c>
    </row>
    <row r="18" spans="3:30" x14ac:dyDescent="0.25">
      <c r="C18" s="22" t="s">
        <v>8</v>
      </c>
      <c r="D18" s="7">
        <v>4</v>
      </c>
      <c r="E18" s="1">
        <v>35</v>
      </c>
      <c r="F18" s="23">
        <v>18.5</v>
      </c>
      <c r="G18" s="3"/>
      <c r="H18" s="3"/>
      <c r="I18" s="10">
        <v>0</v>
      </c>
      <c r="J18" s="52">
        <v>3</v>
      </c>
      <c r="K18" s="37">
        <f t="shared" si="3"/>
        <v>5.375</v>
      </c>
      <c r="L18" s="40">
        <f t="shared" si="4"/>
        <v>20</v>
      </c>
      <c r="M18" s="33">
        <v>17</v>
      </c>
      <c r="N18" s="33"/>
      <c r="O18" s="14"/>
      <c r="P18" s="28" t="s">
        <v>2</v>
      </c>
      <c r="Q18" s="35">
        <v>13</v>
      </c>
      <c r="R18" s="14">
        <v>216</v>
      </c>
      <c r="S18" s="29">
        <f>R18/Q18</f>
        <v>16.615384615384617</v>
      </c>
      <c r="T18" s="4">
        <v>120</v>
      </c>
      <c r="U18" s="17">
        <v>377</v>
      </c>
      <c r="V18" s="29">
        <f>U18/T18</f>
        <v>3.1416666666666666</v>
      </c>
    </row>
    <row r="19" spans="3:30" x14ac:dyDescent="0.25">
      <c r="C19" s="22" t="s">
        <v>9</v>
      </c>
      <c r="D19" s="7">
        <v>8</v>
      </c>
      <c r="E19" s="1">
        <v>42</v>
      </c>
      <c r="F19" s="23">
        <v>37</v>
      </c>
      <c r="G19" s="3"/>
      <c r="H19" s="3"/>
      <c r="I19" s="10">
        <v>0</v>
      </c>
      <c r="J19" s="52">
        <v>6</v>
      </c>
      <c r="K19" s="37">
        <f t="shared" si="3"/>
        <v>5.375</v>
      </c>
      <c r="L19" s="40">
        <f t="shared" si="4"/>
        <v>40</v>
      </c>
      <c r="M19" s="33">
        <v>34</v>
      </c>
      <c r="N19" s="33"/>
      <c r="O19" s="14"/>
      <c r="P19" s="28" t="s">
        <v>11</v>
      </c>
      <c r="Q19" s="35">
        <v>31</v>
      </c>
      <c r="S19" s="29"/>
      <c r="T19" s="4">
        <v>58</v>
      </c>
      <c r="V19" s="29"/>
    </row>
    <row r="20" spans="3:30" x14ac:dyDescent="0.25">
      <c r="C20" s="22" t="s">
        <v>10</v>
      </c>
      <c r="D20" s="7">
        <v>4</v>
      </c>
      <c r="E20" s="1">
        <v>31</v>
      </c>
      <c r="F20" s="23">
        <v>18.5</v>
      </c>
      <c r="G20" s="3"/>
      <c r="H20" s="3"/>
      <c r="I20" s="10">
        <v>0</v>
      </c>
      <c r="J20" s="52">
        <v>3</v>
      </c>
      <c r="K20" s="37">
        <f t="shared" si="3"/>
        <v>5.375</v>
      </c>
      <c r="L20" s="40">
        <f t="shared" si="4"/>
        <v>20</v>
      </c>
      <c r="M20" s="33">
        <v>17</v>
      </c>
      <c r="N20" s="33"/>
      <c r="O20" s="14"/>
      <c r="P20" s="30" t="s">
        <v>15</v>
      </c>
      <c r="Q20" s="30">
        <f>SUM(Q16:Q19)</f>
        <v>144</v>
      </c>
      <c r="R20" s="31">
        <f>SUM(R16:R18)</f>
        <v>1691</v>
      </c>
      <c r="S20" s="32"/>
      <c r="T20" s="31">
        <f>SUM(T16:T19)</f>
        <v>799</v>
      </c>
      <c r="U20" s="31">
        <f>SUM(U16:U19)</f>
        <v>2316</v>
      </c>
      <c r="V20" s="32"/>
    </row>
    <row r="21" spans="3:30" x14ac:dyDescent="0.25">
      <c r="C21" s="22" t="s">
        <v>3</v>
      </c>
      <c r="D21" s="7">
        <v>2</v>
      </c>
      <c r="E21" s="1">
        <v>26</v>
      </c>
      <c r="F21" s="23">
        <v>9.25</v>
      </c>
      <c r="G21" s="3"/>
      <c r="H21" s="3"/>
      <c r="I21" s="10">
        <v>0</v>
      </c>
      <c r="J21" s="52">
        <v>3</v>
      </c>
      <c r="K21" s="37">
        <f t="shared" si="3"/>
        <v>6.125</v>
      </c>
      <c r="L21" s="40">
        <f t="shared" si="4"/>
        <v>9</v>
      </c>
      <c r="M21" s="33">
        <v>6</v>
      </c>
      <c r="N21" s="33"/>
      <c r="O21" s="14"/>
    </row>
    <row r="22" spans="3:30" x14ac:dyDescent="0.25">
      <c r="C22" s="22" t="s">
        <v>4</v>
      </c>
      <c r="D22" s="7">
        <v>0</v>
      </c>
      <c r="E22" s="1">
        <v>84</v>
      </c>
      <c r="F22" s="23">
        <v>0</v>
      </c>
      <c r="G22" s="3"/>
      <c r="H22" s="3"/>
      <c r="I22" s="10">
        <v>0</v>
      </c>
      <c r="J22" s="50">
        <v>0</v>
      </c>
      <c r="K22" s="37">
        <v>0</v>
      </c>
      <c r="L22" s="40">
        <v>0</v>
      </c>
      <c r="M22" s="33">
        <f t="shared" ref="M22:M24" si="5">L22-J22</f>
        <v>0</v>
      </c>
      <c r="N22" s="33"/>
      <c r="O22" s="14"/>
    </row>
    <row r="23" spans="3:30" x14ac:dyDescent="0.25">
      <c r="C23" s="22" t="s">
        <v>5</v>
      </c>
      <c r="D23" s="7">
        <v>1</v>
      </c>
      <c r="E23" s="1">
        <v>665</v>
      </c>
      <c r="F23" s="23">
        <v>4.625</v>
      </c>
      <c r="G23" s="3"/>
      <c r="H23" s="3"/>
      <c r="I23" s="10">
        <v>0</v>
      </c>
      <c r="J23" s="52">
        <v>6</v>
      </c>
      <c r="K23" s="37">
        <f t="shared" si="3"/>
        <v>10.625</v>
      </c>
      <c r="L23" s="40">
        <f t="shared" si="4"/>
        <v>6</v>
      </c>
      <c r="M23" s="33">
        <v>0</v>
      </c>
      <c r="N23" s="33">
        <v>-1</v>
      </c>
      <c r="O23" s="14"/>
    </row>
    <row r="24" spans="3:30" x14ac:dyDescent="0.25">
      <c r="C24" s="22" t="s">
        <v>7</v>
      </c>
      <c r="D24" s="7">
        <v>0</v>
      </c>
      <c r="E24" s="1">
        <v>2121</v>
      </c>
      <c r="F24" s="23">
        <v>0</v>
      </c>
      <c r="G24" s="3"/>
      <c r="H24" s="3"/>
      <c r="I24" s="10">
        <v>0</v>
      </c>
      <c r="J24" s="50">
        <v>0</v>
      </c>
      <c r="K24" s="37">
        <v>0</v>
      </c>
      <c r="L24" s="40">
        <v>0</v>
      </c>
      <c r="M24" s="33">
        <f t="shared" si="5"/>
        <v>0</v>
      </c>
      <c r="N24" s="33"/>
      <c r="O24" s="14"/>
      <c r="R24" s="4"/>
      <c r="S24" s="4"/>
      <c r="T24" s="4"/>
      <c r="U24" s="4"/>
    </row>
    <row r="25" spans="3:30" x14ac:dyDescent="0.25">
      <c r="C25" s="36" t="s">
        <v>13</v>
      </c>
      <c r="D25" s="24">
        <v>34</v>
      </c>
      <c r="E25" s="24">
        <v>3076</v>
      </c>
      <c r="F25" s="25">
        <v>157.25</v>
      </c>
      <c r="G25" s="9"/>
      <c r="H25" s="9"/>
      <c r="I25" s="34">
        <f>SUM(I16:I24)</f>
        <v>10</v>
      </c>
      <c r="J25" s="49">
        <f>SUM(J16:J24)</f>
        <v>31</v>
      </c>
      <c r="K25" s="34"/>
      <c r="L25" s="51">
        <f>SUM(L16:L24)</f>
        <v>170</v>
      </c>
      <c r="M25" s="25">
        <f>SUM(M16:M24)</f>
        <v>139</v>
      </c>
      <c r="N25" s="25">
        <f>SUM(N16:N24)</f>
        <v>-1</v>
      </c>
      <c r="O25" s="14"/>
      <c r="R25" s="4"/>
      <c r="S25" s="4"/>
      <c r="T25" s="4"/>
      <c r="U25" s="4"/>
    </row>
    <row r="26" spans="3:30" ht="28.5" x14ac:dyDescent="0.25">
      <c r="C26" s="44" t="s">
        <v>38</v>
      </c>
      <c r="D26" s="48">
        <f>D25/Q17</f>
        <v>3.7777777777777777</v>
      </c>
      <c r="E26" s="8"/>
      <c r="F26" s="9"/>
      <c r="G26" s="9"/>
      <c r="H26" s="9"/>
      <c r="I26" s="9"/>
      <c r="J26" s="47">
        <f>J25/10</f>
        <v>3.1</v>
      </c>
      <c r="K26" s="9"/>
      <c r="L26" s="45"/>
      <c r="M26" s="9"/>
      <c r="N26" s="14"/>
      <c r="O26" s="14"/>
      <c r="R26" s="4"/>
      <c r="S26" s="4"/>
      <c r="T26" s="4"/>
      <c r="U26" s="4"/>
    </row>
    <row r="27" spans="3:30" x14ac:dyDescent="0.25">
      <c r="C27" s="15"/>
      <c r="D27" s="4"/>
      <c r="E27" s="5"/>
      <c r="F27" s="5"/>
      <c r="G27" s="5"/>
      <c r="H27" s="5"/>
      <c r="I27" s="5"/>
      <c r="J27" s="5"/>
      <c r="K27" s="5"/>
      <c r="L27" s="5"/>
      <c r="M27" s="5"/>
      <c r="N27" s="14"/>
      <c r="O27" s="14"/>
      <c r="R27" s="4"/>
      <c r="S27" s="4"/>
      <c r="T27" s="4"/>
      <c r="U27" s="4"/>
    </row>
    <row r="28" spans="3:30" ht="57" x14ac:dyDescent="0.25">
      <c r="C28" s="19" t="s">
        <v>19</v>
      </c>
      <c r="D28" s="20" t="s">
        <v>20</v>
      </c>
      <c r="E28" s="20" t="s">
        <v>22</v>
      </c>
      <c r="F28" s="20" t="s">
        <v>28</v>
      </c>
      <c r="G28" s="20"/>
      <c r="H28" s="20" t="s">
        <v>23</v>
      </c>
      <c r="I28" s="20" t="s">
        <v>24</v>
      </c>
      <c r="J28" s="20" t="s">
        <v>37</v>
      </c>
      <c r="K28" s="20" t="s">
        <v>30</v>
      </c>
      <c r="L28" s="20" t="s">
        <v>33</v>
      </c>
      <c r="M28" s="21" t="s">
        <v>31</v>
      </c>
      <c r="N28" s="21" t="s">
        <v>40</v>
      </c>
      <c r="O28" s="14">
        <f>10/3</f>
        <v>3.3333333333333335</v>
      </c>
      <c r="R28" s="4"/>
      <c r="S28" s="4"/>
      <c r="T28" s="4"/>
      <c r="U28" s="4"/>
    </row>
    <row r="29" spans="3:30" x14ac:dyDescent="0.25">
      <c r="C29" s="22" t="s">
        <v>0</v>
      </c>
      <c r="D29" s="7">
        <v>12</v>
      </c>
      <c r="E29" s="1">
        <v>925</v>
      </c>
      <c r="F29" s="40">
        <v>32</v>
      </c>
      <c r="G29" s="2">
        <v>106.37142857142857</v>
      </c>
      <c r="H29" s="10">
        <v>32</v>
      </c>
      <c r="I29" s="10">
        <v>11.666666666666664</v>
      </c>
      <c r="J29" s="10">
        <v>12</v>
      </c>
      <c r="K29" s="37">
        <f>(J29+H29)/D29</f>
        <v>3.6666666666666665</v>
      </c>
      <c r="L29" s="40">
        <f>SUM(M29,J29)</f>
        <v>37</v>
      </c>
      <c r="M29" s="33">
        <v>25</v>
      </c>
      <c r="N29" s="33"/>
      <c r="O29" s="14">
        <f>8/3</f>
        <v>2.6666666666666665</v>
      </c>
      <c r="R29" s="4"/>
      <c r="S29" s="4"/>
      <c r="T29" s="4"/>
      <c r="U29" s="4"/>
    </row>
    <row r="30" spans="3:30" x14ac:dyDescent="0.25">
      <c r="C30" s="22" t="s">
        <v>6</v>
      </c>
      <c r="D30" s="7">
        <v>16</v>
      </c>
      <c r="E30" s="1">
        <v>575</v>
      </c>
      <c r="F30" s="40">
        <v>43</v>
      </c>
      <c r="G30" s="2">
        <v>141.82857142857142</v>
      </c>
      <c r="H30" s="10">
        <v>31</v>
      </c>
      <c r="I30" s="10">
        <v>5</v>
      </c>
      <c r="J30" s="10">
        <v>25</v>
      </c>
      <c r="K30" s="37">
        <f t="shared" ref="K30:K37" si="6">(J30+H30)/D30</f>
        <v>3.5</v>
      </c>
      <c r="L30" s="40">
        <f t="shared" ref="L30:L37" si="7">SUM(M30,J30)</f>
        <v>48</v>
      </c>
      <c r="M30" s="33">
        <v>23</v>
      </c>
      <c r="N30" s="33"/>
      <c r="O30" s="14">
        <f>7/2</f>
        <v>3.5</v>
      </c>
      <c r="R30" s="4"/>
      <c r="S30" s="4"/>
      <c r="T30" s="4"/>
      <c r="U30" s="4"/>
    </row>
    <row r="31" spans="3:30" x14ac:dyDescent="0.25">
      <c r="C31" s="22" t="s">
        <v>8</v>
      </c>
      <c r="D31" s="7">
        <v>24</v>
      </c>
      <c r="E31" s="1">
        <v>271</v>
      </c>
      <c r="F31" s="40">
        <v>64</v>
      </c>
      <c r="G31" s="2">
        <v>212.74285714285713</v>
      </c>
      <c r="H31" s="10">
        <v>47</v>
      </c>
      <c r="I31" s="1">
        <v>0</v>
      </c>
      <c r="J31" s="10">
        <v>14</v>
      </c>
      <c r="K31" s="37">
        <f t="shared" si="6"/>
        <v>2.5416666666666665</v>
      </c>
      <c r="L31" s="40">
        <f t="shared" si="7"/>
        <v>71</v>
      </c>
      <c r="M31" s="33">
        <v>57</v>
      </c>
      <c r="N31" s="33"/>
      <c r="O31" s="14"/>
      <c r="R31" s="4"/>
      <c r="S31" s="4"/>
      <c r="T31" s="4"/>
      <c r="U31" s="4"/>
    </row>
    <row r="32" spans="3:30" x14ac:dyDescent="0.25">
      <c r="C32" s="22" t="s">
        <v>9</v>
      </c>
      <c r="D32" s="7">
        <v>19</v>
      </c>
      <c r="E32" s="1">
        <v>201</v>
      </c>
      <c r="F32" s="40">
        <v>51</v>
      </c>
      <c r="G32" s="2">
        <v>168.42142857142855</v>
      </c>
      <c r="H32" s="10">
        <v>37</v>
      </c>
      <c r="I32" s="1">
        <v>0</v>
      </c>
      <c r="J32" s="10">
        <v>29</v>
      </c>
      <c r="K32" s="37">
        <f t="shared" si="6"/>
        <v>3.4736842105263159</v>
      </c>
      <c r="L32" s="40">
        <f t="shared" si="7"/>
        <v>57</v>
      </c>
      <c r="M32" s="33">
        <v>28</v>
      </c>
      <c r="N32" s="33"/>
      <c r="O32" s="14"/>
      <c r="R32" s="4"/>
      <c r="S32" s="4"/>
      <c r="T32" s="4"/>
      <c r="U32" s="4"/>
    </row>
    <row r="33" spans="3:21" x14ac:dyDescent="0.25">
      <c r="C33" s="22" t="s">
        <v>10</v>
      </c>
      <c r="D33" s="7">
        <v>14</v>
      </c>
      <c r="E33" s="1">
        <v>73</v>
      </c>
      <c r="F33" s="40">
        <v>37</v>
      </c>
      <c r="G33" s="2">
        <v>124.1</v>
      </c>
      <c r="H33" s="10">
        <v>27</v>
      </c>
      <c r="I33" s="1">
        <v>0</v>
      </c>
      <c r="J33" s="10">
        <v>16</v>
      </c>
      <c r="K33" s="37">
        <f t="shared" si="6"/>
        <v>3.0714285714285716</v>
      </c>
      <c r="L33" s="40">
        <f t="shared" si="7"/>
        <v>42</v>
      </c>
      <c r="M33" s="33">
        <v>26</v>
      </c>
      <c r="N33" s="33"/>
      <c r="O33" s="14"/>
      <c r="R33" s="4"/>
      <c r="S33" s="4"/>
      <c r="T33" s="4"/>
      <c r="U33" s="4"/>
    </row>
    <row r="34" spans="3:21" x14ac:dyDescent="0.25">
      <c r="C34" s="22" t="s">
        <v>3</v>
      </c>
      <c r="D34" s="7">
        <v>20</v>
      </c>
      <c r="E34" s="1">
        <v>109</v>
      </c>
      <c r="F34" s="40">
        <v>53</v>
      </c>
      <c r="G34" s="2">
        <v>177.28571428571428</v>
      </c>
      <c r="H34" s="10">
        <v>39</v>
      </c>
      <c r="I34" s="1">
        <v>0</v>
      </c>
      <c r="J34" s="10">
        <v>15</v>
      </c>
      <c r="K34" s="37">
        <f t="shared" si="6"/>
        <v>2.7</v>
      </c>
      <c r="L34" s="40">
        <f t="shared" si="7"/>
        <v>60</v>
      </c>
      <c r="M34" s="33">
        <v>45</v>
      </c>
      <c r="N34" s="33"/>
      <c r="O34" s="14"/>
      <c r="R34" s="4"/>
      <c r="S34" s="4"/>
      <c r="T34" s="4"/>
      <c r="U34" s="4"/>
    </row>
    <row r="35" spans="3:21" x14ac:dyDescent="0.25">
      <c r="C35" s="22" t="s">
        <v>4</v>
      </c>
      <c r="D35" s="7">
        <v>10</v>
      </c>
      <c r="E35" s="1">
        <v>141</v>
      </c>
      <c r="F35" s="40">
        <v>27</v>
      </c>
      <c r="G35" s="2">
        <v>88.642857142857139</v>
      </c>
      <c r="H35" s="10">
        <v>19</v>
      </c>
      <c r="I35" s="1">
        <v>0</v>
      </c>
      <c r="J35" s="10">
        <v>25</v>
      </c>
      <c r="K35" s="37">
        <f t="shared" si="6"/>
        <v>4.4000000000000004</v>
      </c>
      <c r="L35" s="40">
        <f t="shared" si="7"/>
        <v>29</v>
      </c>
      <c r="M35" s="33">
        <v>4</v>
      </c>
      <c r="N35" s="33"/>
      <c r="O35" s="14"/>
      <c r="R35" s="4"/>
      <c r="S35" s="4"/>
      <c r="T35" s="4"/>
      <c r="U35" s="4"/>
    </row>
    <row r="36" spans="3:21" x14ac:dyDescent="0.25">
      <c r="C36" s="22" t="s">
        <v>5</v>
      </c>
      <c r="D36" s="7">
        <v>2</v>
      </c>
      <c r="E36" s="1">
        <v>1710</v>
      </c>
      <c r="F36" s="40">
        <v>5</v>
      </c>
      <c r="G36" s="2">
        <v>17.728571428571428</v>
      </c>
      <c r="H36" s="10">
        <v>3</v>
      </c>
      <c r="I36" s="1">
        <v>0</v>
      </c>
      <c r="J36" s="10">
        <v>25</v>
      </c>
      <c r="K36" s="37">
        <f t="shared" si="6"/>
        <v>14</v>
      </c>
      <c r="L36" s="40">
        <f t="shared" si="7"/>
        <v>25</v>
      </c>
      <c r="M36" s="33">
        <v>0</v>
      </c>
      <c r="N36" s="33">
        <v>-19</v>
      </c>
      <c r="P36" s="4"/>
      <c r="Q36" s="4"/>
      <c r="R36" s="4"/>
      <c r="S36" s="4"/>
      <c r="T36" s="4"/>
      <c r="U36" s="4"/>
    </row>
    <row r="37" spans="3:21" x14ac:dyDescent="0.25">
      <c r="C37" s="22" t="s">
        <v>7</v>
      </c>
      <c r="D37" s="7">
        <v>3</v>
      </c>
      <c r="E37" s="1">
        <v>3017</v>
      </c>
      <c r="F37" s="40">
        <v>8</v>
      </c>
      <c r="G37" s="2">
        <v>26.592857142857142</v>
      </c>
      <c r="H37" s="10">
        <v>5</v>
      </c>
      <c r="I37" s="1">
        <v>0</v>
      </c>
      <c r="J37" s="10">
        <v>0</v>
      </c>
      <c r="K37" s="37">
        <f t="shared" si="6"/>
        <v>1.6666666666666667</v>
      </c>
      <c r="L37" s="40">
        <f t="shared" si="7"/>
        <v>8</v>
      </c>
      <c r="M37" s="33">
        <v>8</v>
      </c>
      <c r="N37" s="33"/>
      <c r="P37" s="4"/>
      <c r="Q37" s="4"/>
      <c r="R37" s="4"/>
      <c r="S37" s="4"/>
      <c r="T37" s="4"/>
      <c r="U37" s="4"/>
    </row>
    <row r="38" spans="3:21" x14ac:dyDescent="0.25">
      <c r="C38" s="36" t="s">
        <v>13</v>
      </c>
      <c r="D38" s="24">
        <v>120</v>
      </c>
      <c r="E38" s="24">
        <v>7022</v>
      </c>
      <c r="F38" s="41">
        <f>SUM(F29:F37)</f>
        <v>320</v>
      </c>
      <c r="G38" s="24">
        <v>1063.7142857142858</v>
      </c>
      <c r="H38" s="34">
        <f>SUM(H29:H37)</f>
        <v>240</v>
      </c>
      <c r="I38" s="34">
        <v>16.666666666666664</v>
      </c>
      <c r="J38" s="34">
        <f>SUM(J29:J37)-19</f>
        <v>142</v>
      </c>
      <c r="K38" s="34"/>
      <c r="L38" s="43">
        <f>SUM(L29:L37)</f>
        <v>377</v>
      </c>
      <c r="M38" s="25">
        <f>SUM(M29:M37)</f>
        <v>216</v>
      </c>
      <c r="N38" s="25">
        <v>-19</v>
      </c>
      <c r="P38" s="5"/>
      <c r="Q38" s="4"/>
      <c r="S38" s="4"/>
      <c r="T38" s="4"/>
      <c r="U38" s="4"/>
    </row>
    <row r="39" spans="3:21" ht="28.5" x14ac:dyDescent="0.25">
      <c r="C39" s="44" t="s">
        <v>38</v>
      </c>
      <c r="D39" s="48">
        <f>D38/Q18</f>
        <v>9.2307692307692299</v>
      </c>
      <c r="E39" s="8"/>
      <c r="F39" s="46"/>
      <c r="G39" s="8"/>
      <c r="H39" s="9"/>
      <c r="I39" s="9"/>
      <c r="J39" s="47">
        <f>J38/17</f>
        <v>8.3529411764705888</v>
      </c>
      <c r="K39" s="9"/>
      <c r="L39" s="9"/>
      <c r="M39" s="14"/>
      <c r="P39" s="5"/>
      <c r="Q39" s="4"/>
      <c r="S39" s="4"/>
      <c r="T39" s="4"/>
      <c r="U39" s="4"/>
    </row>
    <row r="40" spans="3:21" x14ac:dyDescent="0.25">
      <c r="C40" s="15"/>
      <c r="F40" s="14"/>
      <c r="G40" s="14"/>
      <c r="H40" s="14"/>
      <c r="I40" s="14"/>
      <c r="J40" s="14"/>
      <c r="K40" s="14"/>
      <c r="L40" s="14"/>
      <c r="M40" s="14"/>
      <c r="P40" s="4"/>
      <c r="Q40" s="4"/>
      <c r="S40" s="4"/>
      <c r="T40" s="4"/>
      <c r="U40" s="4"/>
    </row>
    <row r="41" spans="3:21" x14ac:dyDescent="0.25">
      <c r="F41" s="14"/>
      <c r="G41" s="14"/>
      <c r="H41" s="14"/>
      <c r="I41" s="14"/>
      <c r="J41" s="14">
        <f>80/17</f>
        <v>4.7058823529411766</v>
      </c>
      <c r="K41" s="14"/>
      <c r="L41" s="14"/>
      <c r="M41" s="14"/>
      <c r="P41" s="4"/>
      <c r="Q41" s="4"/>
      <c r="R41" s="4"/>
      <c r="S41" s="4"/>
      <c r="T41" s="4"/>
      <c r="U41" s="4"/>
    </row>
    <row r="42" spans="3:21" x14ac:dyDescent="0.25">
      <c r="F42" s="14"/>
      <c r="G42" s="14"/>
      <c r="H42" s="14"/>
      <c r="I42" s="14"/>
      <c r="J42" s="14">
        <f>120/13</f>
        <v>9.2307692307692299</v>
      </c>
      <c r="K42" s="14"/>
      <c r="L42" s="14"/>
      <c r="M42" s="14"/>
      <c r="P42" s="12"/>
      <c r="Q42" s="16"/>
      <c r="R42" s="18"/>
      <c r="S42" s="4"/>
      <c r="T42" s="4"/>
      <c r="U42" s="4"/>
    </row>
    <row r="43" spans="3:21" x14ac:dyDescent="0.25">
      <c r="F43" s="14"/>
      <c r="G43" s="14"/>
      <c r="H43" s="14"/>
      <c r="I43" s="14"/>
      <c r="J43" s="14"/>
      <c r="K43" s="14"/>
      <c r="L43" s="14"/>
      <c r="M43" s="14"/>
      <c r="P43" s="4"/>
      <c r="Q43" s="4"/>
      <c r="R43" s="4"/>
      <c r="S43" s="4"/>
      <c r="T43" s="4"/>
      <c r="U43" s="4"/>
    </row>
    <row r="44" spans="3:21" x14ac:dyDescent="0.25">
      <c r="F44" s="14"/>
      <c r="G44" s="14"/>
      <c r="H44" s="14"/>
      <c r="I44" s="14"/>
      <c r="J44" s="14"/>
      <c r="K44" s="14"/>
      <c r="L44" s="14"/>
      <c r="M44" s="14"/>
      <c r="P44" s="4"/>
      <c r="Q44" s="4"/>
      <c r="R44" s="4"/>
      <c r="S44" s="4"/>
      <c r="T44" s="4"/>
      <c r="U44" s="4"/>
    </row>
    <row r="45" spans="3:21" x14ac:dyDescent="0.25">
      <c r="F45" s="14"/>
      <c r="G45" s="14"/>
      <c r="H45" s="14"/>
      <c r="I45" s="14"/>
      <c r="J45" s="14"/>
      <c r="K45" s="14"/>
      <c r="L45" s="14"/>
      <c r="M45" s="14"/>
      <c r="P45" s="4"/>
      <c r="Q45" s="4"/>
      <c r="R45" s="4"/>
      <c r="S45" s="4"/>
      <c r="T45" s="4"/>
      <c r="U45" s="4"/>
    </row>
    <row r="46" spans="3:21" x14ac:dyDescent="0.25">
      <c r="F46" s="14"/>
      <c r="G46" s="14"/>
      <c r="H46" s="14"/>
      <c r="I46" s="14"/>
      <c r="J46" s="14"/>
      <c r="K46" s="14"/>
      <c r="L46" s="14"/>
      <c r="M46" s="14" t="s">
        <v>36</v>
      </c>
      <c r="P46" s="4"/>
      <c r="Q46" s="4"/>
      <c r="R46" s="4"/>
      <c r="S46" s="4"/>
      <c r="T46" s="4"/>
      <c r="U46" s="4"/>
    </row>
    <row r="47" spans="3:21" x14ac:dyDescent="0.25">
      <c r="F47" s="14"/>
      <c r="G47" s="14"/>
      <c r="H47" s="14"/>
      <c r="I47" s="14"/>
      <c r="J47" s="14"/>
      <c r="K47" s="14"/>
      <c r="L47" s="14"/>
      <c r="M47" s="14"/>
      <c r="P47" s="15"/>
      <c r="Q47" s="5"/>
      <c r="R47" s="4"/>
      <c r="S47" s="4"/>
      <c r="T47" s="4"/>
      <c r="U47" s="4"/>
    </row>
    <row r="48" spans="3:21" x14ac:dyDescent="0.25">
      <c r="F48" s="14"/>
      <c r="G48" s="14"/>
      <c r="H48" s="14"/>
      <c r="I48" s="14"/>
      <c r="J48" s="14"/>
      <c r="K48" s="14"/>
      <c r="L48" s="14"/>
      <c r="M48" s="14"/>
      <c r="P48" s="4"/>
      <c r="Q48" s="4"/>
      <c r="R48" s="4"/>
      <c r="S48" s="4"/>
      <c r="T48" s="4"/>
      <c r="U48" s="4"/>
    </row>
    <row r="49" spans="10:21" x14ac:dyDescent="0.25">
      <c r="P49" s="4"/>
      <c r="Q49" s="4"/>
      <c r="R49" s="4"/>
      <c r="S49" s="4"/>
      <c r="T49" s="4"/>
      <c r="U49" s="4"/>
    </row>
    <row r="50" spans="10:21" x14ac:dyDescent="0.25">
      <c r="P50" s="4"/>
      <c r="Q50" s="4"/>
      <c r="R50" s="4"/>
      <c r="S50" s="4"/>
      <c r="T50" s="4"/>
      <c r="U50" s="4"/>
    </row>
    <row r="51" spans="10:21" x14ac:dyDescent="0.25">
      <c r="P51" s="4"/>
      <c r="Q51" s="4"/>
      <c r="R51" s="4"/>
      <c r="S51" s="4"/>
      <c r="T51" s="4"/>
      <c r="U51" s="4"/>
    </row>
    <row r="52" spans="10:21" x14ac:dyDescent="0.25">
      <c r="P52" s="4"/>
      <c r="Q52" s="4"/>
      <c r="R52" s="4"/>
      <c r="S52" s="4"/>
      <c r="T52" s="4"/>
      <c r="U52" s="4"/>
    </row>
    <row r="53" spans="10:21" x14ac:dyDescent="0.25">
      <c r="J53" s="14"/>
      <c r="M53" s="14"/>
      <c r="N53" s="14"/>
      <c r="O53" s="14"/>
    </row>
    <row r="54" spans="10:21" x14ac:dyDescent="0.25">
      <c r="J54" s="14"/>
      <c r="M54" s="14"/>
      <c r="N54" s="14"/>
      <c r="O54" s="14"/>
    </row>
  </sheetData>
  <pageMargins left="0.7" right="0.7" top="0.75" bottom="0.75" header="0.3" footer="0.3"/>
  <pageSetup scale="3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scratch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Mittal, Angeli</cp:lastModifiedBy>
  <cp:lastPrinted>2021-08-18T13:58:16Z</cp:lastPrinted>
  <dcterms:created xsi:type="dcterms:W3CDTF">2021-08-12T01:42:49Z</dcterms:created>
  <dcterms:modified xsi:type="dcterms:W3CDTF">2021-09-10T14:41:56Z</dcterms:modified>
</cp:coreProperties>
</file>