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opherhabib/Desktop/Homework/"/>
    </mc:Choice>
  </mc:AlternateContent>
  <xr:revisionPtr revIDLastSave="0" documentId="13_ncr:1_{CCF983ED-2C1C-814E-B724-F936B3C906F1}" xr6:coauthVersionLast="40" xr6:coauthVersionMax="40" xr10:uidLastSave="{00000000-0000-0000-0000-000000000000}"/>
  <bookViews>
    <workbookView xWindow="0" yWindow="460" windowWidth="28380" windowHeight="16460" activeTab="4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  <sheet name="Sheet2" sheetId="2" r:id="rId5"/>
  </sheets>
  <calcPr calcId="191029"/>
  <pivotCaches>
    <pivotCache cacheId="13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1" i="5"/>
  <c r="D10" i="5"/>
  <c r="D9" i="5"/>
  <c r="D8" i="5"/>
  <c r="D7" i="5"/>
  <c r="D6" i="5"/>
  <c r="D5" i="5"/>
  <c r="D4" i="5"/>
  <c r="D3" i="5"/>
  <c r="D12" i="5"/>
  <c r="D13" i="5"/>
  <c r="C13" i="5"/>
  <c r="C12" i="5"/>
  <c r="C11" i="5"/>
  <c r="C10" i="5"/>
  <c r="C9" i="5"/>
  <c r="C8" i="5"/>
  <c r="C7" i="5"/>
  <c r="C6" i="5"/>
  <c r="C5" i="5"/>
  <c r="C4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<sst xmlns="http://schemas.openxmlformats.org/spreadsheetml/2006/main" count="24820" uniqueCount="8400">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</sst>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Border="1"/>
    <xf numFmtId="10" fontId="0" fillId="0" borderId="0" xfId="0" applyNumberFormat="1" applyBorder="1"/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[Homework1.xlsx]Sheet3!PivotTable2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4-9E44-94C4-BD871D362AF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A4-FC49-82AA-B08B95ECC79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A4-FC49-82AA-B08B95ECC79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A4-FC49-82AA-B08B95ECC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4242768"/>
        <c:axId val="1604212688"/>
      </c:barChart>
      <c:catAx>
        <c:axId val="16042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12688"/>
        <c:crosses val="autoZero"/>
        <c:auto val="1"/>
        <c:lblAlgn val="ctr"/>
        <c:lblOffset val="100"/>
        <c:noMultiLvlLbl val="0"/>
      </c:catAx>
      <c:valAx>
        <c:axId val="16042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046990093980179E-2"/>
          <c:y val="1.4965993692205368E-2"/>
          <c:w val="0.81621082042164084"/>
          <c:h val="0.90681670921924951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C-ED43-A351-016F169EFF3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621-B149-9693-F56A5AD1176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621-B149-9693-F56A5AD11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015776"/>
        <c:axId val="1644061456"/>
      </c:lineChart>
      <c:catAx>
        <c:axId val="16440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061456"/>
        <c:crosses val="autoZero"/>
        <c:auto val="1"/>
        <c:lblAlgn val="ctr"/>
        <c:lblOffset val="100"/>
        <c:noMultiLvlLbl val="0"/>
      </c:catAx>
      <c:valAx>
        <c:axId val="16440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0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6-D34F-82EC-28AF1CB5D9D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6-D34F-82EC-28AF1CB5D9D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36-D34F-82EC-28AF1CB5D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704112"/>
        <c:axId val="1608664400"/>
      </c:lineChart>
      <c:catAx>
        <c:axId val="12837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64400"/>
        <c:crosses val="autoZero"/>
        <c:auto val="1"/>
        <c:lblAlgn val="ctr"/>
        <c:lblOffset val="100"/>
        <c:noMultiLvlLbl val="0"/>
      </c:catAx>
      <c:valAx>
        <c:axId val="16086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0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[Homework1.xlsx]Sheet2!PivotTable1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451171062633564E-2"/>
          <c:y val="5.8190515273538683E-2"/>
          <c:w val="0.7806810361940052"/>
          <c:h val="0.792433070866141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6-C940-AE51-A355B0F9E52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E-534D-BE8F-10FB103D6C7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E-534D-BE8F-10FB103D6C7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E-534D-BE8F-10FB103D6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2505168"/>
        <c:axId val="1652506848"/>
      </c:barChart>
      <c:catAx>
        <c:axId val="16525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506848"/>
        <c:crosses val="autoZero"/>
        <c:auto val="1"/>
        <c:lblAlgn val="ctr"/>
        <c:lblOffset val="100"/>
        <c:noMultiLvlLbl val="0"/>
      </c:catAx>
      <c:valAx>
        <c:axId val="1652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50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8</xdr:row>
      <xdr:rowOff>38100</xdr:rowOff>
    </xdr:from>
    <xdr:to>
      <xdr:col>16</xdr:col>
      <xdr:colOff>787400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FCB45-2D0E-424C-9D6A-5E214E83F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4</xdr:row>
      <xdr:rowOff>50800</xdr:rowOff>
    </xdr:from>
    <xdr:to>
      <xdr:col>14</xdr:col>
      <xdr:colOff>774700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E3074-2ECB-D84C-A64E-E0CE6211D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15</xdr:row>
      <xdr:rowOff>88900</xdr:rowOff>
    </xdr:from>
    <xdr:to>
      <xdr:col>12</xdr:col>
      <xdr:colOff>622300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70083-DA6B-C344-910B-1B8606E2D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5</xdr:row>
      <xdr:rowOff>12700</xdr:rowOff>
    </xdr:from>
    <xdr:to>
      <xdr:col>15</xdr:col>
      <xdr:colOff>215900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47A1A-484C-2F46-8441-AC0D15718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bib" refreshedDate="43485.666010995374" createdVersion="6" refreshedVersion="6" minRefreshableVersion="3" recordCount="4114" xr:uid="{E53247CB-400A-A247-8785-BAD7BAE5853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bib" refreshedDate="43486.726048611112" createdVersion="6" refreshedVersion="6" minRefreshableVersion="3" recordCount="4114" xr:uid="{948272A1-2E2F-C941-8798-7C3D14C13FA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F912D-BDB0-2743-B4EA-4D13AABC9802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860DD-98EA-DE49-96AC-D9D7F3FEC61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EFE53-0269-0347-8276-350EDB82BA7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65FA-88FF-0842-8123-1213442C99AD}">
  <sheetPr codeName="Sheet1"/>
  <dimension ref="A1:F47"/>
  <sheetViews>
    <sheetView zoomScaleNormal="100" workbookViewId="0">
      <selection activeCell="H15" sqref="H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87E8-6769-0E40-8AB6-05778AA0EA10}">
  <sheetPr codeName="Sheet2"/>
  <dimension ref="A1:E18"/>
  <sheetViews>
    <sheetView workbookViewId="0">
      <selection activeCell="P16" sqref="P16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8379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12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2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2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2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2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2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2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2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2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2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2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FFAB7-0083-1244-8B70-457CD4408E7B}">
  <sheetPr codeName="Sheet3"/>
  <dimension ref="A1:H13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8387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2">
      <c r="A2" s="13" t="s">
        <v>8388</v>
      </c>
      <c r="B2" s="13">
        <f>COUNTIFS(Sheet1!$D$2:$D$4115,"&lt;1000",Sheet1!$F$2:$F$4115,"successful")</f>
        <v>322</v>
      </c>
      <c r="C2" s="13">
        <f>COUNTIFS(Sheet1!$D$2:$D$4115,"&lt;1000",Sheet1!$F$2:$F$4115,"failed")</f>
        <v>113</v>
      </c>
      <c r="D2" s="13">
        <f>COUNTIFS(Sheet1!$D$2:$D$4115,"&lt;1000",Sheet1!$F$2:$F$4115,"canceled")</f>
        <v>18</v>
      </c>
      <c r="E2" s="13">
        <f>SUM(B2:D2)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x14ac:dyDescent="0.2">
      <c r="A3" s="13" t="s">
        <v>8390</v>
      </c>
      <c r="B3" s="13">
        <f>COUNTIFS(Sheet1!$D$2:$D$4115,"&gt;=1000",Sheet1!$F$2:$F$4115,"successful")-COUNTIFS(Sheet1!$D$2:$D$4115,"&gt;=4999",Sheet1!$F$2:$F$4115,"successful")</f>
        <v>931</v>
      </c>
      <c r="C3" s="13">
        <f>COUNTIFS(Sheet1!$D$2:$D$4115,"&gt;=1000",Sheet1!$F$2:$F$4115,"failed")-COUNTIFS(Sheet1!$D$2:$D$4115,"&gt;=4999",Sheet1!$F$2:$F$4115,"failed")</f>
        <v>420</v>
      </c>
      <c r="D3" s="13">
        <f>COUNTIFS(Sheet1!$D$2:$D$4115,"&gt;=1000",Sheet1!$F$2:$F$4115,"canceled")-COUNTIFS(Sheet1!$D$2:$D$4115,"&gt;=4999",Sheet1!$F$2:$F$4115,"canceled")</f>
        <v>60</v>
      </c>
      <c r="E3" s="13">
        <f t="shared" ref="E3:E13" si="1">SUM(B3:D3)</f>
        <v>1411</v>
      </c>
      <c r="F3" s="14">
        <f t="shared" ref="F3:F13" si="2">B3/$E3</f>
        <v>0.65981573352232459</v>
      </c>
      <c r="G3" s="14">
        <f t="shared" ref="G3:G13" si="3">C3/$E3</f>
        <v>0.297661233167966</v>
      </c>
      <c r="H3" s="14">
        <f t="shared" ref="H3:H13" si="4">D3/$E3</f>
        <v>4.2523033309709427E-2</v>
      </c>
    </row>
    <row r="4" spans="1:8" x14ac:dyDescent="0.2">
      <c r="A4" s="13" t="s">
        <v>8389</v>
      </c>
      <c r="B4" s="13">
        <f>COUNTIFS(Sheet1!$D$2:$D$4115,"&gt;=4999",Sheet1!$F$2:$F$4115,"successful")-COUNTIFS(Sheet1!$D$2:$D$4115,"&gt;=9999",Sheet1!$F$2:$F$4115,"successful")</f>
        <v>381</v>
      </c>
      <c r="C4" s="13">
        <f>COUNTIFS(Sheet1!$D$2:$D$4115,"&gt;=4999",Sheet1!$F$2:$F$4115,"failed")-COUNTIFS(Sheet1!$D$2:$D$4115,"&gt;=9999",Sheet1!$F$2:$F$4115,"failed")</f>
        <v>282</v>
      </c>
      <c r="D4" s="13">
        <f>COUNTIFS(Sheet1!$D$2:$D$4115,"&gt;=4999",Sheet1!$F$2:$F$4115,"canceled")-COUNTIFS(Sheet1!$D$2:$D$4115,"&gt;=9999",Sheet1!$F$2:$F$4115,"canceled")</f>
        <v>51</v>
      </c>
      <c r="E4" s="13">
        <f t="shared" si="1"/>
        <v>714</v>
      </c>
      <c r="F4" s="14">
        <f t="shared" si="2"/>
        <v>0.53361344537815125</v>
      </c>
      <c r="G4" s="14">
        <f t="shared" si="3"/>
        <v>0.3949579831932773</v>
      </c>
      <c r="H4" s="14">
        <f t="shared" si="4"/>
        <v>7.1428571428571425E-2</v>
      </c>
    </row>
    <row r="5" spans="1:8" x14ac:dyDescent="0.2">
      <c r="A5" s="13" t="s">
        <v>8391</v>
      </c>
      <c r="B5" s="13">
        <f>COUNTIFS(Sheet1!$D$2:$D$4115,"&gt;=10000",Sheet1!$F$2:$F$4115,"successful")-COUNTIFS(Sheet1!$D$2:$D$4115,"&gt;=14999",Sheet1!$F$2:$F$4115,"successful")</f>
        <v>168</v>
      </c>
      <c r="C5" s="13">
        <f>COUNTIFS(Sheet1!$D$2:$D$4115,"&gt;=10000",Sheet1!$F$2:$F$4115,"failed")-COUNTIFS(Sheet1!$D$2:$D$4115,"&gt;=14999",Sheet1!$F$2:$F$4115,"failed")</f>
        <v>144</v>
      </c>
      <c r="D5" s="13">
        <f>COUNTIFS(Sheet1!$D$2:$D$4115,"&gt;=10000",Sheet1!$F$2:$F$4115,"canceled")-COUNTIFS(Sheet1!$D$2:$D$4115,"&gt;=14999",Sheet1!$F$2:$F$4115,"canceled")</f>
        <v>40</v>
      </c>
      <c r="E5" s="13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x14ac:dyDescent="0.2">
      <c r="A6" s="13" t="s">
        <v>8392</v>
      </c>
      <c r="B6" s="13">
        <f>COUNTIFS(Sheet1!$D$2:$D$4115,"&gt;=15000",Sheet1!$F$2:$F$4115,"successful")-COUNTIFS(Sheet1!$D$2:$D$4115,"&gt;=19999",Sheet1!$F$2:$F$4115,"successful")</f>
        <v>94</v>
      </c>
      <c r="C6" s="13">
        <f>COUNTIFS(Sheet1!$D$2:$D$4115,"&gt;=15000",Sheet1!$F$2:$F$4115,"failed")-COUNTIFS(Sheet1!$D$2:$D$4115,"&gt;=19999",Sheet1!$F$2:$F$4115,"failed")</f>
        <v>90</v>
      </c>
      <c r="D6" s="13">
        <f>COUNTIFS(Sheet1!$D$2:$D$4115,"&gt;=15000",Sheet1!$F$2:$F$4115,"canceled")-COUNTIFS(Sheet1!$D$2:$D$4115,"&gt;=19999",Sheet1!$F$2:$F$4115,"canceled")</f>
        <v>17</v>
      </c>
      <c r="E6" s="13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x14ac:dyDescent="0.2">
      <c r="A7" s="13" t="s">
        <v>8393</v>
      </c>
      <c r="B7" s="13">
        <f>COUNTIFS(Sheet1!$D$2:$D$4115,"&gt;=20000",Sheet1!$F$2:$F$4115,"successful")-COUNTIFS(Sheet1!$D$2:$D$4115,"&gt;=24999",Sheet1!$F$2:$F$4115,"successful")</f>
        <v>62</v>
      </c>
      <c r="C7" s="13">
        <f>COUNTIFS(Sheet1!$D$2:$D$4115,"&gt;=20000",Sheet1!$F$2:$F$4115,"failed")-COUNTIFS(Sheet1!$D$2:$D$4115,"&gt;=24999",Sheet1!$F$2:$F$4115,"failed")</f>
        <v>72</v>
      </c>
      <c r="D7" s="13">
        <f>COUNTIFS(Sheet1!$D$2:$D$4115,"&gt;=20000",Sheet1!$F$2:$F$4115,"canceled")-COUNTIFS(Sheet1!$D$2:$D$4115,"&gt;=24999",Sheet1!$F$2:$F$4115,"canceled")</f>
        <v>14</v>
      </c>
      <c r="E7" s="13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x14ac:dyDescent="0.2">
      <c r="A8" s="13" t="s">
        <v>8394</v>
      </c>
      <c r="B8" s="13">
        <f>COUNTIFS(Sheet1!$D$2:$D$4115,"&gt;=25000",Sheet1!$F$2:$F$4115,"successful")-COUNTIFS(Sheet1!$D$2:$D$4115,"&gt;=29999",Sheet1!$F$2:$F$4115,"successful")</f>
        <v>55</v>
      </c>
      <c r="C8" s="13">
        <f>COUNTIFS(Sheet1!$D$2:$D$4115,"&gt;=25000",Sheet1!$F$2:$F$4115,"failed")-COUNTIFS(Sheet1!$D$2:$D$4115,"&gt;=29999",Sheet1!$F$2:$F$4115,"failed")</f>
        <v>64</v>
      </c>
      <c r="D8" s="13">
        <f>COUNTIFS(Sheet1!$D$2:$D$4115,"&gt;=25000",Sheet1!$F$2:$F$4115,"canceled")-COUNTIFS(Sheet1!$D$2:$D$4115,"&gt;=29999",Sheet1!$F$2:$F$4115,"canceled")</f>
        <v>18</v>
      </c>
      <c r="E8" s="13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x14ac:dyDescent="0.2">
      <c r="A9" s="13" t="s">
        <v>8395</v>
      </c>
      <c r="B9" s="13">
        <f>COUNTIFS(Sheet1!$D$2:$D$4115,"&gt;=30000",Sheet1!$F$2:$F$4115,"successful")-COUNTIFS(Sheet1!$D$2:$D$4115,"&gt;=34999",Sheet1!$F$2:$F$4115,"successful")</f>
        <v>32</v>
      </c>
      <c r="C9" s="13">
        <f>COUNTIFS(Sheet1!$D$2:$D$4115,"&gt;=30000",Sheet1!$F$2:$F$4115,"failed")-COUNTIFS(Sheet1!$D$2:$D$4115,"&gt;=34999",Sheet1!$F$2:$F$4115,"failed")</f>
        <v>37</v>
      </c>
      <c r="D9" s="13">
        <f>COUNTIFS(Sheet1!$D$2:$D$4115,"&gt;=30000",Sheet1!$F$2:$F$4115,"canceled")-COUNTIFS(Sheet1!$D$2:$D$4115,"&gt;=34999",Sheet1!$F$2:$F$4115,"canceled")</f>
        <v>13</v>
      </c>
      <c r="E9" s="13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x14ac:dyDescent="0.2">
      <c r="A10" s="13" t="s">
        <v>8396</v>
      </c>
      <c r="B10" s="13">
        <f>COUNTIFS(Sheet1!$D$2:$D$4115,"&gt;=35000",Sheet1!$F$2:$F$4115,"successful")-COUNTIFS(Sheet1!$D$2:$D$4115,"&gt;=39999",Sheet1!$F$2:$F$4115,"successful")</f>
        <v>26</v>
      </c>
      <c r="C10" s="13">
        <f>COUNTIFS(Sheet1!$D$2:$D$4115,"&gt;=35000",Sheet1!$F$2:$F$4115,"failed")-COUNTIFS(Sheet1!$D$2:$D$4115,"&gt;=39999",Sheet1!$F$2:$F$4115,"failed")</f>
        <v>22</v>
      </c>
      <c r="D10" s="13">
        <f>COUNTIFS(Sheet1!$D$2:$D$4115,"&gt;=35000",Sheet1!$F$2:$F$4115,"canceled")-COUNTIFS(Sheet1!$D$2:$D$4115,"&gt;=39999",Sheet1!$F$2:$F$4115,"canceled")</f>
        <v>7</v>
      </c>
      <c r="E10" s="13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x14ac:dyDescent="0.2">
      <c r="A11" s="13" t="s">
        <v>8397</v>
      </c>
      <c r="B11" s="13">
        <f>COUNTIFS(Sheet1!$D$2:$D$4115,"&gt;=40000",Sheet1!$F$2:$F$4115,"successful")-COUNTIFS(Sheet1!$D$2:$D$4115,"&gt;=44999",Sheet1!$F$2:$F$4115,"successful")</f>
        <v>21</v>
      </c>
      <c r="C11" s="13">
        <f>COUNTIFS(Sheet1!$D$2:$D$4115,"&gt;=40000",Sheet1!$F$2:$F$4115,"failed")-COUNTIFS(Sheet1!$D$2:$D$4115,"&gt;=44999",Sheet1!$F$2:$F$4115,"failed")</f>
        <v>16</v>
      </c>
      <c r="D11" s="13">
        <f>COUNTIFS(Sheet1!$D$2:$D$4115,"&gt;=40000",Sheet1!$F$2:$F$4115,"canceled")-COUNTIFS(Sheet1!$D$2:$D$4115,"&gt;=44999",Sheet1!$F$2:$F$4115,"canceled")</f>
        <v>6</v>
      </c>
      <c r="E11" s="13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x14ac:dyDescent="0.2">
      <c r="A12" s="13" t="s">
        <v>8398</v>
      </c>
      <c r="B12" s="13">
        <f>COUNTIFS(Sheet1!$D$2:$D$4115,"&gt;=45000",Sheet1!$F$2:$F$4115,"successful")-COUNTIFS(Sheet1!$D$2:$D$4115,"&gt;=49999",Sheet1!$F$2:$F$4115,"successful")</f>
        <v>6</v>
      </c>
      <c r="C12" s="13">
        <f>COUNTIFS(Sheet1!$D$2:$D$4115,"&gt;=45000",Sheet1!$F$2:$F$4115,"failed")-COUNTIFS(Sheet1!$D$2:$D$4115,"&gt;=49999",Sheet1!$F$2:$F$4115,"failed")</f>
        <v>11</v>
      </c>
      <c r="D12" s="13">
        <f>COUNTIFS(Sheet1!$D$2:$D$4115,"&gt;=45000",Sheet1!$F$2:$F$4115,"canceled")-COUNTIFS(Sheet1!$D$2:$D$4115,"&gt;=49999",Sheet1!$F$2:$F$4115,"canceled")</f>
        <v>4</v>
      </c>
      <c r="E12" s="13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x14ac:dyDescent="0.2">
      <c r="A13" s="13" t="s">
        <v>8399</v>
      </c>
      <c r="B13" s="13">
        <f>COUNTIFS(Sheet1!$D$2:$D$4115,"&gt;=50000",Sheet1!$F$2:$F$4115,"successful")</f>
        <v>86</v>
      </c>
      <c r="C13" s="13">
        <f>COUNTIFS(Sheet1!$D$2:$D$4115,"&gt;=50000",Sheet1!$F$2:$F$4115,"failed")</f>
        <v>258</v>
      </c>
      <c r="D13" s="13">
        <f>COUNTIFS(Sheet1!$D$2:$D$4115,"&gt;=50000",Sheet1!$F$2:$F$4115,"canceled")</f>
        <v>100</v>
      </c>
      <c r="E13" s="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60" zoomScaleNormal="60" workbookViewId="0">
      <selection activeCell="P133" sqref="P13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style="6" bestFit="1" customWidth="1"/>
    <col min="16" max="16" width="17.6640625" style="6" bestFit="1" customWidth="1"/>
    <col min="17" max="17" width="12.1640625" bestFit="1" customWidth="1"/>
    <col min="18" max="18" width="13.83203125" bestFit="1" customWidth="1"/>
    <col min="19" max="19" width="24.83203125" style="11" bestFit="1" customWidth="1"/>
    <col min="20" max="20" width="23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6">
        <f t="shared" ref="P2:P65" si="1">IF(OR(E2=0,L2=0),0,E2/L2)</f>
        <v>63.917582417582416</v>
      </c>
      <c r="Q2" t="str">
        <f t="shared" ref="Q2:Q65" si="2">LEFT(N2,SEARCH("/",N2,1)-1)</f>
        <v>film &amp; video</v>
      </c>
      <c r="R2" t="str">
        <f t="shared" ref="R2:R65" si="3">RIGHT(N2,(LEN(N2)-SEARCH("/",N2)))</f>
        <v>television</v>
      </c>
      <c r="S2" s="11">
        <f t="shared" ref="S2:S65" si="4">(J2/86400)+25569+(-5/24)</f>
        <v>42176.798738425925</v>
      </c>
      <c r="T2" s="11">
        <f t="shared" ref="T2:T65" si="5"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42766.392164351848</v>
      </c>
      <c r="T3" s="11">
        <f t="shared" si="5"/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E66/D66*100</f>
        <v>173.33333333333334</v>
      </c>
      <c r="P66" s="6">
        <f t="shared" ref="P66:P129" si="7">IF(OR(E66=0,L66=0),0,E66/L66)</f>
        <v>86.666666666666671</v>
      </c>
      <c r="Q66" t="str">
        <f t="shared" ref="Q66:Q129" si="8">LEFT(N66,SEARCH("/",N66,1)-1)</f>
        <v>film &amp; video</v>
      </c>
      <c r="R66" t="str">
        <f t="shared" ref="R66:R129" si="9">RIGHT(N66,(LEN(N66)-SEARCH("/",N66)))</f>
        <v>shorts</v>
      </c>
      <c r="S66" s="11">
        <f t="shared" ref="S66:S129" si="10">(J66/86400)+25569+(-5/24)</f>
        <v>41432.809965277775</v>
      </c>
      <c r="T66" s="11">
        <f t="shared" ref="T66:T129" si="11">(I66/86400)+25569+(-5/24)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41835.612893518519</v>
      </c>
      <c r="T67" s="11">
        <f t="shared" si="11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E130/D130*100</f>
        <v>1.867</v>
      </c>
      <c r="P130" s="6">
        <f t="shared" ref="P130:P193" si="13">IF(OR(E130=0,L130=0),0,E130/L130)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RIGHT(N130,(LEN(N130)-SEARCH("/",N130)))</f>
        <v>science fiction</v>
      </c>
      <c r="S130" s="11">
        <f t="shared" ref="S130:S193" si="16">(J130/86400)+25569+(-5/24)</f>
        <v>42628.019594907404</v>
      </c>
      <c r="T130" s="11">
        <f t="shared" ref="T130:T193" si="17">(I130/86400)+25569+(-5/24)</f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6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41882.728969907403</v>
      </c>
      <c r="T131" s="11">
        <f t="shared" si="17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E194/D194*100</f>
        <v>1.6999999999999999E-3</v>
      </c>
      <c r="P194" s="6">
        <f t="shared" ref="P194:P257" si="19">IF(OR(E194=0,L194=0),0,E194/L194)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RIGHT(N194,(LEN(N194)-SEARCH("/",N194)))</f>
        <v>drama</v>
      </c>
      <c r="S194" s="11">
        <f t="shared" ref="S194:S257" si="22">(J194/86400)+25569+(-5/24)</f>
        <v>41899.583703703705</v>
      </c>
      <c r="T194" s="11">
        <f t="shared" ref="T194:T257" si="23">(I194/86400)+25569+(-5/24)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6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41911.726458333331</v>
      </c>
      <c r="T195" s="11">
        <f t="shared" si="23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E258/D258*100</f>
        <v>139.1</v>
      </c>
      <c r="P258" s="6">
        <f t="shared" ref="P258:P321" si="25">IF(OR(E258=0,L258=0),0,E258/L258)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RIGHT(N258,(LEN(N258)-SEARCH("/",N258)))</f>
        <v>documentary</v>
      </c>
      <c r="S258" s="11">
        <f t="shared" ref="S258:S321" si="28">(J258/86400)+25569+(-5/24)</f>
        <v>41319.560960648145</v>
      </c>
      <c r="T258" s="11">
        <f t="shared" ref="T258:T321" si="29">(I258/86400)+25569+(-5/24)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42479.418541666666</v>
      </c>
      <c r="T259" s="11">
        <f t="shared" si="29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E322/D322*100</f>
        <v>106.58000000000001</v>
      </c>
      <c r="P322" s="6">
        <f t="shared" ref="P322:P385" si="31">IF(OR(E322=0,L322=0),0,E322/L322)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RIGHT(N322,(LEN(N322)-SEARCH("/",N322)))</f>
        <v>documentary</v>
      </c>
      <c r="S322" s="11">
        <f t="shared" ref="S322:S385" si="34">(J322/86400)+25569+(-5/24)</f>
        <v>42331.34297453703</v>
      </c>
      <c r="T322" s="11">
        <f t="shared" ref="T322:T385" si="35">(I322/86400)+25569+(-5/24)</f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42647.238263888888</v>
      </c>
      <c r="T323" s="11">
        <f t="shared" si="35"/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E386/D386*100</f>
        <v>112.105</v>
      </c>
      <c r="P386" s="6">
        <f t="shared" ref="P386:P449" si="37">IF(OR(E386=0,L386=0),0,E386/L386)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RIGHT(N386,(LEN(N386)-SEARCH("/",N386)))</f>
        <v>documentary</v>
      </c>
      <c r="S386" s="11">
        <f t="shared" ref="S386:S449" si="40">(J386/86400)+25569+(-5/24)</f>
        <v>41980.573460648149</v>
      </c>
      <c r="T386" s="11">
        <f t="shared" ref="T386:T449" si="41">(I386/86400)+25569+(-5/24)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41934.376168981478</v>
      </c>
      <c r="T387" s="11">
        <f t="shared" si="41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E450/D450*100</f>
        <v>3.2804000000000002</v>
      </c>
      <c r="P450" s="6">
        <f t="shared" ref="P450:P513" si="43">IF(OR(E450=0,L450=0),0,E450/L450)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RIGHT(N450,(LEN(N450)-SEARCH("/",N450)))</f>
        <v>animation</v>
      </c>
      <c r="S450" s="11">
        <f t="shared" ref="S450:S513" si="46">(J450/86400)+25569+(-5/24)</f>
        <v>41753.549710648142</v>
      </c>
      <c r="T450" s="11">
        <f t="shared" ref="T450:T513" si="47">(I450/86400)+25569+(-5/24)</f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41534.359780092593</v>
      </c>
      <c r="T451" s="11">
        <f t="shared" si="47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E514/D514*100</f>
        <v>0.13749999999999998</v>
      </c>
      <c r="P514" s="6">
        <f t="shared" ref="P514:P577" si="49">IF(OR(E514=0,L514=0),0,E514/L514)</f>
        <v>5.5</v>
      </c>
      <c r="Q514" t="str">
        <f t="shared" ref="Q514:Q577" si="50">LEFT(N514,SEARCH("/",N514,1)-1)</f>
        <v>film &amp; video</v>
      </c>
      <c r="R514" t="str">
        <f t="shared" ref="R514:R577" si="51">RIGHT(N514,(LEN(N514)-SEARCH("/",N514)))</f>
        <v>animation</v>
      </c>
      <c r="S514" s="11">
        <f t="shared" ref="S514:S577" si="52">(J514/86400)+25569+(-5/24)</f>
        <v>42649.533877314818</v>
      </c>
      <c r="T514" s="11">
        <f t="shared" ref="T514:T577" si="53">(I514/86400)+25569+(-5/24)</f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42552.445659722223</v>
      </c>
      <c r="T515" s="11">
        <f t="shared" si="53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E578/D578*100</f>
        <v>1.25E-3</v>
      </c>
      <c r="P578" s="6">
        <f t="shared" ref="P578:P641" si="55">IF(OR(E578=0,L578=0),0,E578/L578)</f>
        <v>1</v>
      </c>
      <c r="Q578" t="str">
        <f t="shared" ref="Q578:Q641" si="56">LEFT(N578,SEARCH("/",N578,1)-1)</f>
        <v>technology</v>
      </c>
      <c r="R578" t="str">
        <f t="shared" ref="R578:R641" si="57">RIGHT(N578,(LEN(N578)-SEARCH("/",N578)))</f>
        <v>web</v>
      </c>
      <c r="S578" s="11">
        <f t="shared" ref="S578:S641" si="58">(J578/86400)+25569+(-5/24)</f>
        <v>42031.263333333329</v>
      </c>
      <c r="T578" s="11">
        <f t="shared" ref="T578:T641" si="59">(I578/86400)+25569+(-5/24)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42450.380810185183</v>
      </c>
      <c r="T579" s="11">
        <f t="shared" si="59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E642/D642*100</f>
        <v>144.28571428571428</v>
      </c>
      <c r="P642" s="6">
        <f t="shared" ref="P642:P705" si="61">IF(OR(E642=0,L642=0),0,E642/L642)</f>
        <v>50.5</v>
      </c>
      <c r="Q642" t="str">
        <f t="shared" ref="Q642:Q705" si="62">LEFT(N642,SEARCH("/",N642,1)-1)</f>
        <v>technology</v>
      </c>
      <c r="R642" t="str">
        <f t="shared" ref="R642:R705" si="63">RIGHT(N642,(LEN(N642)-SEARCH("/",N642)))</f>
        <v>wearables</v>
      </c>
      <c r="S642" s="11">
        <f t="shared" ref="S642:S705" si="64">(J642/86400)+25569+(-5/24)</f>
        <v>42683.211979166663</v>
      </c>
      <c r="T642" s="11">
        <f t="shared" ref="T642:T705" si="65">(I642/86400)+25569+(-5/24)</f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42199.361666666664</v>
      </c>
      <c r="T643" s="11">
        <f t="shared" si="65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E706/D706*100</f>
        <v>0.87454545454545463</v>
      </c>
      <c r="P706" s="6">
        <f t="shared" ref="P706:P769" si="67">IF(OR(E706=0,L706=0),0,E706/L706)</f>
        <v>120.25</v>
      </c>
      <c r="Q706" t="str">
        <f t="shared" ref="Q706:Q769" si="68">LEFT(N706,SEARCH("/",N706,1)-1)</f>
        <v>technology</v>
      </c>
      <c r="R706" t="str">
        <f t="shared" ref="R706:R769" si="69">RIGHT(N706,(LEN(N706)-SEARCH("/",N706)))</f>
        <v>wearables</v>
      </c>
      <c r="S706" s="11">
        <f t="shared" ref="S706:S769" si="70">(J706/86400)+25569+(-5/24)</f>
        <v>42725.984583333331</v>
      </c>
      <c r="T706" s="11">
        <f t="shared" ref="T706:T769" si="71">(I706/86400)+25569+(-5/24)</f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42726.283310185179</v>
      </c>
      <c r="T707" s="11">
        <f t="shared" si="71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E770/D770*100</f>
        <v>0</v>
      </c>
      <c r="P770" s="6">
        <f t="shared" ref="P770:P833" si="73">IF(OR(E770=0,L770=0),0,E770/L770)</f>
        <v>0</v>
      </c>
      <c r="Q770" t="str">
        <f t="shared" ref="Q770:Q833" si="74">LEFT(N770,SEARCH("/",N770,1)-1)</f>
        <v>publishing</v>
      </c>
      <c r="R770" t="str">
        <f t="shared" ref="R770:R833" si="75">RIGHT(N770,(LEN(N770)-SEARCH("/",N770)))</f>
        <v>fiction</v>
      </c>
      <c r="S770" s="11">
        <f t="shared" ref="S770:S833" si="76">(J770/86400)+25569+(-5/24)</f>
        <v>41593.998726851853</v>
      </c>
      <c r="T770" s="11">
        <f t="shared" ref="T770:T833" si="77">(I770/86400)+25569+(-5/24)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41604.788124999999</v>
      </c>
      <c r="T771" s="11">
        <f t="shared" si="77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E834/D834*100</f>
        <v>100.60706666666665</v>
      </c>
      <c r="P834" s="6">
        <f t="shared" ref="P834:P897" si="79">IF(OR(E834=0,L834=0),0,E834/L834)</f>
        <v>97.993896103896105</v>
      </c>
      <c r="Q834" t="str">
        <f t="shared" ref="Q834:Q897" si="80">LEFT(N834,SEARCH("/",N834,1)-1)</f>
        <v>music</v>
      </c>
      <c r="R834" t="str">
        <f t="shared" ref="R834:R897" si="81">RIGHT(N834,(LEN(N834)-SEARCH("/",N834)))</f>
        <v>rock</v>
      </c>
      <c r="S834" s="11">
        <f t="shared" ref="S834:S897" si="82">(J834/86400)+25569+(-5/24)</f>
        <v>40869.466840277775</v>
      </c>
      <c r="T834" s="11">
        <f t="shared" ref="T834:T897" si="83">(I834/86400)+25569+(-5/24)</f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41718.669849537036</v>
      </c>
      <c r="T835" s="11">
        <f t="shared" si="83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E898/D898*100</f>
        <v>40</v>
      </c>
      <c r="P898" s="6">
        <f t="shared" ref="P898:P961" si="85">IF(OR(E898=0,L898=0),0,E898/L898)</f>
        <v>44.444444444444443</v>
      </c>
      <c r="Q898" t="str">
        <f t="shared" ref="Q898:Q961" si="86">LEFT(N898,SEARCH("/",N898,1)-1)</f>
        <v>music</v>
      </c>
      <c r="R898" t="str">
        <f t="shared" ref="R898:R961" si="87">RIGHT(N898,(LEN(N898)-SEARCH("/",N898)))</f>
        <v>indie rock</v>
      </c>
      <c r="S898" s="11">
        <f t="shared" ref="S898:S961" si="88">(J898/86400)+25569+(-5/24)</f>
        <v>42218.66465277777</v>
      </c>
      <c r="T898" s="11">
        <f t="shared" ref="T898:T961" si="89">(I898/86400)+25569+(-5/24)</f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6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si="88"/>
        <v>41211.480416666665</v>
      </c>
      <c r="T899" s="11">
        <f t="shared" si="89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E962/D962*100</f>
        <v>46.100628930817614</v>
      </c>
      <c r="P962" s="6">
        <f t="shared" ref="P962:P1025" si="91">IF(OR(E962=0,L962=0),0,E962/L962)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RIGHT(N962,(LEN(N962)-SEARCH("/",N962)))</f>
        <v>wearables</v>
      </c>
      <c r="S962" s="11">
        <f t="shared" ref="S962:S1025" si="94">(J962/86400)+25569+(-5/24)</f>
        <v>42766.41846064815</v>
      </c>
      <c r="T962" s="11">
        <f t="shared" ref="T962:T1025" si="95">(I962/86400)+25569+(-5/24)</f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42740.485358796293</v>
      </c>
      <c r="T963" s="11">
        <f t="shared" si="95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E1026/D1026*100</f>
        <v>118.63774999999998</v>
      </c>
      <c r="P1026" s="6">
        <f t="shared" ref="P1026:P1089" si="97">IF(OR(E1026=0,L1026=0),0,E1026/L1026)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RIGHT(N1026,(LEN(N1026)-SEARCH("/",N1026)))</f>
        <v>electronic music</v>
      </c>
      <c r="S1026" s="11">
        <f t="shared" ref="S1026:S1089" si="100">(J1026/86400)+25569+(-5/24)</f>
        <v>42370.372256944444</v>
      </c>
      <c r="T1026" s="11">
        <f t="shared" ref="T1026:T1089" si="101">(I1026/86400)+25569+(-5/24)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42049.625428240739</v>
      </c>
      <c r="T1027" s="11">
        <f t="shared" si="101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E1090/D1090*100</f>
        <v>14.182977777777777</v>
      </c>
      <c r="P1090" s="6">
        <f t="shared" ref="P1090:P1153" si="103">IF(OR(E1090=0,L1090=0),0,E1090/L1090)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RIGHT(N1090,(LEN(N1090)-SEARCH("/",N1090)))</f>
        <v>video games</v>
      </c>
      <c r="S1090" s="11">
        <f t="shared" ref="S1090:S1153" si="106">(J1090/86400)+25569+(-5/24)</f>
        <v>41723.591053240736</v>
      </c>
      <c r="T1090" s="11">
        <f t="shared" ref="T1090:T1153" si="107">(I1090/86400)+25569+(-5/24)</f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42150.981192129628</v>
      </c>
      <c r="T1091" s="11">
        <f t="shared" si="107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E1154/D1154*100</f>
        <v>5.6937500000000005</v>
      </c>
      <c r="P1154" s="6">
        <f t="shared" ref="P1154:P1217" si="109">IF(OR(E1154=0,L1154=0),0,E1154/L1154)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RIGHT(N1154,(LEN(N1154)-SEARCH("/",N1154)))</f>
        <v>food trucks</v>
      </c>
      <c r="S1154" s="11">
        <f t="shared" ref="S1154:S1217" si="112">(J1154/86400)+25569+(-5/24)</f>
        <v>42109.501296296294</v>
      </c>
      <c r="T1154" s="11">
        <f t="shared" ref="T1154:T1217" si="113">(I1154/86400)+25569+(-5/24)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42143.505844907406</v>
      </c>
      <c r="T1155" s="11">
        <f t="shared" si="113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E1218/D1218*100</f>
        <v>145.70000000000002</v>
      </c>
      <c r="P1218" s="6">
        <f t="shared" ref="P1218:P1281" si="115">IF(OR(E1218=0,L1218=0),0,E1218/L1218)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RIGHT(N1218,(LEN(N1218)-SEARCH("/",N1218)))</f>
        <v>photobooks</v>
      </c>
      <c r="S1218" s="11">
        <f t="shared" ref="S1218:S1281" si="118">(J1218/86400)+25569+(-5/24)</f>
        <v>42247.408067129632</v>
      </c>
      <c r="T1218" s="11">
        <f t="shared" ref="T1218:T1281" si="119">(I1218/86400)+25569+(-5/24)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42535.6011574074</v>
      </c>
      <c r="T1219" s="11">
        <f t="shared" si="119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E1282/D1282*100</f>
        <v>110.91186666666665</v>
      </c>
      <c r="P1282" s="6">
        <f t="shared" ref="P1282:P1345" si="121">IF(OR(E1282=0,L1282=0),0,E1282/L1282)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RIGHT(N1282,(LEN(N1282)-SEARCH("/",N1282)))</f>
        <v>rock</v>
      </c>
      <c r="S1282" s="11">
        <f t="shared" ref="S1282:S1345" si="124">(J1282/86400)+25569+(-5/24)</f>
        <v>40513.54923611111</v>
      </c>
      <c r="T1282" s="11">
        <f t="shared" ref="T1282:T1345" si="125">(I1282/86400)+25569+(-5/24)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41463.535138888888</v>
      </c>
      <c r="T1283" s="11">
        <f t="shared" si="125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E1346/D1346*100</f>
        <v>377.73333333333335</v>
      </c>
      <c r="P1346" s="6">
        <f t="shared" ref="P1346:P1409" si="127">IF(OR(E1346=0,L1346=0),0,E1346/L1346)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RIGHT(N1346,(LEN(N1346)-SEARCH("/",N1346)))</f>
        <v>nonfiction</v>
      </c>
      <c r="S1346" s="11">
        <f t="shared" ref="S1346:S1409" si="130">(J1346/86400)+25569+(-5/24)</f>
        <v>42522.581469907404</v>
      </c>
      <c r="T1346" s="11">
        <f t="shared" ref="T1346:T1409" si="131">(I1346/86400)+25569+(-5/24)</f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41799.606006944443</v>
      </c>
      <c r="T1347" s="11">
        <f t="shared" si="131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E1410/D1410*100</f>
        <v>7.1999999999999993</v>
      </c>
      <c r="P1410" s="6">
        <f t="shared" ref="P1410:P1473" si="133">IF(OR(E1410=0,L1410=0),0,E1410/L1410)</f>
        <v>12</v>
      </c>
      <c r="Q1410" t="str">
        <f t="shared" ref="Q1410:Q1473" si="134">LEFT(N1410,SEARCH("/",N1410,1)-1)</f>
        <v>publishing</v>
      </c>
      <c r="R1410" t="str">
        <f t="shared" ref="R1410:R1473" si="135">RIGHT(N1410,(LEN(N1410)-SEARCH("/",N1410)))</f>
        <v>translations</v>
      </c>
      <c r="S1410" s="11">
        <f t="shared" ref="S1410:S1473" si="136">(J1410/86400)+25569+(-5/24)</f>
        <v>42291.663842592585</v>
      </c>
      <c r="T1410" s="11">
        <f t="shared" ref="T1410:T1473" si="137">(I1410/86400)+25569+(-5/24)</f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6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41944.925173611111</v>
      </c>
      <c r="T1411" s="11">
        <f t="shared" si="137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E1474/D1474*100</f>
        <v>138.70400000000001</v>
      </c>
      <c r="P1474" s="6">
        <f t="shared" ref="P1474:P1537" si="139">IF(OR(E1474=0,L1474=0),0,E1474/L1474)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RIGHT(N1474,(LEN(N1474)-SEARCH("/",N1474)))</f>
        <v>radio &amp; podcasts</v>
      </c>
      <c r="S1474" s="11">
        <f t="shared" ref="S1474:S1537" si="142">(J1474/86400)+25569+(-5/24)</f>
        <v>41533.33452546296</v>
      </c>
      <c r="T1474" s="11">
        <f t="shared" ref="T1474:T1537" si="143">(I1474/86400)+25569+(-5/24)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40939.771284722221</v>
      </c>
      <c r="T1475" s="11">
        <f t="shared" si="143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E1538/D1538*100</f>
        <v>250.30841666666666</v>
      </c>
      <c r="P1538" s="6">
        <f t="shared" ref="P1538:P1601" si="145">IF(OR(E1538=0,L1538=0),0,E1538/L1538)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RIGHT(N1538,(LEN(N1538)-SEARCH("/",N1538)))</f>
        <v>photobooks</v>
      </c>
      <c r="S1538" s="11">
        <f t="shared" ref="S1538:S1601" si="148">(J1538/86400)+25569+(-5/24)</f>
        <v>42213.593865740739</v>
      </c>
      <c r="T1538" s="11">
        <f t="shared" ref="T1538:T1601" si="149">(I1538/86400)+25569+(-5/24)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42552.106793981475</v>
      </c>
      <c r="T1539" s="11">
        <f t="shared" si="149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E1602/D1602*100</f>
        <v>7.3400000000000007</v>
      </c>
      <c r="P1602" s="6">
        <f t="shared" ref="P1602:P1665" si="151">IF(OR(E1602=0,L1602=0),0,E1602/L1602)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RIGHT(N1602,(LEN(N1602)-SEARCH("/",N1602)))</f>
        <v>places</v>
      </c>
      <c r="S1602" s="11">
        <f t="shared" ref="S1602:S1665" si="154">(J1602/86400)+25569+(-5/24)</f>
        <v>41790.848981481475</v>
      </c>
      <c r="T1602" s="11">
        <f t="shared" ref="T1602:T1665" si="155">(I1602/86400)+25569+(-5/24)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40637.884641203702</v>
      </c>
      <c r="T1603" s="11">
        <f t="shared" si="155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E1666/D1666*100</f>
        <v>122.40879999999999</v>
      </c>
      <c r="P1666" s="6">
        <f t="shared" ref="P1666:P1729" si="157">IF(OR(E1666=0,L1666=0),0,E1666/L1666)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RIGHT(N1666,(LEN(N1666)-SEARCH("/",N1666)))</f>
        <v>pop</v>
      </c>
      <c r="S1666" s="11">
        <f t="shared" ref="S1666:S1729" si="160">(J1666/86400)+25569+(-5/24)</f>
        <v>40939.553449074076</v>
      </c>
      <c r="T1666" s="11">
        <f t="shared" ref="T1666:T1729" si="161">(I1666/86400)+25569+(-5/24)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40564.441122685181</v>
      </c>
      <c r="T1667" s="11">
        <f t="shared" si="161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E1730/D1730*100</f>
        <v>68.400000000000006</v>
      </c>
      <c r="P1730" s="6">
        <f t="shared" ref="P1730:P1793" si="163">IF(OR(E1730=0,L1730=0),0,E1730/L1730)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RIGHT(N1730,(LEN(N1730)-SEARCH("/",N1730)))</f>
        <v>faith</v>
      </c>
      <c r="S1730" s="11">
        <f t="shared" ref="S1730:S1793" si="166">(J1730/86400)+25569+(-5/24)</f>
        <v>42268.417523148142</v>
      </c>
      <c r="T1730" s="11">
        <f t="shared" ref="T1730:T1793" si="167">(I1730/86400)+25569+(-5/24)</f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6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si="166"/>
        <v>42470.843819444439</v>
      </c>
      <c r="T1731" s="11">
        <f t="shared" si="167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E1794/D1794*100</f>
        <v>61.124000000000002</v>
      </c>
      <c r="P1794" s="6">
        <f t="shared" ref="P1794:P1857" si="169">IF(OR(E1794=0,L1794=0),0,E1794/L1794)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RIGHT(N1794,(LEN(N1794)-SEARCH("/",N1794)))</f>
        <v>photobooks</v>
      </c>
      <c r="S1794" s="11">
        <f t="shared" ref="S1794:S1857" si="172">(J1794/86400)+25569+(-5/24)</f>
        <v>42188.822708333326</v>
      </c>
      <c r="T1794" s="11">
        <f t="shared" ref="T1794:T1857" si="173">(I1794/86400)+25569+(-5/24)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41940.683333333327</v>
      </c>
      <c r="T1795" s="11">
        <f t="shared" si="173"/>
        <v>41970.724999999999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E1858/D1858*100</f>
        <v>101.25</v>
      </c>
      <c r="P1858" s="6">
        <f t="shared" ref="P1858:P1921" si="175">IF(OR(E1858=0,L1858=0),0,E1858/L1858)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RIGHT(N1858,(LEN(N1858)-SEARCH("/",N1858)))</f>
        <v>rock</v>
      </c>
      <c r="S1858" s="11">
        <f t="shared" ref="S1858:S1921" si="178">(J1858/86400)+25569+(-5/24)</f>
        <v>41817.64666666666</v>
      </c>
      <c r="T1858" s="11">
        <f t="shared" ref="T1858:T1921" si="179">(I1858/86400)+25569+(-5/24)</f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41864.560335648144</v>
      </c>
      <c r="T1859" s="11">
        <f t="shared" si="179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E1922/D1922*100</f>
        <v>43.03</v>
      </c>
      <c r="P1922" s="6">
        <f t="shared" ref="P1922:P1985" si="181">IF(OR(E1922=0,L1922=0),0,E1922/L1922)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RIGHT(N1922,(LEN(N1922)-SEARCH("/",N1922)))</f>
        <v>gadgets</v>
      </c>
      <c r="S1922" s="11">
        <f t="shared" ref="S1922:S1985" si="184">(J1922/86400)+25569+(-5/24)</f>
        <v>42270.66737268518</v>
      </c>
      <c r="T1922" s="11">
        <f t="shared" ref="T1922:T1985" si="185">(I1922/86400)+25569+(-5/24)</f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41074.013229166667</v>
      </c>
      <c r="T1923" s="11">
        <f t="shared" si="185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E1986/D1986*100</f>
        <v>21.146666666666665</v>
      </c>
      <c r="P1986" s="6">
        <f t="shared" ref="P1986:P2049" si="187">IF(OR(E1986=0,L1986=0),0,E1986/L1986)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RIGHT(N1986,(LEN(N1986)-SEARCH("/",N1986)))</f>
        <v>people</v>
      </c>
      <c r="S1986" s="11">
        <f t="shared" ref="S1986:S2049" si="190">(J1986/86400)+25569+(-5/24)</f>
        <v>41913.581956018512</v>
      </c>
      <c r="T1986" s="11">
        <f t="shared" ref="T1986:T2049" si="191">(I1986/86400)+25569+(-5/24)</f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42555.490405092591</v>
      </c>
      <c r="T1987" s="11">
        <f t="shared" si="191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E2050/D2050*100</f>
        <v>148.33229411764705</v>
      </c>
      <c r="P2050" s="6">
        <f t="shared" ref="P2050:P2113" si="193">IF(OR(E2050=0,L2050=0),0,E2050/L2050)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RIGHT(N2050,(LEN(N2050)-SEARCH("/",N2050)))</f>
        <v>hardware</v>
      </c>
      <c r="S2050" s="11">
        <f t="shared" ref="S2050:S2113" si="196">(J2050/86400)+25569+(-5/24)</f>
        <v>41387.443182870367</v>
      </c>
      <c r="T2050" s="11">
        <f t="shared" ref="T2050:T2113" si="197">(I2050/86400)+25569+(-5/24)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41575.319016203699</v>
      </c>
      <c r="T2051" s="11">
        <f t="shared" si="197"/>
        <v>41610.749305555553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E2114/D2114*100</f>
        <v>100</v>
      </c>
      <c r="P2114" s="6">
        <f t="shared" ref="P2114:P2177" si="199">IF(OR(E2114=0,L2114=0),0,E2114/L2114)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RIGHT(N2114,(LEN(N2114)-SEARCH("/",N2114)))</f>
        <v>indie rock</v>
      </c>
      <c r="S2114" s="11">
        <f t="shared" ref="S2114:S2177" si="202">(J2114/86400)+25569+(-5/24)</f>
        <v>41365.719826388886</v>
      </c>
      <c r="T2114" s="11">
        <f t="shared" ref="T2114:T2177" si="203">(I2114/86400)+25569+(-5/24)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41870.657129629624</v>
      </c>
      <c r="T2115" s="11">
        <f t="shared" si="203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E2178/D2178*100</f>
        <v>126.02</v>
      </c>
      <c r="P2178" s="6">
        <f t="shared" ref="P2178:P2241" si="205">IF(OR(E2178=0,L2178=0),0,E2178/L2178)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RIGHT(N2178,(LEN(N2178)-SEARCH("/",N2178)))</f>
        <v>rock</v>
      </c>
      <c r="S2178" s="11">
        <f t="shared" ref="S2178:S2241" si="208">(J2178/86400)+25569+(-5/24)</f>
        <v>42096.424872685187</v>
      </c>
      <c r="T2178" s="11">
        <f t="shared" ref="T2178:T2241" si="209">(I2178/86400)+25569+(-5/24)</f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42502.042442129627</v>
      </c>
      <c r="T2179" s="11">
        <f t="shared" si="209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E2242/D2242*100</f>
        <v>270.68</v>
      </c>
      <c r="P2242" s="6">
        <f t="shared" ref="P2242:P2305" si="211">IF(OR(E2242=0,L2242=0),0,E2242/L2242)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RIGHT(N2242,(LEN(N2242)-SEARCH("/",N2242)))</f>
        <v>tabletop games</v>
      </c>
      <c r="S2242" s="11">
        <f t="shared" ref="S2242:S2305" si="214">(J2242/86400)+25569+(-5/24)</f>
        <v>42452.617407407401</v>
      </c>
      <c r="T2242" s="11">
        <f t="shared" ref="T2242:T2305" si="215">(I2242/86400)+25569+(-5/24)</f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42766.619212962956</v>
      </c>
      <c r="T2243" s="11">
        <f t="shared" si="215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E2306/D2306*100</f>
        <v>100.70033333333335</v>
      </c>
      <c r="P2306" s="6">
        <f t="shared" ref="P2306:P2369" si="217">IF(OR(E2306=0,L2306=0),0,E2306/L2306)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RIGHT(N2306,(LEN(N2306)-SEARCH("/",N2306)))</f>
        <v>indie rock</v>
      </c>
      <c r="S2306" s="11">
        <f t="shared" ref="S2306:S2369" si="220">(J2306/86400)+25569+(-5/24)</f>
        <v>40502.607534722221</v>
      </c>
      <c r="T2306" s="11">
        <f t="shared" ref="T2306:T2369" si="221">(I2306/86400)+25569+(-5/24)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41834.486944444441</v>
      </c>
      <c r="T2307" s="11">
        <f t="shared" si="221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E2370/D2370*100</f>
        <v>0.25</v>
      </c>
      <c r="P2370" s="6">
        <f t="shared" ref="P2370:P2433" si="223">IF(OR(E2370=0,L2370=0),0,E2370/L2370)</f>
        <v>50</v>
      </c>
      <c r="Q2370" t="str">
        <f t="shared" ref="Q2370:Q2433" si="224">LEFT(N2370,SEARCH("/",N2370,1)-1)</f>
        <v>technology</v>
      </c>
      <c r="R2370" t="str">
        <f t="shared" ref="R2370:R2433" si="225">RIGHT(N2370,(LEN(N2370)-SEARCH("/",N2370)))</f>
        <v>web</v>
      </c>
      <c r="S2370" s="11">
        <f t="shared" ref="S2370:S2433" si="226">(J2370/86400)+25569+(-5/24)</f>
        <v>42063.513483796291</v>
      </c>
      <c r="T2370" s="11">
        <f t="shared" ref="T2370:T2433" si="227">(I2370/86400)+25569+(-5/24)</f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6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42380.60429398148</v>
      </c>
      <c r="T2371" s="11">
        <f t="shared" si="227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E2434/D2434*100</f>
        <v>1.4285714285714287E-2</v>
      </c>
      <c r="P2434" s="6">
        <f t="shared" ref="P2434:P2497" si="229">IF(OR(E2434=0,L2434=0),0,E2434/L2434)</f>
        <v>1</v>
      </c>
      <c r="Q2434" t="str">
        <f t="shared" ref="Q2434:Q2497" si="230">LEFT(N2434,SEARCH("/",N2434,1)-1)</f>
        <v>food</v>
      </c>
      <c r="R2434" t="str">
        <f t="shared" ref="R2434:R2497" si="231">RIGHT(N2434,(LEN(N2434)-SEARCH("/",N2434)))</f>
        <v>food trucks</v>
      </c>
      <c r="S2434" s="11">
        <f t="shared" ref="S2434:S2497" si="232">(J2434/86400)+25569+(-5/24)</f>
        <v>42041.010381944441</v>
      </c>
      <c r="T2434" s="11">
        <f t="shared" ref="T2434:T2497" si="233">(I2434/86400)+25569+(-5/24)</f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6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42397.691469907404</v>
      </c>
      <c r="T2435" s="11">
        <f t="shared" si="233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E2498/D2498*100</f>
        <v>100</v>
      </c>
      <c r="P2498" s="6">
        <f t="shared" ref="P2498:P2561" si="235">IF(OR(E2498=0,L2498=0),0,E2498/L2498)</f>
        <v>600</v>
      </c>
      <c r="Q2498" t="str">
        <f t="shared" ref="Q2498:Q2561" si="236">LEFT(N2498,SEARCH("/",N2498,1)-1)</f>
        <v>music</v>
      </c>
      <c r="R2498" t="str">
        <f t="shared" ref="R2498:R2561" si="237">RIGHT(N2498,(LEN(N2498)-SEARCH("/",N2498)))</f>
        <v>indie rock</v>
      </c>
      <c r="S2498" s="11">
        <f t="shared" ref="S2498:S2561" si="238">(J2498/86400)+25569+(-5/24)</f>
        <v>41327.788101851846</v>
      </c>
      <c r="T2498" s="11">
        <f t="shared" ref="T2498:T2561" si="239">(I2498/86400)+25569+(-5/24)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40730.670578703699</v>
      </c>
      <c r="T2499" s="11">
        <f t="shared" si="239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E2562/D2562*100</f>
        <v>100.1</v>
      </c>
      <c r="P2562" s="6">
        <f t="shared" ref="P2562:P2625" si="241">IF(OR(E2562=0,L2562=0),0,E2562/L2562)</f>
        <v>143</v>
      </c>
      <c r="Q2562" t="str">
        <f t="shared" ref="Q2562:Q2625" si="242">LEFT(N2562,SEARCH("/",N2562,1)-1)</f>
        <v>music</v>
      </c>
      <c r="R2562" t="str">
        <f t="shared" ref="R2562:R2625" si="243">RIGHT(N2562,(LEN(N2562)-SEARCH("/",N2562)))</f>
        <v>classical music</v>
      </c>
      <c r="S2562" s="11">
        <f t="shared" ref="S2562:S2625" si="244">(J2562/86400)+25569+(-5/24)</f>
        <v>42039.742754629631</v>
      </c>
      <c r="T2562" s="11">
        <f t="shared" ref="T2562:T2625" si="245">(I2562/86400)+25569+(-5/24)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6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42260.320474537039</v>
      </c>
      <c r="T2563" s="11">
        <f t="shared" si="245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E2626/D2626*100</f>
        <v>1379.4206249999997</v>
      </c>
      <c r="P2626" s="6">
        <f t="shared" ref="P2626:P2689" si="247">IF(OR(E2626=0,L2626=0),0,E2626/L2626)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RIGHT(N2626,(LEN(N2626)-SEARCH("/",N2626)))</f>
        <v>space exploration</v>
      </c>
      <c r="S2626" s="11">
        <f t="shared" ref="S2626:S2689" si="250">(J2626/86400)+25569+(-5/24)</f>
        <v>41144.213217592587</v>
      </c>
      <c r="T2626" s="11">
        <f t="shared" ref="T2626:T2689" si="251">(I2626/86400)+25569+(-5/24)</f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42658.601944444446</v>
      </c>
      <c r="T2627" s="11">
        <f t="shared" si="251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E2690/D2690*100</f>
        <v>0.14799999999999999</v>
      </c>
      <c r="P2690" s="6">
        <f t="shared" ref="P2690:P2753" si="253">IF(OR(E2690=0,L2690=0),0,E2690/L2690)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RIGHT(N2690,(LEN(N2690)-SEARCH("/",N2690)))</f>
        <v>food trucks</v>
      </c>
      <c r="S2690" s="11">
        <f t="shared" ref="S2690:S2753" si="256">(J2690/86400)+25569+(-5/24)</f>
        <v>42027.910532407404</v>
      </c>
      <c r="T2690" s="11">
        <f t="shared" ref="T2690:T2753" si="257">(I2690/86400)+25569+(-5/24)</f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42551.75335648148</v>
      </c>
      <c r="T2691" s="11">
        <f t="shared" si="257"/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E2754/D2754*100</f>
        <v>11.458333333333332</v>
      </c>
      <c r="P2754" s="6">
        <f t="shared" ref="P2754:P2817" si="259">IF(OR(E2754=0,L2754=0),0,E2754/L2754)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RIGHT(N2754,(LEN(N2754)-SEARCH("/",N2754)))</f>
        <v>children's books</v>
      </c>
      <c r="S2754" s="11">
        <f t="shared" ref="S2754:S2817" si="262">(J2754/86400)+25569+(-5/24)</f>
        <v>40855.556759259256</v>
      </c>
      <c r="T2754" s="11">
        <f t="shared" ref="T2754:T2817" si="263">(I2754/86400)+25569+(-5/24)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41117.692395833328</v>
      </c>
      <c r="T2755" s="11">
        <f t="shared" si="263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E2818/D2818*100</f>
        <v>141.56666666666666</v>
      </c>
      <c r="P2818" s="6">
        <f t="shared" ref="P2818:P2881" si="265">IF(OR(E2818=0,L2818=0),0,E2818/L2818)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RIGHT(N2818,(LEN(N2818)-SEARCH("/",N2818)))</f>
        <v>plays</v>
      </c>
      <c r="S2818" s="11">
        <f t="shared" ref="S2818:S2881" si="268">(J2818/86400)+25569+(-5/24)</f>
        <v>42188.259166666663</v>
      </c>
      <c r="T2818" s="11">
        <f t="shared" ref="T2818:T2881" si="269">(I2818/86400)+25569+(-5/24)</f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42023.42664351852</v>
      </c>
      <c r="T2819" s="11">
        <f t="shared" si="269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E2882/D2882*100</f>
        <v>23.333333333333332</v>
      </c>
      <c r="P2882" s="6">
        <f t="shared" ref="P2882:P2945" si="271">IF(OR(E2882=0,L2882=0),0,E2882/L2882)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RIGHT(N2882,(LEN(N2882)-SEARCH("/",N2882)))</f>
        <v>plays</v>
      </c>
      <c r="S2882" s="11">
        <f t="shared" ref="S2882:S2945" si="274">(J2882/86400)+25569+(-5/24)</f>
        <v>42192.69736111111</v>
      </c>
      <c r="T2882" s="11">
        <f t="shared" ref="T2882:T2945" si="275">(I2882/86400)+25569+(-5/24)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6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41916.389305555553</v>
      </c>
      <c r="T2883" s="11">
        <f t="shared" si="275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E2946/D2946*100</f>
        <v>1</v>
      </c>
      <c r="P2946" s="6">
        <f t="shared" ref="P2946:P3009" si="277">IF(OR(E2946=0,L2946=0),0,E2946/L2946)</f>
        <v>100</v>
      </c>
      <c r="Q2946" t="str">
        <f t="shared" ref="Q2946:Q3009" si="278">LEFT(N2946,SEARCH("/",N2946,1)-1)</f>
        <v>theater</v>
      </c>
      <c r="R2946" t="str">
        <f t="shared" ref="R2946:R3009" si="279">RIGHT(N2946,(LEN(N2946)-SEARCH("/",N2946)))</f>
        <v>spaces</v>
      </c>
      <c r="S2946" s="11">
        <f t="shared" ref="S2946:S3009" si="280">(J2946/86400)+25569+(-5/24)</f>
        <v>42132.705995370365</v>
      </c>
      <c r="T2946" s="11">
        <f t="shared" ref="T2946:T3009" si="281">(I2946/86400)+25569+(-5/24)</f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6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42117.931250000001</v>
      </c>
      <c r="T2947" s="11">
        <f t="shared" si="281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E3010/D3010*100</f>
        <v>101.16666666666667</v>
      </c>
      <c r="P3010" s="6">
        <f t="shared" ref="P3010:P3073" si="283">IF(OR(E3010=0,L3010=0),0,E3010/L3010)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RIGHT(N3010,(LEN(N3010)-SEARCH("/",N3010)))</f>
        <v>spaces</v>
      </c>
      <c r="S3010" s="11">
        <f t="shared" ref="S3010:S3073" si="286">(J3010/86400)+25569+(-5/24)</f>
        <v>42360.003692129627</v>
      </c>
      <c r="T3010" s="11">
        <f t="shared" ref="T3010:T3073" si="287">(I3010/86400)+25569+(-5/24)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41939.361574074072</v>
      </c>
      <c r="T3011" s="11">
        <f t="shared" si="287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E3074/D3074*100</f>
        <v>1.6666666666666666E-2</v>
      </c>
      <c r="P3074" s="6">
        <f t="shared" ref="P3074:P3137" si="289">IF(OR(E3074=0,L3074=0),0,E3074/L3074)</f>
        <v>1</v>
      </c>
      <c r="Q3074" t="str">
        <f t="shared" ref="Q3074:Q3137" si="290">LEFT(N3074,SEARCH("/",N3074,1)-1)</f>
        <v>theater</v>
      </c>
      <c r="R3074" t="str">
        <f t="shared" ref="R3074:R3137" si="291">RIGHT(N3074,(LEN(N3074)-SEARCH("/",N3074)))</f>
        <v>spaces</v>
      </c>
      <c r="S3074" s="11">
        <f t="shared" ref="S3074:S3137" si="292">(J3074/86400)+25569+(-5/24)</f>
        <v>42658.482199074067</v>
      </c>
      <c r="T3074" s="11">
        <f t="shared" ref="T3074:T3137" si="293">(I3074/86400)+25569+(-5/24)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42111.475694444445</v>
      </c>
      <c r="T3075" s="11">
        <f t="shared" si="293"/>
        <v>42169.59652777778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E3138/D3138*100</f>
        <v>127.8</v>
      </c>
      <c r="P3138" s="6">
        <f t="shared" ref="P3138:P3201" si="295">IF(OR(E3138=0,L3138=0),0,E3138/L3138)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RIGHT(N3138,(LEN(N3138)-SEARCH("/",N3138)))</f>
        <v>plays</v>
      </c>
      <c r="S3138" s="11">
        <f t="shared" ref="S3138:S3201" si="298">(J3138/86400)+25569+(-5/24)</f>
        <v>42789.25409722222</v>
      </c>
      <c r="T3138" s="11">
        <f t="shared" ref="T3138:T3201" si="299">(I3138/86400)+25569+(-5/24)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42807.676724537036</v>
      </c>
      <c r="T3139" s="11">
        <f t="shared" si="299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E3202/D3202*100</f>
        <v>2E-3</v>
      </c>
      <c r="P3202" s="6">
        <f t="shared" ref="P3202:P3265" si="301">IF(OR(E3202=0,L3202=0),0,E3202/L3202)</f>
        <v>1</v>
      </c>
      <c r="Q3202" t="str">
        <f t="shared" ref="Q3202:Q3265" si="302">LEFT(N3202,SEARCH("/",N3202,1)-1)</f>
        <v>theater</v>
      </c>
      <c r="R3202" t="str">
        <f t="shared" ref="R3202:R3265" si="303">RIGHT(N3202,(LEN(N3202)-SEARCH("/",N3202)))</f>
        <v>musical</v>
      </c>
      <c r="S3202" s="11">
        <f t="shared" ref="S3202:S3265" si="304">(J3202/86400)+25569+(-5/24)</f>
        <v>42460.112280092588</v>
      </c>
      <c r="T3202" s="11">
        <f t="shared" ref="T3202:T3265" si="305">(I3202/86400)+25569+(-5/24)</f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41861.558761574073</v>
      </c>
      <c r="T3203" s="11">
        <f t="shared" si="305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E3266/D3266*100</f>
        <v>103</v>
      </c>
      <c r="P3266" s="6">
        <f t="shared" ref="P3266:P3329" si="307">IF(OR(E3266=0,L3266=0),0,E3266/L3266)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RIGHT(N3266,(LEN(N3266)-SEARCH("/",N3266)))</f>
        <v>plays</v>
      </c>
      <c r="S3266" s="11">
        <f t="shared" ref="S3266:S3329" si="310">(J3266/86400)+25569+(-5/24)</f>
        <v>42016.591874999998</v>
      </c>
      <c r="T3266" s="11">
        <f t="shared" ref="T3266:T3329" si="311">(I3266/86400)+25569+(-5/24)</f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42311.503645833327</v>
      </c>
      <c r="T3267" s="11">
        <f t="shared" si="311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E3330/D3330*100</f>
        <v>146.38888888888889</v>
      </c>
      <c r="P3330" s="6">
        <f t="shared" ref="P3330:P3393" si="313">IF(OR(E3330=0,L3330=0),0,E3330/L3330)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RIGHT(N3330,(LEN(N3330)-SEARCH("/",N3330)))</f>
        <v>plays</v>
      </c>
      <c r="S3330" s="11">
        <f t="shared" ref="S3330:S3393" si="316">(J3330/86400)+25569+(-5/24)</f>
        <v>41822.366701388884</v>
      </c>
      <c r="T3330" s="11">
        <f t="shared" ref="T3330:T3393" si="317">(I3330/86400)+25569+(-5/24)</f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41837.114675925921</v>
      </c>
      <c r="T3331" s="11">
        <f t="shared" si="317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E3394/D3394*100</f>
        <v>100</v>
      </c>
      <c r="P3394" s="6">
        <f t="shared" ref="P3394:P3457" si="319">IF(OR(E3394=0,L3394=0),0,E3394/L3394)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RIGHT(N3394,(LEN(N3394)-SEARCH("/",N3394)))</f>
        <v>plays</v>
      </c>
      <c r="S3394" s="11">
        <f t="shared" ref="S3394:S3457" si="322">(J3394/86400)+25569+(-5/24)</f>
        <v>42446.63721064815</v>
      </c>
      <c r="T3394" s="11">
        <f t="shared" ref="T3394:T3457" si="323">(I3394/86400)+25569+(-5/24)</f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41923.713310185187</v>
      </c>
      <c r="T3395" s="11">
        <f t="shared" si="323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E3458/D3458*100</f>
        <v>191.3</v>
      </c>
      <c r="P3458" s="6">
        <f t="shared" ref="P3458:P3521" si="325">IF(OR(E3458=0,L3458=0),0,E3458/L3458)</f>
        <v>358.6875</v>
      </c>
      <c r="Q3458" t="str">
        <f t="shared" ref="Q3458:Q3521" si="326">LEFT(N3458,SEARCH("/",N3458,1)-1)</f>
        <v>theater</v>
      </c>
      <c r="R3458" t="str">
        <f t="shared" ref="R3458:R3521" si="327">RIGHT(N3458,(LEN(N3458)-SEARCH("/",N3458)))</f>
        <v>plays</v>
      </c>
      <c r="S3458" s="11">
        <f t="shared" ref="S3458:S3521" si="328">(J3458/86400)+25569+(-5/24)</f>
        <v>41820.997303240736</v>
      </c>
      <c r="T3458" s="11">
        <f t="shared" ref="T3458:T3521" si="329">(I3458/86400)+25569+(-5/24)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42016.498344907406</v>
      </c>
      <c r="T3459" s="11">
        <f t="shared" si="329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E3522/D3522*100</f>
        <v>100.75</v>
      </c>
      <c r="P3522" s="6">
        <f t="shared" ref="P3522:P3585" si="331">IF(OR(E3522=0,L3522=0),0,E3522/L3522)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RIGHT(N3522,(LEN(N3522)-SEARCH("/",N3522)))</f>
        <v>plays</v>
      </c>
      <c r="S3522" s="11">
        <f t="shared" ref="S3522:S3585" si="334">(J3522/86400)+25569+(-5/24)</f>
        <v>42227.615879629629</v>
      </c>
      <c r="T3522" s="11">
        <f t="shared" ref="T3522:T3585" si="335">(I3522/86400)+25569+(-5/24)</f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41881.153009259258</v>
      </c>
      <c r="T3523" s="11">
        <f t="shared" si="335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E3586/D3586*100</f>
        <v>115.5</v>
      </c>
      <c r="P3586" s="6">
        <f t="shared" ref="P3586:P3649" si="337">IF(OR(E3586=0,L3586=0),0,E3586/L3586)</f>
        <v>30.9375</v>
      </c>
      <c r="Q3586" t="str">
        <f t="shared" ref="Q3586:Q3649" si="338">LEFT(N3586,SEARCH("/",N3586,1)-1)</f>
        <v>theater</v>
      </c>
      <c r="R3586" t="str">
        <f t="shared" ref="R3586:R3649" si="339">RIGHT(N3586,(LEN(N3586)-SEARCH("/",N3586)))</f>
        <v>plays</v>
      </c>
      <c r="S3586" s="11">
        <f t="shared" ref="S3586:S3649" si="340">(J3586/86400)+25569+(-5/24)</f>
        <v>42168.108148148145</v>
      </c>
      <c r="T3586" s="11">
        <f t="shared" ref="T3586:T3649" si="341">(I3586/86400)+25569+(-5/24)</f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41964.507986111108</v>
      </c>
      <c r="T3587" s="11">
        <f t="shared" si="341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E3650/D3650*100</f>
        <v>100.38249999999999</v>
      </c>
      <c r="P3650" s="6">
        <f t="shared" ref="P3650:P3713" si="343">IF(OR(E3650=0,L3650=0),0,E3650/L3650)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RIGHT(N3650,(LEN(N3650)-SEARCH("/",N3650)))</f>
        <v>plays</v>
      </c>
      <c r="S3650" s="11">
        <f t="shared" ref="S3650:S3713" si="346">(J3650/86400)+25569+(-5/24)</f>
        <v>41887.083854166667</v>
      </c>
      <c r="T3650" s="11">
        <f t="shared" ref="T3650:T3713" si="347">(I3650/86400)+25569+(-5/24)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41780.504560185182</v>
      </c>
      <c r="T3651" s="11">
        <f t="shared" si="347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E3714/D3714*100</f>
        <v>153.73333333333335</v>
      </c>
      <c r="P3714" s="6">
        <f t="shared" ref="P3714:P3777" si="349">IF(OR(E3714=0,L3714=0),0,E3714/L3714)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RIGHT(N3714,(LEN(N3714)-SEARCH("/",N3714)))</f>
        <v>plays</v>
      </c>
      <c r="S3714" s="11">
        <f t="shared" ref="S3714:S3777" si="352">(J3714/86400)+25569+(-5/24)</f>
        <v>42133.963738425919</v>
      </c>
      <c r="T3714" s="11">
        <f t="shared" ref="T3714:T3777" si="353">(I3714/86400)+25569+(-5/24)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42505.529699074068</v>
      </c>
      <c r="T3715" s="11">
        <f t="shared" si="353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E3778/D3778*100</f>
        <v>106.71250000000001</v>
      </c>
      <c r="P3778" s="6">
        <f t="shared" ref="P3778:P3841" si="355">IF(OR(E3778=0,L3778=0),0,E3778/L3778)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RIGHT(N3778,(LEN(N3778)-SEARCH("/",N3778)))</f>
        <v>musical</v>
      </c>
      <c r="S3778" s="11">
        <f t="shared" ref="S3778:S3841" si="358">(J3778/86400)+25569+(-5/24)</f>
        <v>41814.159467592588</v>
      </c>
      <c r="T3778" s="11">
        <f t="shared" ref="T3778:T3841" si="359">(I3778/86400)+25569+(-5/24)</f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41886.903020833335</v>
      </c>
      <c r="T3779" s="11">
        <f t="shared" si="359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E3842/D3842*100</f>
        <v>6500</v>
      </c>
      <c r="P3842" s="6">
        <f t="shared" ref="P3842:P3905" si="361">IF(OR(E3842=0,L3842=0),0,E3842/L3842)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RIGHT(N3842,(LEN(N3842)-SEARCH("/",N3842)))</f>
        <v>plays</v>
      </c>
      <c r="S3842" s="11">
        <f t="shared" ref="S3842:S3905" si="364">(J3842/86400)+25569+(-5/24)</f>
        <v>42432.493391203701</v>
      </c>
      <c r="T3842" s="11">
        <f t="shared" ref="T3842:T3905" si="365">(I3842/86400)+25569+(-5/24)</f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41780.57739583333</v>
      </c>
      <c r="T3843" s="11">
        <f t="shared" si="365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E3906/D3906*100</f>
        <v>0.03</v>
      </c>
      <c r="P3906" s="6">
        <f t="shared" ref="P3906:P3969" si="367">IF(OR(E3906=0,L3906=0),0,E3906/L3906)</f>
        <v>1.5</v>
      </c>
      <c r="Q3906" t="str">
        <f t="shared" ref="Q3906:Q3969" si="368">LEFT(N3906,SEARCH("/",N3906,1)-1)</f>
        <v>theater</v>
      </c>
      <c r="R3906" t="str">
        <f t="shared" ref="R3906:R3969" si="369">RIGHT(N3906,(LEN(N3906)-SEARCH("/",N3906)))</f>
        <v>plays</v>
      </c>
      <c r="S3906" s="11">
        <f t="shared" ref="S3906:S3969" si="370">(J3906/86400)+25569+(-5/24)</f>
        <v>42095.020833333336</v>
      </c>
      <c r="T3906" s="11">
        <f t="shared" ref="T3906:T3969" si="371">(I3906/86400)+25569+(-5/24)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42124.415543981479</v>
      </c>
      <c r="T3907" s="11">
        <f t="shared" si="371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E3970/D3970*100</f>
        <v>10.54</v>
      </c>
      <c r="P3970" s="6">
        <f t="shared" ref="P3970:P4033" si="373">IF(OR(E3970=0,L3970=0),0,E3970/L3970)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RIGHT(N3970,(LEN(N3970)-SEARCH("/",N3970)))</f>
        <v>plays</v>
      </c>
      <c r="S3970" s="11">
        <f t="shared" ref="S3970:S4033" si="376">(J3970/86400)+25569+(-5/24)</f>
        <v>42452.60732638889</v>
      </c>
      <c r="T3970" s="11">
        <f t="shared" ref="T3970:T4033" si="377">(I3970/86400)+25569+(-5/24)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42601.646365740737</v>
      </c>
      <c r="T3971" s="11">
        <f t="shared" si="377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E4034/D4034*100</f>
        <v>6.8287037037037033</v>
      </c>
      <c r="P4034" s="6">
        <f t="shared" ref="P4034:P4097" si="379">IF(OR(E4034=0,L4034=0),0,E4034/L4034)</f>
        <v>59</v>
      </c>
      <c r="Q4034" t="str">
        <f t="shared" ref="Q4034:Q4097" si="380">LEFT(N4034,SEARCH("/",N4034,1)-1)</f>
        <v>theater</v>
      </c>
      <c r="R4034" t="str">
        <f t="shared" ref="R4034:R4097" si="381">RIGHT(N4034,(LEN(N4034)-SEARCH("/",N4034)))</f>
        <v>plays</v>
      </c>
      <c r="S4034" s="11">
        <f t="shared" ref="S4034:S4097" si="382">(J4034/86400)+25569+(-5/24)</f>
        <v>42293.60087962963</v>
      </c>
      <c r="T4034" s="11">
        <f t="shared" ref="T4034:T4097" si="383">(I4034/86400)+25569+(-5/24)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42614.06046296296</v>
      </c>
      <c r="T4035" s="11">
        <f t="shared" si="383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E4098/D4098*100</f>
        <v>11.428571428571429</v>
      </c>
      <c r="P4098" s="6">
        <f t="shared" ref="P4098:P4115" si="385">IF(OR(E4098=0,L4098=0),0,E4098/L4098)</f>
        <v>80</v>
      </c>
      <c r="Q4098" t="str">
        <f t="shared" ref="Q4098:Q4115" si="386">LEFT(N4098,SEARCH("/",N4098,1)-1)</f>
        <v>theater</v>
      </c>
      <c r="R4098" t="str">
        <f t="shared" ref="R4098:R4115" si="387">RIGHT(N4098,(LEN(N4098)-SEARCH("/",N4098)))</f>
        <v>plays</v>
      </c>
      <c r="S4098" s="11">
        <f t="shared" ref="S4098:S4115" si="388">(J4098/86400)+25569+(-5/24)</f>
        <v>42750.321979166663</v>
      </c>
      <c r="T4098" s="11">
        <f t="shared" ref="T4098:T4115" si="389">(I4098/86400)+25569+(-5/24)</f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6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42344.616168981483</v>
      </c>
      <c r="T4099" s="11">
        <f t="shared" si="389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42AB-7460-C64F-9D01-FD1781FCCFC0}">
  <sheetPr codeName="Sheet5"/>
  <dimension ref="A1:F14"/>
  <sheetViews>
    <sheetView tabSelected="1" topLeftCell="A7" workbookViewId="0">
      <selection activeCell="Q12" sqref="Q12:Q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habib</cp:lastModifiedBy>
  <dcterms:created xsi:type="dcterms:W3CDTF">2017-04-20T15:17:24Z</dcterms:created>
  <dcterms:modified xsi:type="dcterms:W3CDTF">2019-01-24T18:53:38Z</dcterms:modified>
</cp:coreProperties>
</file>